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.xml" ContentType="application/vnd.openxmlformats-officedocument.themeOverride+xml"/>
  <Override PartName="/xl/drawings/drawing5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2.xml" ContentType="application/vnd.openxmlformats-officedocument.themeOverride+xml"/>
  <Override PartName="/xl/drawings/drawing5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3.xml" ContentType="application/vnd.openxmlformats-officedocument.themeOverride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4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21.xml" ContentType="application/vnd.openxmlformats-officedocument.drawingml.chart+xml"/>
  <Override PartName="/xl/theme/themeOverride5.xml" ContentType="application/vnd.openxmlformats-officedocument.themeOverride+xml"/>
  <Override PartName="/xl/charts/chart22.xml" ContentType="application/vnd.openxmlformats-officedocument.drawingml.chart+xml"/>
  <Override PartName="/xl/theme/themeOverride6.xml" ContentType="application/vnd.openxmlformats-officedocument.themeOverride+xml"/>
  <Override PartName="/xl/drawings/drawing63.xml" ContentType="application/vnd.openxmlformats-officedocument.drawing+xml"/>
  <Override PartName="/xl/charts/chart23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2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25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0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1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2.xml" ContentType="application/vnd.openxmlformats-officedocument.drawing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6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7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80.xml" ContentType="application/vnd.openxmlformats-officedocument.drawingml.chartshapes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1.xml" ContentType="application/vnd.openxmlformats-officedocument.drawingml.chartshape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4.xml" ContentType="application/vnd.openxmlformats-officedocument.drawingml.chartshape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5.xml" ContentType="application/vnd.openxmlformats-officedocument.drawingml.chartshapes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6.xml" ContentType="application/vnd.openxmlformats-officedocument.drawingml.chartshape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9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90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1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2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drawings/drawing94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5.xml" ContentType="application/vnd.openxmlformats-officedocument.drawing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6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7.xml" ContentType="application/vnd.openxmlformats-officedocument.drawing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1.xml" ContentType="application/vnd.openxmlformats-officedocument.drawing+xml"/>
  <Override PartName="/xl/charts/chart61.xml" ContentType="application/vnd.openxmlformats-officedocument.drawingml.chart+xml"/>
  <Override PartName="/xl/theme/themeOverride7.xml" ContentType="application/vnd.openxmlformats-officedocument.themeOverride+xml"/>
  <Override PartName="/xl/drawings/drawing102.xml" ContentType="application/vnd.openxmlformats-officedocument.drawing+xml"/>
  <Override PartName="/xl/charts/chart62.xml" ContentType="application/vnd.openxmlformats-officedocument.drawingml.chart+xml"/>
  <Override PartName="/xl/theme/themeOverride8.xml" ContentType="application/vnd.openxmlformats-officedocument.themeOverride+xml"/>
  <Override PartName="/xl/drawings/drawing103.xml" ContentType="application/vnd.openxmlformats-officedocument.drawing+xml"/>
  <Override PartName="/xl/charts/chart63.xml" ContentType="application/vnd.openxmlformats-officedocument.drawingml.char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charts/chart64.xml" ContentType="application/vnd.openxmlformats-officedocument.drawingml.chart+xml"/>
  <Override PartName="/xl/theme/themeOverride10.xml" ContentType="application/vnd.openxmlformats-officedocument.themeOverride+xml"/>
  <Override PartName="/xl/drawings/drawing105.xml" ContentType="application/vnd.openxmlformats-officedocument.drawing+xml"/>
  <Override PartName="/xl/charts/chart6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6.xml" ContentType="application/vnd.openxmlformats-officedocument.drawingml.chartshapes+xml"/>
  <Override PartName="/xl/charts/chart6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ubik\Desktop\"/>
    </mc:Choice>
  </mc:AlternateContent>
  <bookViews>
    <workbookView xWindow="0" yWindow="0" windowWidth="28800" windowHeight="12060" tabRatio="785"/>
  </bookViews>
  <sheets>
    <sheet name="Obsah" sheetId="60" r:id="rId1"/>
    <sheet name="T01" sheetId="14" r:id="rId2"/>
    <sheet name="T02" sheetId="28" r:id="rId3"/>
    <sheet name="T03" sheetId="35" r:id="rId4"/>
    <sheet name="T04" sheetId="95" r:id="rId5"/>
    <sheet name="T05" sheetId="96" r:id="rId6"/>
    <sheet name="T06" sheetId="61" r:id="rId7"/>
    <sheet name="T07" sheetId="62" r:id="rId8"/>
    <sheet name="T08" sheetId="63" r:id="rId9"/>
    <sheet name="T09" sheetId="64" r:id="rId10"/>
    <sheet name="T10" sheetId="65" r:id="rId11"/>
    <sheet name="T11" sheetId="15" r:id="rId12"/>
    <sheet name="T12" sheetId="48" r:id="rId13"/>
    <sheet name="T13" sheetId="116" r:id="rId14"/>
    <sheet name="T14" sheetId="97" r:id="rId15"/>
    <sheet name="T15" sheetId="98" r:id="rId16"/>
    <sheet name="T16" sheetId="99" r:id="rId17"/>
    <sheet name="T17" sheetId="100" r:id="rId18"/>
    <sheet name="T18" sheetId="66" r:id="rId19"/>
    <sheet name="T19" sheetId="67" r:id="rId20"/>
    <sheet name="T20" sheetId="68" r:id="rId21"/>
    <sheet name="T21" sheetId="69" r:id="rId22"/>
    <sheet name="T22" sheetId="70" r:id="rId23"/>
    <sheet name="T23" sheetId="71" r:id="rId24"/>
    <sheet name="T24" sheetId="72" r:id="rId25"/>
    <sheet name="T25" sheetId="36" r:id="rId26"/>
    <sheet name="T26" sheetId="73" r:id="rId27"/>
    <sheet name="T27" sheetId="74" r:id="rId28"/>
    <sheet name="T28" sheetId="75" r:id="rId29"/>
    <sheet name="T29" sheetId="76" r:id="rId30"/>
    <sheet name="T30" sheetId="77" r:id="rId31"/>
    <sheet name="T31" sheetId="78" r:id="rId32"/>
    <sheet name="T32" sheetId="79" r:id="rId33"/>
    <sheet name="T33" sheetId="80" r:id="rId34"/>
    <sheet name="T34" sheetId="81" r:id="rId35"/>
    <sheet name="T35" sheetId="82" r:id="rId36"/>
    <sheet name="T36" sheetId="52" r:id="rId37"/>
    <sheet name="T37" sheetId="16" r:id="rId38"/>
    <sheet name="T38,T39" sheetId="24" r:id="rId39"/>
    <sheet name="T40" sheetId="22" r:id="rId40"/>
    <sheet name="T41" sheetId="53" r:id="rId41"/>
    <sheet name="T42" sheetId="54" r:id="rId42"/>
    <sheet name="G01" sheetId="45" r:id="rId43"/>
    <sheet name="G02" sheetId="83" r:id="rId44"/>
    <sheet name="G03, G04" sheetId="40" r:id="rId45"/>
    <sheet name="G05, G06" sheetId="46" r:id="rId46"/>
    <sheet name="G07" sheetId="33" r:id="rId47"/>
    <sheet name="G08" sheetId="101" r:id="rId48"/>
    <sheet name="G09" sheetId="102" r:id="rId49"/>
    <sheet name="G10, G11" sheetId="103" r:id="rId50"/>
    <sheet name="G12" sheetId="104" r:id="rId51"/>
    <sheet name="G13" sheetId="105" r:id="rId52"/>
    <sheet name="G14" sheetId="106" r:id="rId53"/>
    <sheet name="G15" sheetId="107" r:id="rId54"/>
    <sheet name="G16" sheetId="108" r:id="rId55"/>
    <sheet name="G17" sheetId="109" r:id="rId56"/>
    <sheet name="G18" sheetId="110" r:id="rId57"/>
    <sheet name="G19" sheetId="111" r:id="rId58"/>
    <sheet name="G20" sheetId="57" r:id="rId59"/>
    <sheet name="G21" sheetId="58" r:id="rId60"/>
    <sheet name="G22" sheetId="84" r:id="rId61"/>
    <sheet name="G23" sheetId="85" r:id="rId62"/>
    <sheet name="G24" sheetId="86" r:id="rId63"/>
    <sheet name="G25" sheetId="87" r:id="rId64"/>
    <sheet name="G26" sheetId="47" r:id="rId65"/>
    <sheet name="G27" sheetId="88" r:id="rId66"/>
    <sheet name="G28" sheetId="55" r:id="rId67"/>
    <sheet name="G29" sheetId="56" r:id="rId68"/>
    <sheet name="G30" sheetId="89" r:id="rId69"/>
    <sheet name="G31" sheetId="90" r:id="rId70"/>
    <sheet name="G32" sheetId="91" r:id="rId71"/>
    <sheet name="G33" sheetId="92" r:id="rId72"/>
    <sheet name="G34, G35" sheetId="31" r:id="rId73"/>
    <sheet name="G36" sheetId="42" r:id="rId74"/>
    <sheet name="G37,G38" sheetId="10" r:id="rId75"/>
    <sheet name="G39" sheetId="59" r:id="rId76"/>
    <sheet name="G40,G41" sheetId="41" r:id="rId77"/>
    <sheet name="G42" sheetId="50" r:id="rId78"/>
    <sheet name="G43" sheetId="49" r:id="rId79"/>
    <sheet name="G44-G49" sheetId="51" r:id="rId80"/>
    <sheet name="G50" sheetId="112" r:id="rId81"/>
    <sheet name="G51" sheetId="113" r:id="rId82"/>
    <sheet name="G52" sheetId="114" r:id="rId83"/>
    <sheet name="G53" sheetId="115" r:id="rId84"/>
    <sheet name="G54,G55" sheetId="43" r:id="rId85"/>
    <sheet name="G56" sheetId="93" r:id="rId86"/>
    <sheet name="NPC" sheetId="94" r:id="rId87"/>
  </sheets>
  <calcPr calcId="171027"/>
</workbook>
</file>

<file path=xl/calcChain.xml><?xml version="1.0" encoding="utf-8"?>
<calcChain xmlns="http://schemas.openxmlformats.org/spreadsheetml/2006/main">
  <c r="F4" i="107" l="1"/>
  <c r="F5" i="107" s="1"/>
  <c r="E4" i="107"/>
  <c r="E5" i="107" s="1"/>
  <c r="D4" i="107"/>
  <c r="D5" i="107" s="1"/>
  <c r="C4" i="107"/>
  <c r="C5" i="107" s="1"/>
  <c r="B4" i="107"/>
  <c r="B5" i="107" s="1"/>
  <c r="C2" i="107"/>
  <c r="D2" i="107" s="1"/>
  <c r="E2" i="107" s="1"/>
  <c r="F2" i="107" s="1"/>
  <c r="D9" i="98"/>
  <c r="D13" i="98" s="1"/>
  <c r="C9" i="98"/>
  <c r="C13" i="98" s="1"/>
  <c r="B9" i="98"/>
  <c r="B13" i="98" s="1"/>
  <c r="D4" i="98"/>
  <c r="C4" i="98"/>
  <c r="B4" i="98"/>
  <c r="H3" i="97"/>
  <c r="E3" i="97"/>
  <c r="I3" i="97" s="1"/>
  <c r="F3" i="97" l="1"/>
  <c r="K424" i="94"/>
  <c r="J424" i="94"/>
  <c r="I424" i="94"/>
  <c r="H424" i="94"/>
  <c r="K423" i="94"/>
  <c r="J423" i="94"/>
  <c r="I423" i="94"/>
  <c r="H423" i="94"/>
  <c r="H422" i="94"/>
  <c r="H421" i="94"/>
  <c r="H420" i="94"/>
  <c r="K419" i="94"/>
  <c r="J419" i="94"/>
  <c r="I419" i="94"/>
  <c r="H419" i="94"/>
  <c r="K418" i="94"/>
  <c r="J418" i="94"/>
  <c r="I418" i="94"/>
  <c r="H418" i="94"/>
  <c r="K417" i="94"/>
  <c r="J417" i="94"/>
  <c r="I417" i="94"/>
  <c r="G415" i="94"/>
  <c r="F415" i="94"/>
  <c r="E415" i="94"/>
  <c r="D415" i="94"/>
  <c r="C415" i="94"/>
  <c r="K411" i="94"/>
  <c r="J411" i="94"/>
  <c r="I411" i="94"/>
  <c r="H411" i="94"/>
  <c r="K410" i="94"/>
  <c r="J410" i="94"/>
  <c r="I410" i="94"/>
  <c r="H410" i="94"/>
  <c r="K409" i="94"/>
  <c r="J409" i="94"/>
  <c r="I409" i="94"/>
  <c r="H409" i="94"/>
  <c r="K408" i="94"/>
  <c r="J408" i="94"/>
  <c r="I408" i="94"/>
  <c r="H408" i="94"/>
  <c r="Q405" i="94"/>
  <c r="P405" i="94"/>
  <c r="O405" i="94"/>
  <c r="N405" i="94"/>
  <c r="M405" i="94"/>
  <c r="K405" i="94"/>
  <c r="J405" i="94"/>
  <c r="I405" i="94"/>
  <c r="H405" i="94"/>
  <c r="G405" i="94"/>
  <c r="F405" i="94"/>
  <c r="E405" i="94"/>
  <c r="D405" i="94"/>
  <c r="C405" i="94"/>
  <c r="Q399" i="94"/>
  <c r="P399" i="94"/>
  <c r="O399" i="94"/>
  <c r="K399" i="94"/>
  <c r="J399" i="94"/>
  <c r="I399" i="94"/>
  <c r="H399" i="94"/>
  <c r="Q398" i="94"/>
  <c r="P398" i="94"/>
  <c r="O398" i="94"/>
  <c r="K398" i="94"/>
  <c r="J398" i="94"/>
  <c r="I398" i="94"/>
  <c r="H398" i="94"/>
  <c r="C398" i="94"/>
  <c r="Q397" i="94"/>
  <c r="P397" i="94"/>
  <c r="O397" i="94"/>
  <c r="K397" i="94"/>
  <c r="J397" i="94"/>
  <c r="I397" i="94"/>
  <c r="H397" i="94"/>
  <c r="G397" i="94"/>
  <c r="F397" i="94"/>
  <c r="E397" i="94"/>
  <c r="D397" i="94"/>
  <c r="C397" i="94"/>
  <c r="Q396" i="94"/>
  <c r="P396" i="94"/>
  <c r="O396" i="94"/>
  <c r="K396" i="94"/>
  <c r="J396" i="94"/>
  <c r="I396" i="94"/>
  <c r="H396" i="94"/>
  <c r="G396" i="94"/>
  <c r="F396" i="94"/>
  <c r="E396" i="94"/>
  <c r="D396" i="94"/>
  <c r="C396" i="94"/>
  <c r="Q395" i="94"/>
  <c r="P395" i="94"/>
  <c r="K395" i="94"/>
  <c r="J395" i="94"/>
  <c r="I395" i="94"/>
  <c r="H395" i="94"/>
  <c r="G395" i="94"/>
  <c r="F395" i="94"/>
  <c r="E395" i="94"/>
  <c r="D395" i="94"/>
  <c r="C395" i="94"/>
  <c r="Q394" i="94"/>
  <c r="P394" i="94"/>
  <c r="O394" i="94"/>
  <c r="K394" i="94"/>
  <c r="J394" i="94"/>
  <c r="I394" i="94"/>
  <c r="H394" i="94"/>
  <c r="D394" i="94"/>
  <c r="C394" i="94"/>
  <c r="Q393" i="94"/>
  <c r="P393" i="94"/>
  <c r="O393" i="94"/>
  <c r="K393" i="94"/>
  <c r="J393" i="94"/>
  <c r="I393" i="94"/>
  <c r="H393" i="94"/>
  <c r="C393" i="94"/>
  <c r="K392" i="94"/>
  <c r="J392" i="94"/>
  <c r="I392" i="94"/>
  <c r="H392" i="94"/>
  <c r="G392" i="94"/>
  <c r="F392" i="94"/>
  <c r="E392" i="94"/>
  <c r="D392" i="94"/>
  <c r="C392" i="94"/>
  <c r="Q391" i="94"/>
  <c r="P391" i="94"/>
  <c r="O391" i="94"/>
  <c r="K391" i="94"/>
  <c r="J391" i="94"/>
  <c r="I391" i="94"/>
  <c r="H391" i="94"/>
  <c r="G391" i="94"/>
  <c r="F391" i="94"/>
  <c r="E391" i="94"/>
  <c r="D391" i="94"/>
  <c r="C391" i="94"/>
  <c r="Q390" i="94"/>
  <c r="P390" i="94"/>
  <c r="O390" i="94"/>
  <c r="K390" i="94"/>
  <c r="J390" i="94"/>
  <c r="I390" i="94"/>
  <c r="H390" i="94"/>
  <c r="G390" i="94"/>
  <c r="F390" i="94"/>
  <c r="E390" i="94"/>
  <c r="D390" i="94"/>
  <c r="C390" i="94"/>
  <c r="Q389" i="94"/>
  <c r="P389" i="94"/>
  <c r="O389" i="94"/>
  <c r="K389" i="94"/>
  <c r="J389" i="94"/>
  <c r="I389" i="94"/>
  <c r="H389" i="94"/>
  <c r="G389" i="94"/>
  <c r="F389" i="94"/>
  <c r="E389" i="94"/>
  <c r="D389" i="94"/>
  <c r="C389" i="94"/>
  <c r="Q388" i="94"/>
  <c r="P388" i="94"/>
  <c r="O388" i="94"/>
  <c r="K388" i="94"/>
  <c r="J388" i="94"/>
  <c r="I388" i="94"/>
  <c r="H388" i="94"/>
  <c r="G388" i="94"/>
  <c r="F388" i="94"/>
  <c r="E388" i="94"/>
  <c r="D388" i="94"/>
  <c r="C388" i="94"/>
  <c r="K387" i="94"/>
  <c r="J387" i="94"/>
  <c r="I387" i="94"/>
  <c r="H387" i="94"/>
  <c r="G387" i="94"/>
  <c r="F387" i="94"/>
  <c r="E387" i="94"/>
  <c r="D387" i="94"/>
  <c r="C387" i="94"/>
  <c r="Q386" i="94"/>
  <c r="P386" i="94"/>
  <c r="O386" i="94"/>
  <c r="K386" i="94"/>
  <c r="J386" i="94"/>
  <c r="I386" i="94"/>
  <c r="H386" i="94"/>
  <c r="G386" i="94"/>
  <c r="F386" i="94"/>
  <c r="E386" i="94"/>
  <c r="D386" i="94"/>
  <c r="C386" i="94"/>
  <c r="Q385" i="94"/>
  <c r="P385" i="94"/>
  <c r="O385" i="94"/>
  <c r="K385" i="94"/>
  <c r="J385" i="94"/>
  <c r="I385" i="94"/>
  <c r="H385" i="94"/>
  <c r="G385" i="94"/>
  <c r="F385" i="94"/>
  <c r="E385" i="94"/>
  <c r="D385" i="94"/>
  <c r="C385" i="94"/>
  <c r="K384" i="94"/>
  <c r="J384" i="94"/>
  <c r="I384" i="94"/>
  <c r="H384" i="94"/>
  <c r="G384" i="94"/>
  <c r="F384" i="94"/>
  <c r="E384" i="94"/>
  <c r="D384" i="94"/>
  <c r="C384" i="94"/>
  <c r="Q383" i="94"/>
  <c r="P383" i="94"/>
  <c r="O383" i="94"/>
  <c r="K383" i="94"/>
  <c r="J383" i="94"/>
  <c r="I383" i="94"/>
  <c r="H383" i="94"/>
  <c r="G383" i="94"/>
  <c r="F383" i="94"/>
  <c r="E383" i="94"/>
  <c r="D383" i="94"/>
  <c r="C383" i="94"/>
  <c r="K382" i="94"/>
  <c r="J382" i="94"/>
  <c r="I382" i="94"/>
  <c r="H382" i="94"/>
  <c r="G382" i="94"/>
  <c r="D382" i="94"/>
  <c r="K381" i="94"/>
  <c r="J381" i="94"/>
  <c r="I381" i="94"/>
  <c r="H381" i="94"/>
  <c r="G381" i="94"/>
  <c r="F381" i="94"/>
  <c r="E381" i="94"/>
  <c r="D381" i="94"/>
  <c r="C381" i="94"/>
  <c r="G380" i="94"/>
  <c r="F380" i="94"/>
  <c r="E380" i="94"/>
  <c r="D380" i="94"/>
  <c r="C380" i="94"/>
  <c r="Q379" i="94"/>
  <c r="P379" i="94"/>
  <c r="O379" i="94"/>
  <c r="K379" i="94"/>
  <c r="J379" i="94"/>
  <c r="I379" i="94"/>
  <c r="H379" i="94"/>
  <c r="Q378" i="94"/>
  <c r="P378" i="94"/>
  <c r="O378" i="94"/>
  <c r="K378" i="94"/>
  <c r="J378" i="94"/>
  <c r="I378" i="94"/>
  <c r="H378" i="94"/>
  <c r="G378" i="94"/>
  <c r="F378" i="94"/>
  <c r="E378" i="94"/>
  <c r="D378" i="94"/>
  <c r="C378" i="94"/>
  <c r="K377" i="94"/>
  <c r="J377" i="94"/>
  <c r="I377" i="94"/>
  <c r="H377" i="94"/>
  <c r="G377" i="94"/>
  <c r="F377" i="94"/>
  <c r="E377" i="94"/>
  <c r="D377" i="94"/>
  <c r="C377" i="94"/>
  <c r="K376" i="94"/>
  <c r="J376" i="94"/>
  <c r="I376" i="94"/>
  <c r="H376" i="94"/>
  <c r="G376" i="94"/>
  <c r="F376" i="94"/>
  <c r="E376" i="94"/>
  <c r="D376" i="94"/>
  <c r="K375" i="94"/>
  <c r="J375" i="94"/>
  <c r="I375" i="94"/>
  <c r="H375" i="94"/>
  <c r="G375" i="94"/>
  <c r="F375" i="94"/>
  <c r="E375" i="94"/>
  <c r="D375" i="94"/>
  <c r="C375" i="94"/>
  <c r="K374" i="94"/>
  <c r="J374" i="94"/>
  <c r="I374" i="94"/>
  <c r="H374" i="94"/>
  <c r="G374" i="94"/>
  <c r="F374" i="94"/>
  <c r="E374" i="94"/>
  <c r="D374" i="94"/>
  <c r="C374" i="94"/>
  <c r="K373" i="94"/>
  <c r="J373" i="94"/>
  <c r="I373" i="94"/>
  <c r="H373" i="94"/>
  <c r="G373" i="94"/>
  <c r="F373" i="94"/>
  <c r="E373" i="94"/>
  <c r="D373" i="94"/>
  <c r="G372" i="94"/>
  <c r="F372" i="94"/>
  <c r="E372" i="94"/>
  <c r="D372" i="94"/>
  <c r="C372" i="94"/>
  <c r="Q371" i="94"/>
  <c r="P371" i="94"/>
  <c r="O371" i="94"/>
  <c r="K371" i="94"/>
  <c r="J371" i="94"/>
  <c r="I371" i="94"/>
  <c r="H371" i="94"/>
  <c r="Q370" i="94"/>
  <c r="P370" i="94"/>
  <c r="O370" i="94"/>
  <c r="K370" i="94"/>
  <c r="J370" i="94"/>
  <c r="I370" i="94"/>
  <c r="H370" i="94"/>
  <c r="G370" i="94"/>
  <c r="F370" i="94"/>
  <c r="E370" i="94"/>
  <c r="D370" i="94"/>
  <c r="C370" i="94"/>
  <c r="Q369" i="94"/>
  <c r="P369" i="94"/>
  <c r="O369" i="94"/>
  <c r="K369" i="94"/>
  <c r="J369" i="94"/>
  <c r="I369" i="94"/>
  <c r="H369" i="94"/>
  <c r="G369" i="94"/>
  <c r="F369" i="94"/>
  <c r="E369" i="94"/>
  <c r="D369" i="94"/>
  <c r="C369" i="94"/>
  <c r="Q368" i="94"/>
  <c r="P368" i="94"/>
  <c r="O368" i="94"/>
  <c r="K368" i="94"/>
  <c r="J368" i="94"/>
  <c r="I368" i="94"/>
  <c r="H368" i="94"/>
  <c r="C368" i="94"/>
  <c r="Q367" i="94"/>
  <c r="P367" i="94"/>
  <c r="O367" i="94"/>
  <c r="K367" i="94"/>
  <c r="J367" i="94"/>
  <c r="I367" i="94"/>
  <c r="H367" i="94"/>
  <c r="G367" i="94"/>
  <c r="F367" i="94"/>
  <c r="E367" i="94"/>
  <c r="D367" i="94"/>
  <c r="C367" i="94"/>
  <c r="Q366" i="94"/>
  <c r="P366" i="94"/>
  <c r="O366" i="94"/>
  <c r="K366" i="94"/>
  <c r="J366" i="94"/>
  <c r="I366" i="94"/>
  <c r="H366" i="94"/>
  <c r="G366" i="94"/>
  <c r="F366" i="94"/>
  <c r="E366" i="94"/>
  <c r="D366" i="94"/>
  <c r="C366" i="94"/>
  <c r="K365" i="94"/>
  <c r="J365" i="94"/>
  <c r="I365" i="94"/>
  <c r="H365" i="94"/>
  <c r="G365" i="94"/>
  <c r="F365" i="94"/>
  <c r="E365" i="94"/>
  <c r="D365" i="94"/>
  <c r="C365" i="94"/>
  <c r="Q364" i="94"/>
  <c r="P364" i="94"/>
  <c r="O364" i="94"/>
  <c r="K364" i="94"/>
  <c r="J364" i="94"/>
  <c r="I364" i="94"/>
  <c r="H364" i="94"/>
  <c r="G364" i="94"/>
  <c r="F364" i="94"/>
  <c r="E364" i="94"/>
  <c r="D364" i="94"/>
  <c r="Q363" i="94"/>
  <c r="P363" i="94"/>
  <c r="O363" i="94"/>
  <c r="K363" i="94"/>
  <c r="J363" i="94"/>
  <c r="I363" i="94"/>
  <c r="H363" i="94"/>
  <c r="C363" i="94"/>
  <c r="K362" i="94"/>
  <c r="J362" i="94"/>
  <c r="I362" i="94"/>
  <c r="H362" i="94"/>
  <c r="Q361" i="94"/>
  <c r="P361" i="94"/>
  <c r="K361" i="94"/>
  <c r="J361" i="94"/>
  <c r="I361" i="94"/>
  <c r="H361" i="94"/>
  <c r="G361" i="94"/>
  <c r="F361" i="94"/>
  <c r="E361" i="94"/>
  <c r="D361" i="94"/>
  <c r="C361" i="94"/>
  <c r="Q360" i="94"/>
  <c r="P360" i="94"/>
  <c r="O360" i="94"/>
  <c r="K360" i="94"/>
  <c r="J360" i="94"/>
  <c r="I360" i="94"/>
  <c r="H360" i="94"/>
  <c r="G360" i="94"/>
  <c r="F360" i="94"/>
  <c r="E360" i="94"/>
  <c r="D360" i="94"/>
  <c r="C360" i="94"/>
  <c r="Q359" i="94"/>
  <c r="P359" i="94"/>
  <c r="O359" i="94"/>
  <c r="K359" i="94"/>
  <c r="J359" i="94"/>
  <c r="I359" i="94"/>
  <c r="H359" i="94"/>
  <c r="G359" i="94"/>
  <c r="F359" i="94"/>
  <c r="E359" i="94"/>
  <c r="D359" i="94"/>
  <c r="C359" i="94"/>
  <c r="Q358" i="94"/>
  <c r="P358" i="94"/>
  <c r="O358" i="94"/>
  <c r="K358" i="94"/>
  <c r="J358" i="94"/>
  <c r="I358" i="94"/>
  <c r="H358" i="94"/>
  <c r="F358" i="94"/>
  <c r="E358" i="94"/>
  <c r="D358" i="94"/>
  <c r="C358" i="94"/>
  <c r="K357" i="94"/>
  <c r="J357" i="94"/>
  <c r="I357" i="94"/>
  <c r="H357" i="94"/>
  <c r="D357" i="94"/>
  <c r="K356" i="94"/>
  <c r="J356" i="94"/>
  <c r="I356" i="94"/>
  <c r="H356" i="94"/>
  <c r="D356" i="94"/>
  <c r="C356" i="94"/>
  <c r="G355" i="94"/>
  <c r="F355" i="94"/>
  <c r="E355" i="94"/>
  <c r="D355" i="94"/>
  <c r="C355" i="94"/>
  <c r="Q354" i="94"/>
  <c r="P354" i="94"/>
  <c r="O354" i="94"/>
  <c r="K354" i="94"/>
  <c r="J354" i="94"/>
  <c r="I354" i="94"/>
  <c r="H354" i="94"/>
  <c r="Q353" i="94"/>
  <c r="P353" i="94"/>
  <c r="O353" i="94"/>
  <c r="K353" i="94"/>
  <c r="J353" i="94"/>
  <c r="I353" i="94"/>
  <c r="H353" i="94"/>
  <c r="G353" i="94"/>
  <c r="F353" i="94"/>
  <c r="E353" i="94"/>
  <c r="K352" i="94"/>
  <c r="J352" i="94"/>
  <c r="I352" i="94"/>
  <c r="H352" i="94"/>
  <c r="G352" i="94"/>
  <c r="F352" i="94"/>
  <c r="E352" i="94"/>
  <c r="D352" i="94"/>
  <c r="C352" i="94"/>
  <c r="K351" i="94"/>
  <c r="J351" i="94"/>
  <c r="I351" i="94"/>
  <c r="H351" i="94"/>
  <c r="G351" i="94"/>
  <c r="F351" i="94"/>
  <c r="E351" i="94"/>
  <c r="D351" i="94"/>
  <c r="C351" i="94"/>
  <c r="G350" i="94"/>
  <c r="F350" i="94"/>
  <c r="E350" i="94"/>
  <c r="D350" i="94"/>
  <c r="C350" i="94"/>
  <c r="K349" i="94"/>
  <c r="J349" i="94"/>
  <c r="I349" i="94"/>
  <c r="H349" i="94"/>
  <c r="K348" i="94"/>
  <c r="J348" i="94"/>
  <c r="I348" i="94"/>
  <c r="H348" i="94"/>
  <c r="G348" i="94"/>
  <c r="F348" i="94"/>
  <c r="E348" i="94"/>
  <c r="D348" i="94"/>
  <c r="C348" i="94"/>
  <c r="K347" i="94"/>
  <c r="J347" i="94"/>
  <c r="I347" i="94"/>
  <c r="H347" i="94"/>
  <c r="F347" i="94"/>
  <c r="E347" i="94"/>
  <c r="C347" i="94"/>
  <c r="K346" i="94"/>
  <c r="J346" i="94"/>
  <c r="I346" i="94"/>
  <c r="H346" i="94"/>
  <c r="G346" i="94"/>
  <c r="F346" i="94"/>
  <c r="E346" i="94"/>
  <c r="D346" i="94"/>
  <c r="C346" i="94"/>
  <c r="K345" i="94"/>
  <c r="J345" i="94"/>
  <c r="I345" i="94"/>
  <c r="H345" i="94"/>
  <c r="G345" i="94"/>
  <c r="F345" i="94"/>
  <c r="E345" i="94"/>
  <c r="D345" i="94"/>
  <c r="C345" i="94"/>
  <c r="G344" i="94"/>
  <c r="F344" i="94"/>
  <c r="E344" i="94"/>
  <c r="D344" i="94"/>
  <c r="C344" i="94"/>
  <c r="Q343" i="94"/>
  <c r="P343" i="94"/>
  <c r="O343" i="94"/>
  <c r="K343" i="94"/>
  <c r="J343" i="94"/>
  <c r="I343" i="94"/>
  <c r="H343" i="94"/>
  <c r="Q342" i="94"/>
  <c r="P342" i="94"/>
  <c r="O342" i="94"/>
  <c r="K342" i="94"/>
  <c r="J342" i="94"/>
  <c r="I342" i="94"/>
  <c r="H342" i="94"/>
  <c r="G342" i="94"/>
  <c r="F342" i="94"/>
  <c r="E342" i="94"/>
  <c r="D342" i="94"/>
  <c r="C342" i="94"/>
  <c r="K341" i="94"/>
  <c r="J341" i="94"/>
  <c r="I341" i="94"/>
  <c r="H341" i="94"/>
  <c r="G341" i="94"/>
  <c r="E341" i="94"/>
  <c r="C341" i="94"/>
  <c r="Q340" i="94"/>
  <c r="P340" i="94"/>
  <c r="O340" i="94"/>
  <c r="K340" i="94"/>
  <c r="J340" i="94"/>
  <c r="I340" i="94"/>
  <c r="H340" i="94"/>
  <c r="D340" i="94"/>
  <c r="C340" i="94"/>
  <c r="Q339" i="94"/>
  <c r="P339" i="94"/>
  <c r="O339" i="94"/>
  <c r="K339" i="94"/>
  <c r="J339" i="94"/>
  <c r="I339" i="94"/>
  <c r="H339" i="94"/>
  <c r="G339" i="94"/>
  <c r="F339" i="94"/>
  <c r="E339" i="94"/>
  <c r="D339" i="94"/>
  <c r="C339" i="94"/>
  <c r="K338" i="94"/>
  <c r="J338" i="94"/>
  <c r="I338" i="94"/>
  <c r="H338" i="94"/>
  <c r="D338" i="94"/>
  <c r="C338" i="94"/>
  <c r="Q337" i="94"/>
  <c r="P337" i="94"/>
  <c r="O337" i="94"/>
  <c r="K337" i="94"/>
  <c r="J337" i="94"/>
  <c r="I337" i="94"/>
  <c r="H337" i="94"/>
  <c r="G337" i="94"/>
  <c r="F337" i="94"/>
  <c r="E337" i="94"/>
  <c r="D337" i="94"/>
  <c r="C337" i="94"/>
  <c r="K336" i="94"/>
  <c r="J336" i="94"/>
  <c r="I336" i="94"/>
  <c r="H336" i="94"/>
  <c r="G336" i="94"/>
  <c r="E336" i="94"/>
  <c r="D336" i="94"/>
  <c r="C336" i="94"/>
  <c r="K335" i="94"/>
  <c r="J335" i="94"/>
  <c r="I335" i="94"/>
  <c r="H335" i="94"/>
  <c r="G335" i="94"/>
  <c r="E335" i="94"/>
  <c r="D335" i="94"/>
  <c r="C335" i="94"/>
  <c r="Q334" i="94"/>
  <c r="P334" i="94"/>
  <c r="O334" i="94"/>
  <c r="K334" i="94"/>
  <c r="J334" i="94"/>
  <c r="I334" i="94"/>
  <c r="H334" i="94"/>
  <c r="G334" i="94"/>
  <c r="F334" i="94"/>
  <c r="E334" i="94"/>
  <c r="D334" i="94"/>
  <c r="C334" i="94"/>
  <c r="Q333" i="94"/>
  <c r="P333" i="94"/>
  <c r="O333" i="94"/>
  <c r="K333" i="94"/>
  <c r="J333" i="94"/>
  <c r="I333" i="94"/>
  <c r="H333" i="94"/>
  <c r="G333" i="94"/>
  <c r="F333" i="94"/>
  <c r="E333" i="94"/>
  <c r="D333" i="94"/>
  <c r="C333" i="94"/>
  <c r="Q332" i="94"/>
  <c r="P332" i="94"/>
  <c r="O332" i="94"/>
  <c r="K332" i="94"/>
  <c r="J332" i="94"/>
  <c r="I332" i="94"/>
  <c r="H332" i="94"/>
  <c r="G332" i="94"/>
  <c r="F332" i="94"/>
  <c r="E332" i="94"/>
  <c r="D332" i="94"/>
  <c r="C332" i="94"/>
  <c r="Q331" i="94"/>
  <c r="P331" i="94"/>
  <c r="O331" i="94"/>
  <c r="K331" i="94"/>
  <c r="J331" i="94"/>
  <c r="I331" i="94"/>
  <c r="H331" i="94"/>
  <c r="G331" i="94"/>
  <c r="F331" i="94"/>
  <c r="E331" i="94"/>
  <c r="D331" i="94"/>
  <c r="C331" i="94"/>
  <c r="Q330" i="94"/>
  <c r="P330" i="94"/>
  <c r="O330" i="94"/>
  <c r="K330" i="94"/>
  <c r="J330" i="94"/>
  <c r="I330" i="94"/>
  <c r="H330" i="94"/>
  <c r="G330" i="94"/>
  <c r="F330" i="94"/>
  <c r="E330" i="94"/>
  <c r="D330" i="94"/>
  <c r="C330" i="94"/>
  <c r="Q329" i="94"/>
  <c r="P329" i="94"/>
  <c r="O329" i="94"/>
  <c r="K329" i="94"/>
  <c r="J329" i="94"/>
  <c r="I329" i="94"/>
  <c r="H329" i="94"/>
  <c r="G329" i="94"/>
  <c r="F329" i="94"/>
  <c r="E329" i="94"/>
  <c r="D329" i="94"/>
  <c r="C329" i="94"/>
  <c r="Q328" i="94"/>
  <c r="P328" i="94"/>
  <c r="O328" i="94"/>
  <c r="K328" i="94"/>
  <c r="J328" i="94"/>
  <c r="I328" i="94"/>
  <c r="H328" i="94"/>
  <c r="G328" i="94"/>
  <c r="F328" i="94"/>
  <c r="E328" i="94"/>
  <c r="D328" i="94"/>
  <c r="C328" i="94"/>
  <c r="Q327" i="94"/>
  <c r="P327" i="94"/>
  <c r="O327" i="94"/>
  <c r="K327" i="94"/>
  <c r="J327" i="94"/>
  <c r="I327" i="94"/>
  <c r="H327" i="94"/>
  <c r="F327" i="94"/>
  <c r="D327" i="94"/>
  <c r="C327" i="94"/>
  <c r="G326" i="94"/>
  <c r="F326" i="94"/>
  <c r="E326" i="94"/>
  <c r="D326" i="94"/>
  <c r="C326" i="94"/>
  <c r="Q325" i="94"/>
  <c r="P325" i="94"/>
  <c r="O325" i="94"/>
  <c r="K325" i="94"/>
  <c r="J325" i="94"/>
  <c r="I325" i="94"/>
  <c r="H325" i="94"/>
  <c r="Q324" i="94"/>
  <c r="P324" i="94"/>
  <c r="O324" i="94"/>
  <c r="K324" i="94"/>
  <c r="J324" i="94"/>
  <c r="I324" i="94"/>
  <c r="H324" i="94"/>
  <c r="G324" i="94"/>
  <c r="F324" i="94"/>
  <c r="E324" i="94"/>
  <c r="D324" i="94"/>
  <c r="C324" i="94"/>
  <c r="Q323" i="94"/>
  <c r="P323" i="94"/>
  <c r="O323" i="94"/>
  <c r="K323" i="94"/>
  <c r="J323" i="94"/>
  <c r="I323" i="94"/>
  <c r="H323" i="94"/>
  <c r="C323" i="94"/>
  <c r="Q322" i="94"/>
  <c r="P322" i="94"/>
  <c r="O322" i="94"/>
  <c r="K322" i="94"/>
  <c r="J322" i="94"/>
  <c r="I322" i="94"/>
  <c r="H322" i="94"/>
  <c r="G322" i="94"/>
  <c r="F322" i="94"/>
  <c r="E322" i="94"/>
  <c r="D322" i="94"/>
  <c r="C322" i="94"/>
  <c r="Q321" i="94"/>
  <c r="P321" i="94"/>
  <c r="O321" i="94"/>
  <c r="K321" i="94"/>
  <c r="J321" i="94"/>
  <c r="I321" i="94"/>
  <c r="H321" i="94"/>
  <c r="C321" i="94"/>
  <c r="Q320" i="94"/>
  <c r="P320" i="94"/>
  <c r="O320" i="94"/>
  <c r="K320" i="94"/>
  <c r="J320" i="94"/>
  <c r="I320" i="94"/>
  <c r="H320" i="94"/>
  <c r="G320" i="94"/>
  <c r="F320" i="94"/>
  <c r="E320" i="94"/>
  <c r="C320" i="94"/>
  <c r="Q319" i="94"/>
  <c r="P319" i="94"/>
  <c r="O319" i="94"/>
  <c r="K319" i="94"/>
  <c r="J319" i="94"/>
  <c r="I319" i="94"/>
  <c r="H319" i="94"/>
  <c r="G319" i="94"/>
  <c r="F319" i="94"/>
  <c r="E319" i="94"/>
  <c r="D319" i="94"/>
  <c r="C319" i="94"/>
  <c r="Q318" i="94"/>
  <c r="P318" i="94"/>
  <c r="O318" i="94"/>
  <c r="K318" i="94"/>
  <c r="J318" i="94"/>
  <c r="I318" i="94"/>
  <c r="H318" i="94"/>
  <c r="G318" i="94"/>
  <c r="F318" i="94"/>
  <c r="E318" i="94"/>
  <c r="D318" i="94"/>
  <c r="C318" i="94"/>
  <c r="Q317" i="94"/>
  <c r="P317" i="94"/>
  <c r="O317" i="94"/>
  <c r="K317" i="94"/>
  <c r="J317" i="94"/>
  <c r="I317" i="94"/>
  <c r="H317" i="94"/>
  <c r="G317" i="94"/>
  <c r="F317" i="94"/>
  <c r="E317" i="94"/>
  <c r="D317" i="94"/>
  <c r="C317" i="94"/>
  <c r="Q316" i="94"/>
  <c r="P316" i="94"/>
  <c r="O316" i="94"/>
  <c r="K316" i="94"/>
  <c r="J316" i="94"/>
  <c r="I316" i="94"/>
  <c r="H316" i="94"/>
  <c r="G316" i="94"/>
  <c r="F316" i="94"/>
  <c r="E316" i="94"/>
  <c r="D316" i="94"/>
  <c r="C316" i="94"/>
  <c r="Q315" i="94"/>
  <c r="P315" i="94"/>
  <c r="O315" i="94"/>
  <c r="K315" i="94"/>
  <c r="J315" i="94"/>
  <c r="I315" i="94"/>
  <c r="H315" i="94"/>
  <c r="G315" i="94"/>
  <c r="F315" i="94"/>
  <c r="E315" i="94"/>
  <c r="D315" i="94"/>
  <c r="C315" i="94"/>
  <c r="X314" i="94"/>
  <c r="Q314" i="94"/>
  <c r="P314" i="94"/>
  <c r="O314" i="94"/>
  <c r="K314" i="94"/>
  <c r="J314" i="94"/>
  <c r="I314" i="94"/>
  <c r="H314" i="94"/>
  <c r="G314" i="94"/>
  <c r="F314" i="94"/>
  <c r="E314" i="94"/>
  <c r="D314" i="94"/>
  <c r="C314" i="94"/>
  <c r="Q313" i="94"/>
  <c r="P313" i="94"/>
  <c r="O313" i="94"/>
  <c r="K313" i="94"/>
  <c r="J313" i="94"/>
  <c r="I313" i="94"/>
  <c r="H313" i="94"/>
  <c r="G313" i="94"/>
  <c r="F313" i="94"/>
  <c r="D313" i="94"/>
  <c r="C313" i="94"/>
  <c r="Q312" i="94"/>
  <c r="P312" i="94"/>
  <c r="O312" i="94"/>
  <c r="K312" i="94"/>
  <c r="J312" i="94"/>
  <c r="I312" i="94"/>
  <c r="H312" i="94"/>
  <c r="G312" i="94"/>
  <c r="F312" i="94"/>
  <c r="E312" i="94"/>
  <c r="D312" i="94"/>
  <c r="C312" i="94"/>
  <c r="K311" i="94"/>
  <c r="J311" i="94"/>
  <c r="I311" i="94"/>
  <c r="H311" i="94"/>
  <c r="F311" i="94"/>
  <c r="E311" i="94"/>
  <c r="Q310" i="94"/>
  <c r="P310" i="94"/>
  <c r="O310" i="94"/>
  <c r="K310" i="94"/>
  <c r="J310" i="94"/>
  <c r="I310" i="94"/>
  <c r="H310" i="94"/>
  <c r="G310" i="94"/>
  <c r="F310" i="94"/>
  <c r="E310" i="94"/>
  <c r="D310" i="94"/>
  <c r="C310" i="94"/>
  <c r="K309" i="94"/>
  <c r="J309" i="94"/>
  <c r="I309" i="94"/>
  <c r="H309" i="94"/>
  <c r="G309" i="94"/>
  <c r="F309" i="94"/>
  <c r="E309" i="94"/>
  <c r="D309" i="94"/>
  <c r="C309" i="94"/>
  <c r="K308" i="94"/>
  <c r="J308" i="94"/>
  <c r="I308" i="94"/>
  <c r="H308" i="94"/>
  <c r="G308" i="94"/>
  <c r="F308" i="94"/>
  <c r="E308" i="94"/>
  <c r="D308" i="94"/>
  <c r="C308" i="94"/>
  <c r="K307" i="94"/>
  <c r="J307" i="94"/>
  <c r="I307" i="94"/>
  <c r="H307" i="94"/>
  <c r="D307" i="94"/>
  <c r="C307" i="94"/>
  <c r="K306" i="94"/>
  <c r="J306" i="94"/>
  <c r="I306" i="94"/>
  <c r="H306" i="94"/>
  <c r="D306" i="94"/>
  <c r="C306" i="94"/>
  <c r="G305" i="94"/>
  <c r="F305" i="94"/>
  <c r="E305" i="94"/>
  <c r="D305" i="94"/>
  <c r="C305" i="94"/>
  <c r="Q304" i="94"/>
  <c r="P304" i="94"/>
  <c r="O304" i="94"/>
  <c r="K304" i="94"/>
  <c r="J304" i="94"/>
  <c r="I304" i="94"/>
  <c r="H304" i="94"/>
  <c r="Q303" i="94"/>
  <c r="P303" i="94"/>
  <c r="O303" i="94"/>
  <c r="K303" i="94"/>
  <c r="J303" i="94"/>
  <c r="I303" i="94"/>
  <c r="H303" i="94"/>
  <c r="C303" i="94"/>
  <c r="Q302" i="94"/>
  <c r="P302" i="94"/>
  <c r="O302" i="94"/>
  <c r="K302" i="94"/>
  <c r="J302" i="94"/>
  <c r="I302" i="94"/>
  <c r="H302" i="94"/>
  <c r="G302" i="94"/>
  <c r="F302" i="94"/>
  <c r="E302" i="94"/>
  <c r="D302" i="94"/>
  <c r="C302" i="94"/>
  <c r="Q301" i="94"/>
  <c r="P301" i="94"/>
  <c r="O301" i="94"/>
  <c r="K301" i="94"/>
  <c r="J301" i="94"/>
  <c r="I301" i="94"/>
  <c r="H301" i="94"/>
  <c r="G301" i="94"/>
  <c r="F301" i="94"/>
  <c r="E301" i="94"/>
  <c r="D301" i="94"/>
  <c r="C301" i="94"/>
  <c r="Q300" i="94"/>
  <c r="P300" i="94"/>
  <c r="O300" i="94"/>
  <c r="K300" i="94"/>
  <c r="J300" i="94"/>
  <c r="I300" i="94"/>
  <c r="H300" i="94"/>
  <c r="Q299" i="94"/>
  <c r="P299" i="94"/>
  <c r="O299" i="94"/>
  <c r="K299" i="94"/>
  <c r="J299" i="94"/>
  <c r="I299" i="94"/>
  <c r="H299" i="94"/>
  <c r="G299" i="94"/>
  <c r="F299" i="94"/>
  <c r="E299" i="94"/>
  <c r="D299" i="94"/>
  <c r="C299" i="94"/>
  <c r="Q298" i="94"/>
  <c r="P298" i="94"/>
  <c r="O298" i="94"/>
  <c r="K298" i="94"/>
  <c r="J298" i="94"/>
  <c r="I298" i="94"/>
  <c r="H298" i="94"/>
  <c r="G298" i="94"/>
  <c r="F298" i="94"/>
  <c r="E298" i="94"/>
  <c r="D298" i="94"/>
  <c r="C298" i="94"/>
  <c r="K297" i="94"/>
  <c r="J297" i="94"/>
  <c r="I297" i="94"/>
  <c r="H297" i="94"/>
  <c r="G297" i="94"/>
  <c r="F297" i="94"/>
  <c r="E297" i="94"/>
  <c r="D297" i="94"/>
  <c r="C297" i="94"/>
  <c r="K296" i="94"/>
  <c r="J296" i="94"/>
  <c r="I296" i="94"/>
  <c r="H296" i="94"/>
  <c r="D296" i="94"/>
  <c r="C296" i="94"/>
  <c r="K295" i="94"/>
  <c r="J295" i="94"/>
  <c r="I295" i="94"/>
  <c r="H295" i="94"/>
  <c r="G295" i="94"/>
  <c r="E295" i="94"/>
  <c r="D295" i="94"/>
  <c r="C295" i="94"/>
  <c r="G294" i="94"/>
  <c r="F294" i="94"/>
  <c r="E294" i="94"/>
  <c r="D294" i="94"/>
  <c r="C294" i="94"/>
  <c r="K292" i="94"/>
  <c r="J292" i="94"/>
  <c r="I292" i="94"/>
  <c r="H292" i="94"/>
  <c r="K291" i="94"/>
  <c r="J291" i="94"/>
  <c r="I291" i="94"/>
  <c r="H291" i="94"/>
  <c r="G291" i="94"/>
  <c r="F291" i="94"/>
  <c r="E291" i="94"/>
  <c r="C291" i="94"/>
  <c r="K290" i="94"/>
  <c r="J290" i="94"/>
  <c r="I290" i="94"/>
  <c r="H290" i="94"/>
  <c r="G290" i="94"/>
  <c r="F290" i="94"/>
  <c r="E290" i="94"/>
  <c r="D290" i="94"/>
  <c r="C290" i="94"/>
  <c r="Q289" i="94"/>
  <c r="P289" i="94"/>
  <c r="O289" i="94"/>
  <c r="K289" i="94"/>
  <c r="J289" i="94"/>
  <c r="I289" i="94"/>
  <c r="H289" i="94"/>
  <c r="G289" i="94"/>
  <c r="F289" i="94"/>
  <c r="E289" i="94"/>
  <c r="C289" i="94"/>
  <c r="Q288" i="94"/>
  <c r="P288" i="94"/>
  <c r="O288" i="94"/>
  <c r="K288" i="94"/>
  <c r="J288" i="94"/>
  <c r="I288" i="94"/>
  <c r="H288" i="94"/>
  <c r="G288" i="94"/>
  <c r="F288" i="94"/>
  <c r="E288" i="94"/>
  <c r="D288" i="94"/>
  <c r="C288" i="94"/>
  <c r="Q287" i="94"/>
  <c r="P287" i="94"/>
  <c r="O287" i="94"/>
  <c r="K287" i="94"/>
  <c r="J287" i="94"/>
  <c r="I287" i="94"/>
  <c r="H287" i="94"/>
  <c r="G287" i="94"/>
  <c r="F287" i="94"/>
  <c r="E287" i="94"/>
  <c r="D287" i="94"/>
  <c r="C287" i="94"/>
  <c r="Q286" i="94"/>
  <c r="P286" i="94"/>
  <c r="O286" i="94"/>
  <c r="K286" i="94"/>
  <c r="J286" i="94"/>
  <c r="I286" i="94"/>
  <c r="H286" i="94"/>
  <c r="G286" i="94"/>
  <c r="F286" i="94"/>
  <c r="E286" i="94"/>
  <c r="C286" i="94"/>
  <c r="K285" i="94"/>
  <c r="J285" i="94"/>
  <c r="I285" i="94"/>
  <c r="H285" i="94"/>
  <c r="G285" i="94"/>
  <c r="F285" i="94"/>
  <c r="E285" i="94"/>
  <c r="C285" i="94"/>
  <c r="K284" i="94"/>
  <c r="J284" i="94"/>
  <c r="I284" i="94"/>
  <c r="H284" i="94"/>
  <c r="G284" i="94"/>
  <c r="F284" i="94"/>
  <c r="E284" i="94"/>
  <c r="D284" i="94"/>
  <c r="C284" i="94"/>
  <c r="K283" i="94"/>
  <c r="J283" i="94"/>
  <c r="I283" i="94"/>
  <c r="H283" i="94"/>
  <c r="G283" i="94"/>
  <c r="F283" i="94"/>
  <c r="E283" i="94"/>
  <c r="D283" i="94"/>
  <c r="C283" i="94"/>
  <c r="G282" i="94"/>
  <c r="F282" i="94"/>
  <c r="E282" i="94"/>
  <c r="D282" i="94"/>
  <c r="C282" i="94"/>
  <c r="Q281" i="94"/>
  <c r="P281" i="94"/>
  <c r="O281" i="94"/>
  <c r="K281" i="94"/>
  <c r="J281" i="94"/>
  <c r="I281" i="94"/>
  <c r="H281" i="94"/>
  <c r="Q280" i="94"/>
  <c r="P280" i="94"/>
  <c r="O280" i="94"/>
  <c r="K280" i="94"/>
  <c r="J280" i="94"/>
  <c r="I280" i="94"/>
  <c r="H280" i="94"/>
  <c r="G280" i="94"/>
  <c r="F280" i="94"/>
  <c r="E280" i="94"/>
  <c r="C280" i="94"/>
  <c r="Q279" i="94"/>
  <c r="P279" i="94"/>
  <c r="O279" i="94"/>
  <c r="K279" i="94"/>
  <c r="J279" i="94"/>
  <c r="I279" i="94"/>
  <c r="H279" i="94"/>
  <c r="G279" i="94"/>
  <c r="F279" i="94"/>
  <c r="E279" i="94"/>
  <c r="C279" i="94"/>
  <c r="Q278" i="94"/>
  <c r="P278" i="94"/>
  <c r="O278" i="94"/>
  <c r="K278" i="94"/>
  <c r="J278" i="94"/>
  <c r="I278" i="94"/>
  <c r="H278" i="94"/>
  <c r="G278" i="94"/>
  <c r="F278" i="94"/>
  <c r="E278" i="94"/>
  <c r="D278" i="94"/>
  <c r="C278" i="94"/>
  <c r="Q277" i="94"/>
  <c r="P277" i="94"/>
  <c r="O277" i="94"/>
  <c r="K277" i="94"/>
  <c r="J277" i="94"/>
  <c r="I277" i="94"/>
  <c r="H277" i="94"/>
  <c r="G277" i="94"/>
  <c r="F277" i="94"/>
  <c r="E277" i="94"/>
  <c r="D277" i="94"/>
  <c r="C277" i="94"/>
  <c r="Q276" i="94"/>
  <c r="P276" i="94"/>
  <c r="O276" i="94"/>
  <c r="K276" i="94"/>
  <c r="J276" i="94"/>
  <c r="I276" i="94"/>
  <c r="H276" i="94"/>
  <c r="G276" i="94"/>
  <c r="F276" i="94"/>
  <c r="E276" i="94"/>
  <c r="D276" i="94"/>
  <c r="C276" i="94"/>
  <c r="Q275" i="94"/>
  <c r="P275" i="94"/>
  <c r="O275" i="94"/>
  <c r="K275" i="94"/>
  <c r="J275" i="94"/>
  <c r="I275" i="94"/>
  <c r="H275" i="94"/>
  <c r="G275" i="94"/>
  <c r="F275" i="94"/>
  <c r="E275" i="94"/>
  <c r="C275" i="94"/>
  <c r="K274" i="94"/>
  <c r="J274" i="94"/>
  <c r="I274" i="94"/>
  <c r="H274" i="94"/>
  <c r="G274" i="94"/>
  <c r="F274" i="94"/>
  <c r="E274" i="94"/>
  <c r="D274" i="94"/>
  <c r="C274" i="94"/>
  <c r="K273" i="94"/>
  <c r="J273" i="94"/>
  <c r="I273" i="94"/>
  <c r="H273" i="94"/>
  <c r="G273" i="94"/>
  <c r="F273" i="94"/>
  <c r="E273" i="94"/>
  <c r="D273" i="94"/>
  <c r="C273" i="94"/>
  <c r="K272" i="94"/>
  <c r="J272" i="94"/>
  <c r="I272" i="94"/>
  <c r="H272" i="94"/>
  <c r="G272" i="94"/>
  <c r="F272" i="94"/>
  <c r="E272" i="94"/>
  <c r="D272" i="94"/>
  <c r="C272" i="94"/>
  <c r="G271" i="94"/>
  <c r="F271" i="94"/>
  <c r="E271" i="94"/>
  <c r="D271" i="94"/>
  <c r="C271" i="94"/>
  <c r="K270" i="94"/>
  <c r="J270" i="94"/>
  <c r="I270" i="94"/>
  <c r="H270" i="94"/>
  <c r="Q269" i="94"/>
  <c r="P269" i="94"/>
  <c r="O269" i="94"/>
  <c r="K269" i="94"/>
  <c r="J269" i="94"/>
  <c r="I269" i="94"/>
  <c r="H269" i="94"/>
  <c r="Q268" i="94"/>
  <c r="P268" i="94"/>
  <c r="O268" i="94"/>
  <c r="K268" i="94"/>
  <c r="J268" i="94"/>
  <c r="I268" i="94"/>
  <c r="H268" i="94"/>
  <c r="C268" i="94"/>
  <c r="Q267" i="94"/>
  <c r="P267" i="94"/>
  <c r="O267" i="94"/>
  <c r="K267" i="94"/>
  <c r="J267" i="94"/>
  <c r="I267" i="94"/>
  <c r="H267" i="94"/>
  <c r="G267" i="94"/>
  <c r="F267" i="94"/>
  <c r="E267" i="94"/>
  <c r="D267" i="94"/>
  <c r="C267" i="94"/>
  <c r="Q266" i="94"/>
  <c r="P266" i="94"/>
  <c r="O266" i="94"/>
  <c r="K266" i="94"/>
  <c r="J266" i="94"/>
  <c r="I266" i="94"/>
  <c r="H266" i="94"/>
  <c r="G266" i="94"/>
  <c r="F266" i="94"/>
  <c r="E266" i="94"/>
  <c r="D266" i="94"/>
  <c r="C266" i="94"/>
  <c r="Q265" i="94"/>
  <c r="P265" i="94"/>
  <c r="O265" i="94"/>
  <c r="K265" i="94"/>
  <c r="J265" i="94"/>
  <c r="I265" i="94"/>
  <c r="H265" i="94"/>
  <c r="G265" i="94"/>
  <c r="F265" i="94"/>
  <c r="E265" i="94"/>
  <c r="C265" i="94"/>
  <c r="K264" i="94"/>
  <c r="J264" i="94"/>
  <c r="I264" i="94"/>
  <c r="H264" i="94"/>
  <c r="G264" i="94"/>
  <c r="F264" i="94"/>
  <c r="E264" i="94"/>
  <c r="D264" i="94"/>
  <c r="C264" i="94"/>
  <c r="K263" i="94"/>
  <c r="J263" i="94"/>
  <c r="I263" i="94"/>
  <c r="H263" i="94"/>
  <c r="G263" i="94"/>
  <c r="F263" i="94"/>
  <c r="E263" i="94"/>
  <c r="D263" i="94"/>
  <c r="C263" i="94"/>
  <c r="G262" i="94"/>
  <c r="F262" i="94"/>
  <c r="E262" i="94"/>
  <c r="D262" i="94"/>
  <c r="C262" i="94"/>
  <c r="K261" i="94"/>
  <c r="J261" i="94"/>
  <c r="I261" i="94"/>
  <c r="H261" i="94"/>
  <c r="K260" i="94"/>
  <c r="J260" i="94"/>
  <c r="I260" i="94"/>
  <c r="H260" i="94"/>
  <c r="G260" i="94"/>
  <c r="F260" i="94"/>
  <c r="E260" i="94"/>
  <c r="C260" i="94"/>
  <c r="K259" i="94"/>
  <c r="J259" i="94"/>
  <c r="I259" i="94"/>
  <c r="H259" i="94"/>
  <c r="G259" i="94"/>
  <c r="F259" i="94"/>
  <c r="E259" i="94"/>
  <c r="D259" i="94"/>
  <c r="C259" i="94"/>
  <c r="Q258" i="94"/>
  <c r="P258" i="94"/>
  <c r="O258" i="94"/>
  <c r="K258" i="94"/>
  <c r="J258" i="94"/>
  <c r="I258" i="94"/>
  <c r="H258" i="94"/>
  <c r="G258" i="94"/>
  <c r="F258" i="94"/>
  <c r="E258" i="94"/>
  <c r="Q257" i="94"/>
  <c r="P257" i="94"/>
  <c r="O257" i="94"/>
  <c r="K257" i="94"/>
  <c r="J257" i="94"/>
  <c r="I257" i="94"/>
  <c r="H257" i="94"/>
  <c r="G257" i="94"/>
  <c r="F257" i="94"/>
  <c r="E257" i="94"/>
  <c r="C257" i="94"/>
  <c r="Q256" i="94"/>
  <c r="P256" i="94"/>
  <c r="O256" i="94"/>
  <c r="N256" i="94"/>
  <c r="K256" i="94"/>
  <c r="J256" i="94"/>
  <c r="I256" i="94"/>
  <c r="H256" i="94"/>
  <c r="G256" i="94"/>
  <c r="F256" i="94"/>
  <c r="E256" i="94"/>
  <c r="D256" i="94"/>
  <c r="C256" i="94"/>
  <c r="Q255" i="94"/>
  <c r="P255" i="94"/>
  <c r="O255" i="94"/>
  <c r="N255" i="94"/>
  <c r="K255" i="94"/>
  <c r="J255" i="94"/>
  <c r="I255" i="94"/>
  <c r="H255" i="94"/>
  <c r="G255" i="94"/>
  <c r="F255" i="94"/>
  <c r="E255" i="94"/>
  <c r="D255" i="94"/>
  <c r="C255" i="94"/>
  <c r="G254" i="94"/>
  <c r="F254" i="94"/>
  <c r="E254" i="94"/>
  <c r="D254" i="94"/>
  <c r="C254" i="94"/>
  <c r="Q253" i="94"/>
  <c r="P253" i="94"/>
  <c r="O253" i="94"/>
  <c r="K253" i="94"/>
  <c r="J253" i="94"/>
  <c r="I253" i="94"/>
  <c r="H253" i="94"/>
  <c r="G253" i="94"/>
  <c r="F253" i="94"/>
  <c r="E253" i="94"/>
  <c r="D253" i="94"/>
  <c r="C253" i="94"/>
  <c r="K252" i="94"/>
  <c r="J252" i="94"/>
  <c r="I252" i="94"/>
  <c r="H252" i="94"/>
  <c r="Q251" i="94"/>
  <c r="P251" i="94"/>
  <c r="O251" i="94"/>
  <c r="N251" i="94"/>
  <c r="K251" i="94"/>
  <c r="J251" i="94"/>
  <c r="I251" i="94"/>
  <c r="H251" i="94"/>
  <c r="G251" i="94"/>
  <c r="F251" i="94"/>
  <c r="E251" i="94"/>
  <c r="D251" i="94"/>
  <c r="C251" i="94"/>
  <c r="Q250" i="94"/>
  <c r="P250" i="94"/>
  <c r="O250" i="94"/>
  <c r="N250" i="94"/>
  <c r="K250" i="94"/>
  <c r="J250" i="94"/>
  <c r="I250" i="94"/>
  <c r="H250" i="94"/>
  <c r="Q249" i="94"/>
  <c r="P249" i="94"/>
  <c r="O249" i="94"/>
  <c r="N249" i="94"/>
  <c r="K249" i="94"/>
  <c r="J249" i="94"/>
  <c r="I249" i="94"/>
  <c r="H249" i="94"/>
  <c r="Q248" i="94"/>
  <c r="P248" i="94"/>
  <c r="O248" i="94"/>
  <c r="N248" i="94"/>
  <c r="K248" i="94"/>
  <c r="J248" i="94"/>
  <c r="I248" i="94"/>
  <c r="H248" i="94"/>
  <c r="G248" i="94"/>
  <c r="F248" i="94"/>
  <c r="E248" i="94"/>
  <c r="D248" i="94"/>
  <c r="C248" i="94"/>
  <c r="Q247" i="94"/>
  <c r="P247" i="94"/>
  <c r="O247" i="94"/>
  <c r="N247" i="94"/>
  <c r="K247" i="94"/>
  <c r="J247" i="94"/>
  <c r="I247" i="94"/>
  <c r="H247" i="94"/>
  <c r="G247" i="94"/>
  <c r="F247" i="94"/>
  <c r="E247" i="94"/>
  <c r="D247" i="94"/>
  <c r="C247" i="94"/>
  <c r="Q246" i="94"/>
  <c r="P246" i="94"/>
  <c r="O246" i="94"/>
  <c r="N246" i="94"/>
  <c r="M246" i="94"/>
  <c r="K246" i="94"/>
  <c r="J246" i="94"/>
  <c r="I246" i="94"/>
  <c r="H246" i="94"/>
  <c r="G246" i="94"/>
  <c r="F246" i="94"/>
  <c r="E246" i="94"/>
  <c r="D246" i="94"/>
  <c r="C246" i="94"/>
  <c r="G245" i="94"/>
  <c r="F245" i="94"/>
  <c r="E245" i="94"/>
  <c r="D245" i="94"/>
  <c r="C245" i="94"/>
  <c r="K244" i="94"/>
  <c r="J244" i="94"/>
  <c r="I244" i="94"/>
  <c r="H244" i="94"/>
  <c r="K243" i="94"/>
  <c r="J243" i="94"/>
  <c r="I243" i="94"/>
  <c r="H243" i="94"/>
  <c r="G243" i="94"/>
  <c r="F243" i="94"/>
  <c r="E243" i="94"/>
  <c r="C243" i="94"/>
  <c r="K242" i="94"/>
  <c r="J242" i="94"/>
  <c r="I242" i="94"/>
  <c r="H242" i="94"/>
  <c r="D242" i="94"/>
  <c r="C242" i="94"/>
  <c r="X241" i="94"/>
  <c r="Q241" i="94"/>
  <c r="P241" i="94"/>
  <c r="O241" i="94"/>
  <c r="K241" i="94"/>
  <c r="J241" i="94"/>
  <c r="I241" i="94"/>
  <c r="H241" i="94"/>
  <c r="G241" i="94"/>
  <c r="F241" i="94"/>
  <c r="E241" i="94"/>
  <c r="D241" i="94"/>
  <c r="C241" i="94"/>
  <c r="K240" i="94"/>
  <c r="J240" i="94"/>
  <c r="I240" i="94"/>
  <c r="H240" i="94"/>
  <c r="G240" i="94"/>
  <c r="F240" i="94"/>
  <c r="E240" i="94"/>
  <c r="D240" i="94"/>
  <c r="C240" i="94"/>
  <c r="K239" i="94"/>
  <c r="J239" i="94"/>
  <c r="I239" i="94"/>
  <c r="H239" i="94"/>
  <c r="G239" i="94"/>
  <c r="F239" i="94"/>
  <c r="E239" i="94"/>
  <c r="D239" i="94"/>
  <c r="C239" i="94"/>
  <c r="K238" i="94"/>
  <c r="J238" i="94"/>
  <c r="I238" i="94"/>
  <c r="H238" i="94"/>
  <c r="G238" i="94"/>
  <c r="F238" i="94"/>
  <c r="E238" i="94"/>
  <c r="D238" i="94"/>
  <c r="C238" i="94"/>
  <c r="K237" i="94"/>
  <c r="J237" i="94"/>
  <c r="I237" i="94"/>
  <c r="H237" i="94"/>
  <c r="G237" i="94"/>
  <c r="F237" i="94"/>
  <c r="E237" i="94"/>
  <c r="C237" i="94"/>
  <c r="K236" i="94"/>
  <c r="J236" i="94"/>
  <c r="I236" i="94"/>
  <c r="H236" i="94"/>
  <c r="G236" i="94"/>
  <c r="F236" i="94"/>
  <c r="E236" i="94"/>
  <c r="D236" i="94"/>
  <c r="C236" i="94"/>
  <c r="Q235" i="94"/>
  <c r="P235" i="94"/>
  <c r="O235" i="94"/>
  <c r="N235" i="94"/>
  <c r="K235" i="94"/>
  <c r="J235" i="94"/>
  <c r="I235" i="94"/>
  <c r="H235" i="94"/>
  <c r="G235" i="94"/>
  <c r="F235" i="94"/>
  <c r="E235" i="94"/>
  <c r="D235" i="94"/>
  <c r="C235" i="94"/>
  <c r="Q234" i="94"/>
  <c r="P234" i="94"/>
  <c r="O234" i="94"/>
  <c r="N234" i="94"/>
  <c r="K234" i="94"/>
  <c r="J234" i="94"/>
  <c r="I234" i="94"/>
  <c r="H234" i="94"/>
  <c r="Q233" i="94"/>
  <c r="P233" i="94"/>
  <c r="O233" i="94"/>
  <c r="N233" i="94"/>
  <c r="K233" i="94"/>
  <c r="J233" i="94"/>
  <c r="I233" i="94"/>
  <c r="H233" i="94"/>
  <c r="G233" i="94"/>
  <c r="F233" i="94"/>
  <c r="E233" i="94"/>
  <c r="D233" i="94"/>
  <c r="C233" i="94"/>
  <c r="Q232" i="94"/>
  <c r="P232" i="94"/>
  <c r="O232" i="94"/>
  <c r="N232" i="94"/>
  <c r="K232" i="94"/>
  <c r="J232" i="94"/>
  <c r="I232" i="94"/>
  <c r="H232" i="94"/>
  <c r="C232" i="94"/>
  <c r="Q231" i="94"/>
  <c r="P231" i="94"/>
  <c r="O231" i="94"/>
  <c r="N231" i="94"/>
  <c r="K231" i="94"/>
  <c r="J231" i="94"/>
  <c r="I231" i="94"/>
  <c r="H231" i="94"/>
  <c r="G231" i="94"/>
  <c r="F231" i="94"/>
  <c r="E231" i="94"/>
  <c r="D231" i="94"/>
  <c r="C231" i="94"/>
  <c r="Q230" i="94"/>
  <c r="P230" i="94"/>
  <c r="O230" i="94"/>
  <c r="N230" i="94"/>
  <c r="K230" i="94"/>
  <c r="J230" i="94"/>
  <c r="I230" i="94"/>
  <c r="H230" i="94"/>
  <c r="G230" i="94"/>
  <c r="F230" i="94"/>
  <c r="E230" i="94"/>
  <c r="D230" i="94"/>
  <c r="C230" i="94"/>
  <c r="G229" i="94"/>
  <c r="F229" i="94"/>
  <c r="E229" i="94"/>
  <c r="D229" i="94"/>
  <c r="C229" i="94"/>
  <c r="T226" i="94"/>
  <c r="S226" i="94"/>
  <c r="R226" i="94"/>
  <c r="Q226" i="94"/>
  <c r="P226" i="94"/>
  <c r="O226" i="94"/>
  <c r="W226" i="94" s="1"/>
  <c r="N226" i="94"/>
  <c r="M226" i="94"/>
  <c r="K226" i="94"/>
  <c r="J226" i="94"/>
  <c r="I226" i="94"/>
  <c r="H226" i="94"/>
  <c r="G226" i="94"/>
  <c r="F226" i="94"/>
  <c r="E226" i="94"/>
  <c r="D226" i="94"/>
  <c r="C226" i="94"/>
  <c r="Q223" i="94"/>
  <c r="Q424" i="94" s="1"/>
  <c r="P223" i="94"/>
  <c r="P424" i="94" s="1"/>
  <c r="O223" i="94"/>
  <c r="O424" i="94" s="1"/>
  <c r="N223" i="94"/>
  <c r="N424" i="94" s="1"/>
  <c r="G223" i="94"/>
  <c r="G424" i="94" s="1"/>
  <c r="D223" i="94"/>
  <c r="D424" i="94" s="1"/>
  <c r="C223" i="94"/>
  <c r="C424" i="94" s="1"/>
  <c r="Q222" i="94"/>
  <c r="Q423" i="94" s="1"/>
  <c r="P222" i="94"/>
  <c r="P423" i="94" s="1"/>
  <c r="O222" i="94"/>
  <c r="O423" i="94" s="1"/>
  <c r="N222" i="94"/>
  <c r="N423" i="94" s="1"/>
  <c r="G222" i="94"/>
  <c r="G423" i="94" s="1"/>
  <c r="F222" i="94"/>
  <c r="F423" i="94" s="1"/>
  <c r="E222" i="94"/>
  <c r="E423" i="94" s="1"/>
  <c r="D222" i="94"/>
  <c r="D423" i="94" s="1"/>
  <c r="N221" i="94"/>
  <c r="N422" i="94" s="1"/>
  <c r="I221" i="94"/>
  <c r="D221" i="94"/>
  <c r="D422" i="94" s="1"/>
  <c r="N220" i="94"/>
  <c r="N421" i="94" s="1"/>
  <c r="G220" i="94"/>
  <c r="G421" i="94" s="1"/>
  <c r="F220" i="94"/>
  <c r="F421" i="94" s="1"/>
  <c r="E220" i="94"/>
  <c r="E421" i="94" s="1"/>
  <c r="D220" i="94"/>
  <c r="D421" i="94" s="1"/>
  <c r="C220" i="94"/>
  <c r="C421" i="94" s="1"/>
  <c r="N219" i="94"/>
  <c r="N420" i="94" s="1"/>
  <c r="G219" i="94"/>
  <c r="G420" i="94" s="1"/>
  <c r="F219" i="94"/>
  <c r="F420" i="94" s="1"/>
  <c r="E219" i="94"/>
  <c r="E420" i="94" s="1"/>
  <c r="D219" i="94"/>
  <c r="D420" i="94" s="1"/>
  <c r="C219" i="94"/>
  <c r="C420" i="94" s="1"/>
  <c r="Q218" i="94"/>
  <c r="Q419" i="94" s="1"/>
  <c r="P218" i="94"/>
  <c r="P419" i="94" s="1"/>
  <c r="O218" i="94"/>
  <c r="O419" i="94" s="1"/>
  <c r="N218" i="94"/>
  <c r="N419" i="94" s="1"/>
  <c r="D218" i="94"/>
  <c r="D419" i="94" s="1"/>
  <c r="C218" i="94"/>
  <c r="C419" i="94" s="1"/>
  <c r="Q217" i="94"/>
  <c r="Q418" i="94" s="1"/>
  <c r="P217" i="94"/>
  <c r="P418" i="94" s="1"/>
  <c r="O217" i="94"/>
  <c r="O418" i="94" s="1"/>
  <c r="N217" i="94"/>
  <c r="N418" i="94" s="1"/>
  <c r="D217" i="94"/>
  <c r="D418" i="94" s="1"/>
  <c r="C217" i="94"/>
  <c r="Q216" i="94"/>
  <c r="Q417" i="94" s="1"/>
  <c r="P216" i="94"/>
  <c r="P417" i="94" s="1"/>
  <c r="O216" i="94"/>
  <c r="O417" i="94" s="1"/>
  <c r="N216" i="94"/>
  <c r="N417" i="94" s="1"/>
  <c r="H216" i="94"/>
  <c r="H417" i="94" s="1"/>
  <c r="Q215" i="94"/>
  <c r="P215" i="94"/>
  <c r="O215" i="94"/>
  <c r="N215" i="94"/>
  <c r="J214" i="94"/>
  <c r="J415" i="94" s="1"/>
  <c r="Q213" i="94"/>
  <c r="Q414" i="94" s="1"/>
  <c r="P213" i="94"/>
  <c r="P414" i="94" s="1"/>
  <c r="O213" i="94"/>
  <c r="O414" i="94" s="1"/>
  <c r="K213" i="94"/>
  <c r="K414" i="94" s="1"/>
  <c r="J213" i="94"/>
  <c r="J414" i="94" s="1"/>
  <c r="I213" i="94"/>
  <c r="I414" i="94" s="1"/>
  <c r="H213" i="94"/>
  <c r="I219" i="94" s="1"/>
  <c r="K212" i="94"/>
  <c r="K413" i="94" s="1"/>
  <c r="J212" i="94"/>
  <c r="J413" i="94" s="1"/>
  <c r="H212" i="94"/>
  <c r="Q211" i="94"/>
  <c r="P211" i="94"/>
  <c r="O211" i="94"/>
  <c r="N211" i="94"/>
  <c r="Q210" i="94"/>
  <c r="Q411" i="94" s="1"/>
  <c r="P210" i="94"/>
  <c r="P411" i="94" s="1"/>
  <c r="O210" i="94"/>
  <c r="O411" i="94" s="1"/>
  <c r="N210" i="94"/>
  <c r="N411" i="94" s="1"/>
  <c r="E210" i="94"/>
  <c r="E411" i="94" s="1"/>
  <c r="D210" i="94"/>
  <c r="D411" i="94" s="1"/>
  <c r="C210" i="94"/>
  <c r="C411" i="94" s="1"/>
  <c r="Q209" i="94"/>
  <c r="Q410" i="94" s="1"/>
  <c r="P209" i="94"/>
  <c r="P410" i="94" s="1"/>
  <c r="O209" i="94"/>
  <c r="O410" i="94" s="1"/>
  <c r="N209" i="94"/>
  <c r="N410" i="94" s="1"/>
  <c r="G209" i="94"/>
  <c r="G410" i="94" s="1"/>
  <c r="E209" i="94"/>
  <c r="E410" i="94" s="1"/>
  <c r="D209" i="94"/>
  <c r="D410" i="94" s="1"/>
  <c r="C209" i="94"/>
  <c r="C410" i="94" s="1"/>
  <c r="Q208" i="94"/>
  <c r="Q409" i="94" s="1"/>
  <c r="P208" i="94"/>
  <c r="P409" i="94" s="1"/>
  <c r="O208" i="94"/>
  <c r="O409" i="94" s="1"/>
  <c r="N208" i="94"/>
  <c r="N409" i="94" s="1"/>
  <c r="D208" i="94"/>
  <c r="D409" i="94" s="1"/>
  <c r="C208" i="94"/>
  <c r="C409" i="94" s="1"/>
  <c r="Q207" i="94"/>
  <c r="Q408" i="94" s="1"/>
  <c r="P207" i="94"/>
  <c r="P408" i="94" s="1"/>
  <c r="O207" i="94"/>
  <c r="O408" i="94" s="1"/>
  <c r="N207" i="94"/>
  <c r="N408" i="94" s="1"/>
  <c r="G207" i="94"/>
  <c r="G408" i="94" s="1"/>
  <c r="E207" i="94"/>
  <c r="E408" i="94" s="1"/>
  <c r="D207" i="94"/>
  <c r="D408" i="94" s="1"/>
  <c r="C207" i="94"/>
  <c r="C408" i="94" s="1"/>
  <c r="Q206" i="94"/>
  <c r="Q407" i="94" s="1"/>
  <c r="P206" i="94"/>
  <c r="P407" i="94" s="1"/>
  <c r="O206" i="94"/>
  <c r="O407" i="94" s="1"/>
  <c r="K206" i="94"/>
  <c r="K407" i="94" s="1"/>
  <c r="J206" i="94"/>
  <c r="J407" i="94" s="1"/>
  <c r="I206" i="94"/>
  <c r="H206" i="94"/>
  <c r="H407" i="94" s="1"/>
  <c r="D206" i="94"/>
  <c r="D407" i="94" s="1"/>
  <c r="G205" i="94"/>
  <c r="F205" i="94"/>
  <c r="E205" i="94"/>
  <c r="D205" i="94"/>
  <c r="C205" i="94"/>
  <c r="Q202" i="94"/>
  <c r="P202" i="94"/>
  <c r="O202" i="94"/>
  <c r="N202" i="94"/>
  <c r="Q201" i="94"/>
  <c r="P201" i="94"/>
  <c r="O201" i="94"/>
  <c r="N201" i="94"/>
  <c r="Q200" i="94"/>
  <c r="P200" i="94"/>
  <c r="O200" i="94"/>
  <c r="N200" i="94"/>
  <c r="Q199" i="94"/>
  <c r="P199" i="94"/>
  <c r="K199" i="94"/>
  <c r="J199" i="94"/>
  <c r="I199" i="94"/>
  <c r="O199" i="94" s="1"/>
  <c r="H199" i="94"/>
  <c r="N199" i="94" s="1"/>
  <c r="D199" i="94"/>
  <c r="D198" i="94"/>
  <c r="D212" i="94" s="1"/>
  <c r="C198" i="94"/>
  <c r="C212" i="94" s="1"/>
  <c r="Q197" i="94"/>
  <c r="P197" i="94"/>
  <c r="O197" i="94"/>
  <c r="N197" i="94"/>
  <c r="Q195" i="94"/>
  <c r="P195" i="94"/>
  <c r="O195" i="94"/>
  <c r="N195" i="94"/>
  <c r="K195" i="94"/>
  <c r="J195" i="94"/>
  <c r="I195" i="94"/>
  <c r="H195" i="94"/>
  <c r="G195" i="94"/>
  <c r="F195" i="94"/>
  <c r="E195" i="94"/>
  <c r="D195" i="94"/>
  <c r="C195" i="94"/>
  <c r="G192" i="94"/>
  <c r="F192" i="94"/>
  <c r="E192" i="94"/>
  <c r="D192" i="94"/>
  <c r="C192" i="94"/>
  <c r="G191" i="94"/>
  <c r="F191" i="94"/>
  <c r="E191" i="94"/>
  <c r="D191" i="94"/>
  <c r="C191" i="94"/>
  <c r="C185" i="94" s="1"/>
  <c r="N190" i="94"/>
  <c r="O190" i="94" s="1"/>
  <c r="D190" i="94"/>
  <c r="H190" i="94" s="1"/>
  <c r="T189" i="94"/>
  <c r="Q189" i="94"/>
  <c r="P189" i="94"/>
  <c r="O189" i="94"/>
  <c r="M189" i="94"/>
  <c r="K189" i="94"/>
  <c r="J189" i="94"/>
  <c r="I189" i="94"/>
  <c r="H189" i="94"/>
  <c r="G189" i="94"/>
  <c r="F189" i="94"/>
  <c r="S189" i="94" s="1"/>
  <c r="E189" i="94"/>
  <c r="R189" i="94" s="1"/>
  <c r="D189" i="94"/>
  <c r="C189" i="94"/>
  <c r="U188" i="94"/>
  <c r="T188" i="94"/>
  <c r="S188" i="94"/>
  <c r="R188" i="94"/>
  <c r="K188" i="94"/>
  <c r="J188" i="94"/>
  <c r="I188" i="94"/>
  <c r="H188" i="94"/>
  <c r="D188" i="94"/>
  <c r="G187" i="94"/>
  <c r="F187" i="94"/>
  <c r="E187" i="94"/>
  <c r="D187" i="94"/>
  <c r="C187" i="94"/>
  <c r="G186" i="94"/>
  <c r="F186" i="94"/>
  <c r="E186" i="94"/>
  <c r="D186" i="94"/>
  <c r="C186" i="94"/>
  <c r="D185" i="94"/>
  <c r="U183" i="94"/>
  <c r="T183" i="94"/>
  <c r="S183" i="94"/>
  <c r="R183" i="94"/>
  <c r="Q183" i="94"/>
  <c r="P183" i="94"/>
  <c r="O183" i="94"/>
  <c r="N183" i="94"/>
  <c r="M183" i="94"/>
  <c r="M195" i="94" s="1"/>
  <c r="K183" i="94"/>
  <c r="J183" i="94"/>
  <c r="I183" i="94"/>
  <c r="H183" i="94"/>
  <c r="G183" i="94"/>
  <c r="F183" i="94"/>
  <c r="E183" i="94"/>
  <c r="D183" i="94"/>
  <c r="C183" i="94"/>
  <c r="X179" i="94"/>
  <c r="X249" i="94" s="1"/>
  <c r="W179" i="94"/>
  <c r="T179" i="94"/>
  <c r="T253" i="94" s="1"/>
  <c r="S179" i="94"/>
  <c r="S253" i="94" s="1"/>
  <c r="R179" i="94"/>
  <c r="R253" i="94" s="1"/>
  <c r="M179" i="94"/>
  <c r="M318" i="94" s="1"/>
  <c r="W175" i="94"/>
  <c r="W399" i="94" s="1"/>
  <c r="U175" i="94"/>
  <c r="T175" i="94"/>
  <c r="T399" i="94" s="1"/>
  <c r="S175" i="94"/>
  <c r="S399" i="94" s="1"/>
  <c r="R175" i="94"/>
  <c r="N175" i="94"/>
  <c r="N399" i="94" s="1"/>
  <c r="C175" i="94"/>
  <c r="C399" i="94" s="1"/>
  <c r="W174" i="94"/>
  <c r="T174" i="94"/>
  <c r="T398" i="94" s="1"/>
  <c r="S174" i="94"/>
  <c r="S398" i="94" s="1"/>
  <c r="R174" i="94"/>
  <c r="N174" i="94"/>
  <c r="G174" i="94"/>
  <c r="G398" i="94" s="1"/>
  <c r="F174" i="94"/>
  <c r="F398" i="94" s="1"/>
  <c r="E174" i="94"/>
  <c r="E398" i="94" s="1"/>
  <c r="D174" i="94"/>
  <c r="D398" i="94" s="1"/>
  <c r="Y173" i="94"/>
  <c r="W173" i="94"/>
  <c r="W397" i="94" s="1"/>
  <c r="U173" i="94"/>
  <c r="T173" i="94"/>
  <c r="T397" i="94" s="1"/>
  <c r="S173" i="94"/>
  <c r="R173" i="94"/>
  <c r="N173" i="94"/>
  <c r="N397" i="94" s="1"/>
  <c r="Y172" i="94"/>
  <c r="W172" i="94"/>
  <c r="W396" i="94" s="1"/>
  <c r="U172" i="94"/>
  <c r="T172" i="94"/>
  <c r="T396" i="94" s="1"/>
  <c r="S172" i="94"/>
  <c r="S396" i="94" s="1"/>
  <c r="R172" i="94"/>
  <c r="N172" i="94"/>
  <c r="N396" i="94" s="1"/>
  <c r="U171" i="94"/>
  <c r="T171" i="94"/>
  <c r="T395" i="94" s="1"/>
  <c r="S171" i="94"/>
  <c r="S395" i="94" s="1"/>
  <c r="O171" i="94"/>
  <c r="O395" i="94" s="1"/>
  <c r="N171" i="94"/>
  <c r="N395" i="94" s="1"/>
  <c r="W170" i="94"/>
  <c r="T170" i="94"/>
  <c r="S170" i="94"/>
  <c r="S394" i="94" s="1"/>
  <c r="R170" i="94"/>
  <c r="N170" i="94"/>
  <c r="N394" i="94" s="1"/>
  <c r="G170" i="94"/>
  <c r="G394" i="94" s="1"/>
  <c r="F170" i="94"/>
  <c r="F394" i="94" s="1"/>
  <c r="E170" i="94"/>
  <c r="E394" i="94" s="1"/>
  <c r="Z169" i="94"/>
  <c r="Y169" i="94"/>
  <c r="W169" i="94"/>
  <c r="T169" i="94"/>
  <c r="T393" i="94" s="1"/>
  <c r="S169" i="94"/>
  <c r="S393" i="94" s="1"/>
  <c r="R169" i="94"/>
  <c r="N169" i="94"/>
  <c r="G169" i="94"/>
  <c r="G393" i="94" s="1"/>
  <c r="F169" i="94"/>
  <c r="F393" i="94" s="1"/>
  <c r="E169" i="94"/>
  <c r="E393" i="94" s="1"/>
  <c r="D169" i="94"/>
  <c r="D393" i="94" s="1"/>
  <c r="N168" i="94"/>
  <c r="N392" i="94" s="1"/>
  <c r="Z167" i="94"/>
  <c r="Y167" i="94"/>
  <c r="W167" i="94"/>
  <c r="W391" i="94" s="1"/>
  <c r="T167" i="94"/>
  <c r="T391" i="94" s="1"/>
  <c r="S167" i="94"/>
  <c r="S391" i="94" s="1"/>
  <c r="R167" i="94"/>
  <c r="N167" i="94"/>
  <c r="N391" i="94" s="1"/>
  <c r="Z166" i="94"/>
  <c r="Y166" i="94"/>
  <c r="W166" i="94"/>
  <c r="W390" i="94" s="1"/>
  <c r="T166" i="94"/>
  <c r="T390" i="94" s="1"/>
  <c r="S166" i="94"/>
  <c r="S390" i="94" s="1"/>
  <c r="R166" i="94"/>
  <c r="N166" i="94"/>
  <c r="N390" i="94" s="1"/>
  <c r="Z165" i="94"/>
  <c r="Y165" i="94"/>
  <c r="W165" i="94"/>
  <c r="W389" i="94" s="1"/>
  <c r="T165" i="94"/>
  <c r="T389" i="94" s="1"/>
  <c r="S165" i="94"/>
  <c r="S389" i="94" s="1"/>
  <c r="R165" i="94"/>
  <c r="N165" i="94"/>
  <c r="N389" i="94" s="1"/>
  <c r="Z164" i="94"/>
  <c r="Y164" i="94"/>
  <c r="W164" i="94"/>
  <c r="W388" i="94" s="1"/>
  <c r="T164" i="94"/>
  <c r="T388" i="94" s="1"/>
  <c r="S164" i="94"/>
  <c r="S388" i="94" s="1"/>
  <c r="R164" i="94"/>
  <c r="N164" i="94"/>
  <c r="N388" i="94" s="1"/>
  <c r="T163" i="94"/>
  <c r="T387" i="94" s="1"/>
  <c r="R163" i="94"/>
  <c r="Q163" i="94"/>
  <c r="Q387" i="94" s="1"/>
  <c r="P163" i="94"/>
  <c r="O163" i="94"/>
  <c r="O387" i="94" s="1"/>
  <c r="N163" i="94"/>
  <c r="N387" i="94" s="1"/>
  <c r="Y162" i="94"/>
  <c r="W162" i="94"/>
  <c r="W386" i="94" s="1"/>
  <c r="U162" i="94"/>
  <c r="T162" i="94"/>
  <c r="T386" i="94" s="1"/>
  <c r="S162" i="94"/>
  <c r="S386" i="94" s="1"/>
  <c r="R162" i="94"/>
  <c r="N162" i="94"/>
  <c r="N386" i="94" s="1"/>
  <c r="Y161" i="94"/>
  <c r="W161" i="94"/>
  <c r="W385" i="94" s="1"/>
  <c r="U161" i="94"/>
  <c r="T161" i="94"/>
  <c r="T385" i="94" s="1"/>
  <c r="S161" i="94"/>
  <c r="S385" i="94" s="1"/>
  <c r="R161" i="94"/>
  <c r="N161" i="94"/>
  <c r="N385" i="94" s="1"/>
  <c r="T160" i="94"/>
  <c r="T384" i="94" s="1"/>
  <c r="S160" i="94"/>
  <c r="S384" i="94" s="1"/>
  <c r="Q160" i="94"/>
  <c r="Q384" i="94" s="1"/>
  <c r="P160" i="94"/>
  <c r="P384" i="94" s="1"/>
  <c r="O160" i="94"/>
  <c r="O384" i="94" s="1"/>
  <c r="N160" i="94"/>
  <c r="N384" i="94" s="1"/>
  <c r="W159" i="94"/>
  <c r="T159" i="94"/>
  <c r="T383" i="94" s="1"/>
  <c r="S159" i="94"/>
  <c r="S383" i="94" s="1"/>
  <c r="R159" i="94"/>
  <c r="N159" i="94"/>
  <c r="N383" i="94" s="1"/>
  <c r="W158" i="94"/>
  <c r="R158" i="94"/>
  <c r="Q158" i="94"/>
  <c r="Q382" i="94" s="1"/>
  <c r="P158" i="94"/>
  <c r="P382" i="94" s="1"/>
  <c r="O158" i="94"/>
  <c r="O382" i="94" s="1"/>
  <c r="N158" i="94"/>
  <c r="N382" i="94" s="1"/>
  <c r="F158" i="94"/>
  <c r="F175" i="94" s="1"/>
  <c r="F399" i="94" s="1"/>
  <c r="E158" i="94"/>
  <c r="C158" i="94"/>
  <c r="C382" i="94" s="1"/>
  <c r="T157" i="94"/>
  <c r="Q157" i="94"/>
  <c r="Q381" i="94" s="1"/>
  <c r="P157" i="94"/>
  <c r="P381" i="94" s="1"/>
  <c r="O157" i="94"/>
  <c r="O381" i="94" s="1"/>
  <c r="N157" i="94"/>
  <c r="N381" i="94" s="1"/>
  <c r="X156" i="94"/>
  <c r="X380" i="94" s="1"/>
  <c r="M156" i="94"/>
  <c r="M380" i="94" s="1"/>
  <c r="K156" i="94"/>
  <c r="K380" i="94" s="1"/>
  <c r="J156" i="94"/>
  <c r="J380" i="94" s="1"/>
  <c r="I156" i="94"/>
  <c r="I380" i="94" s="1"/>
  <c r="H156" i="94"/>
  <c r="H380" i="94" s="1"/>
  <c r="Z155" i="94"/>
  <c r="Y155" i="94"/>
  <c r="W155" i="94"/>
  <c r="W379" i="94" s="1"/>
  <c r="T155" i="94"/>
  <c r="T379" i="94" s="1"/>
  <c r="S155" i="94"/>
  <c r="S379" i="94" s="1"/>
  <c r="R155" i="94"/>
  <c r="N155" i="94"/>
  <c r="N379" i="94" s="1"/>
  <c r="G155" i="94"/>
  <c r="G379" i="94" s="1"/>
  <c r="F155" i="94"/>
  <c r="F379" i="94" s="1"/>
  <c r="E155" i="94"/>
  <c r="E379" i="94" s="1"/>
  <c r="D155" i="94"/>
  <c r="D379" i="94" s="1"/>
  <c r="W154" i="94"/>
  <c r="W378" i="94" s="1"/>
  <c r="U154" i="94"/>
  <c r="T154" i="94"/>
  <c r="T378" i="94" s="1"/>
  <c r="S154" i="94"/>
  <c r="S378" i="94" s="1"/>
  <c r="R154" i="94"/>
  <c r="N154" i="94"/>
  <c r="N378" i="94" s="1"/>
  <c r="W153" i="94"/>
  <c r="W377" i="94" s="1"/>
  <c r="U153" i="94"/>
  <c r="Q153" i="94"/>
  <c r="Q377" i="94" s="1"/>
  <c r="P153" i="94"/>
  <c r="P377" i="94" s="1"/>
  <c r="O153" i="94"/>
  <c r="O377" i="94" s="1"/>
  <c r="N153" i="94"/>
  <c r="N377" i="94" s="1"/>
  <c r="T152" i="94"/>
  <c r="T376" i="94" s="1"/>
  <c r="R152" i="94"/>
  <c r="Q152" i="94"/>
  <c r="Q376" i="94" s="1"/>
  <c r="P152" i="94"/>
  <c r="O152" i="94"/>
  <c r="O376" i="94" s="1"/>
  <c r="N152" i="94"/>
  <c r="N376" i="94" s="1"/>
  <c r="C152" i="94"/>
  <c r="C376" i="94" s="1"/>
  <c r="W151" i="94"/>
  <c r="W375" i="94" s="1"/>
  <c r="T151" i="94"/>
  <c r="T375" i="94" s="1"/>
  <c r="Q151" i="94"/>
  <c r="Q375" i="94" s="1"/>
  <c r="P151" i="94"/>
  <c r="P375" i="94" s="1"/>
  <c r="O151" i="94"/>
  <c r="O375" i="94" s="1"/>
  <c r="N151" i="94"/>
  <c r="N375" i="94" s="1"/>
  <c r="O150" i="94"/>
  <c r="N150" i="94"/>
  <c r="N374" i="94" s="1"/>
  <c r="W149" i="94"/>
  <c r="W373" i="94" s="1"/>
  <c r="T149" i="94"/>
  <c r="T373" i="94" s="1"/>
  <c r="S149" i="94"/>
  <c r="S373" i="94" s="1"/>
  <c r="R149" i="94"/>
  <c r="Q149" i="94"/>
  <c r="Q373" i="94" s="1"/>
  <c r="P149" i="94"/>
  <c r="P373" i="94" s="1"/>
  <c r="O149" i="94"/>
  <c r="O373" i="94" s="1"/>
  <c r="N149" i="94"/>
  <c r="N373" i="94" s="1"/>
  <c r="C149" i="94"/>
  <c r="X148" i="94"/>
  <c r="O148" i="94"/>
  <c r="M148" i="94"/>
  <c r="M372" i="94" s="1"/>
  <c r="K148" i="94"/>
  <c r="K372" i="94" s="1"/>
  <c r="J148" i="94"/>
  <c r="J372" i="94" s="1"/>
  <c r="I148" i="94"/>
  <c r="I372" i="94" s="1"/>
  <c r="H148" i="94"/>
  <c r="H372" i="94" s="1"/>
  <c r="Y147" i="94"/>
  <c r="W147" i="94"/>
  <c r="W371" i="94" s="1"/>
  <c r="T147" i="94"/>
  <c r="T371" i="94" s="1"/>
  <c r="S147" i="94"/>
  <c r="S371" i="94" s="1"/>
  <c r="R147" i="94"/>
  <c r="N147" i="94"/>
  <c r="N371" i="94" s="1"/>
  <c r="F147" i="94"/>
  <c r="F371" i="94" s="1"/>
  <c r="W146" i="94"/>
  <c r="W370" i="94" s="1"/>
  <c r="U146" i="94"/>
  <c r="T146" i="94"/>
  <c r="T370" i="94" s="1"/>
  <c r="S146" i="94"/>
  <c r="S370" i="94" s="1"/>
  <c r="R146" i="94"/>
  <c r="N146" i="94"/>
  <c r="N370" i="94" s="1"/>
  <c r="W145" i="94"/>
  <c r="W369" i="94" s="1"/>
  <c r="U145" i="94"/>
  <c r="T145" i="94"/>
  <c r="T369" i="94" s="1"/>
  <c r="S145" i="94"/>
  <c r="S369" i="94" s="1"/>
  <c r="R145" i="94"/>
  <c r="N145" i="94"/>
  <c r="N369" i="94" s="1"/>
  <c r="W144" i="94"/>
  <c r="W368" i="94" s="1"/>
  <c r="U144" i="94"/>
  <c r="T144" i="94"/>
  <c r="T368" i="94" s="1"/>
  <c r="S144" i="94"/>
  <c r="S368" i="94" s="1"/>
  <c r="R144" i="94"/>
  <c r="N144" i="94"/>
  <c r="N368" i="94" s="1"/>
  <c r="G144" i="94"/>
  <c r="G368" i="94" s="1"/>
  <c r="F144" i="94"/>
  <c r="F368" i="94" s="1"/>
  <c r="E144" i="94"/>
  <c r="E368" i="94" s="1"/>
  <c r="D144" i="94"/>
  <c r="D368" i="94" s="1"/>
  <c r="Z143" i="94"/>
  <c r="Y143" i="94"/>
  <c r="W143" i="94"/>
  <c r="W367" i="94" s="1"/>
  <c r="T143" i="94"/>
  <c r="T367" i="94" s="1"/>
  <c r="S143" i="94"/>
  <c r="S367" i="94" s="1"/>
  <c r="R143" i="94"/>
  <c r="N143" i="94"/>
  <c r="N367" i="94" s="1"/>
  <c r="Z142" i="94"/>
  <c r="Y142" i="94"/>
  <c r="W142" i="94"/>
  <c r="W366" i="94" s="1"/>
  <c r="T142" i="94"/>
  <c r="T366" i="94" s="1"/>
  <c r="S142" i="94"/>
  <c r="S366" i="94" s="1"/>
  <c r="R142" i="94"/>
  <c r="N142" i="94"/>
  <c r="N366" i="94" s="1"/>
  <c r="T141" i="94"/>
  <c r="T365" i="94" s="1"/>
  <c r="R141" i="94"/>
  <c r="Q141" i="94"/>
  <c r="Q365" i="94" s="1"/>
  <c r="P141" i="94"/>
  <c r="O141" i="94"/>
  <c r="O365" i="94" s="1"/>
  <c r="N141" i="94"/>
  <c r="N365" i="94" s="1"/>
  <c r="Y140" i="94"/>
  <c r="W140" i="94"/>
  <c r="W364" i="94" s="1"/>
  <c r="U140" i="94"/>
  <c r="T140" i="94"/>
  <c r="T364" i="94" s="1"/>
  <c r="S140" i="94"/>
  <c r="S364" i="94" s="1"/>
  <c r="R140" i="94"/>
  <c r="N140" i="94"/>
  <c r="N364" i="94" s="1"/>
  <c r="C140" i="94"/>
  <c r="C364" i="94" s="1"/>
  <c r="W139" i="94"/>
  <c r="W363" i="94" s="1"/>
  <c r="U139" i="94"/>
  <c r="T139" i="94"/>
  <c r="T363" i="94" s="1"/>
  <c r="S139" i="94"/>
  <c r="S363" i="94" s="1"/>
  <c r="R139" i="94"/>
  <c r="N139" i="94"/>
  <c r="N363" i="94" s="1"/>
  <c r="G139" i="94"/>
  <c r="G363" i="94" s="1"/>
  <c r="F139" i="94"/>
  <c r="F363" i="94" s="1"/>
  <c r="E139" i="94"/>
  <c r="E363" i="94" s="1"/>
  <c r="D139" i="94"/>
  <c r="D363" i="94" s="1"/>
  <c r="T138" i="94"/>
  <c r="T362" i="94" s="1"/>
  <c r="R138" i="94"/>
  <c r="Q138" i="94"/>
  <c r="Q362" i="94" s="1"/>
  <c r="P138" i="94"/>
  <c r="O138" i="94"/>
  <c r="O362" i="94" s="1"/>
  <c r="N138" i="94"/>
  <c r="N362" i="94" s="1"/>
  <c r="G138" i="94"/>
  <c r="G362" i="94" s="1"/>
  <c r="F138" i="94"/>
  <c r="F362" i="94" s="1"/>
  <c r="E138" i="94"/>
  <c r="E362" i="94" s="1"/>
  <c r="D138" i="94"/>
  <c r="D362" i="94" s="1"/>
  <c r="C138" i="94"/>
  <c r="C362" i="94" s="1"/>
  <c r="T137" i="94"/>
  <c r="T361" i="94" s="1"/>
  <c r="S137" i="94"/>
  <c r="S361" i="94" s="1"/>
  <c r="R137" i="94"/>
  <c r="O137" i="94"/>
  <c r="O361" i="94" s="1"/>
  <c r="N137" i="94"/>
  <c r="N361" i="94" s="1"/>
  <c r="Z136" i="94"/>
  <c r="Y136" i="94"/>
  <c r="W136" i="94"/>
  <c r="W360" i="94" s="1"/>
  <c r="T136" i="94"/>
  <c r="T360" i="94" s="1"/>
  <c r="S136" i="94"/>
  <c r="S360" i="94" s="1"/>
  <c r="R136" i="94"/>
  <c r="N136" i="94"/>
  <c r="Z135" i="94"/>
  <c r="Y135" i="94"/>
  <c r="W135" i="94"/>
  <c r="W359" i="94" s="1"/>
  <c r="T135" i="94"/>
  <c r="T359" i="94" s="1"/>
  <c r="S135" i="94"/>
  <c r="S359" i="94" s="1"/>
  <c r="R135" i="94"/>
  <c r="N135" i="94"/>
  <c r="Z134" i="94"/>
  <c r="Y134" i="94"/>
  <c r="W134" i="94"/>
  <c r="W358" i="94" s="1"/>
  <c r="T134" i="94"/>
  <c r="T358" i="94" s="1"/>
  <c r="S134" i="94"/>
  <c r="S358" i="94" s="1"/>
  <c r="R134" i="94"/>
  <c r="N134" i="94"/>
  <c r="G134" i="94"/>
  <c r="G358" i="94" s="1"/>
  <c r="W133" i="94"/>
  <c r="W357" i="94" s="1"/>
  <c r="T133" i="94"/>
  <c r="T357" i="94" s="1"/>
  <c r="S133" i="94"/>
  <c r="S357" i="94" s="1"/>
  <c r="R133" i="94"/>
  <c r="Q133" i="94"/>
  <c r="Q357" i="94" s="1"/>
  <c r="P133" i="94"/>
  <c r="P357" i="94" s="1"/>
  <c r="O133" i="94"/>
  <c r="O357" i="94" s="1"/>
  <c r="N133" i="94"/>
  <c r="N357" i="94" s="1"/>
  <c r="G133" i="94"/>
  <c r="F133" i="94"/>
  <c r="F357" i="94" s="1"/>
  <c r="E133" i="94"/>
  <c r="C133" i="94"/>
  <c r="U132" i="94"/>
  <c r="S132" i="94"/>
  <c r="S356" i="94" s="1"/>
  <c r="R132" i="94"/>
  <c r="Q132" i="94"/>
  <c r="P132" i="94"/>
  <c r="P356" i="94" s="1"/>
  <c r="O132" i="94"/>
  <c r="O356" i="94" s="1"/>
  <c r="N132" i="94"/>
  <c r="N356" i="94" s="1"/>
  <c r="G132" i="94"/>
  <c r="G356" i="94" s="1"/>
  <c r="F132" i="94"/>
  <c r="F356" i="94" s="1"/>
  <c r="E132" i="94"/>
  <c r="E356" i="94" s="1"/>
  <c r="X131" i="94"/>
  <c r="X355" i="94" s="1"/>
  <c r="P131" i="94"/>
  <c r="P355" i="94" s="1"/>
  <c r="O131" i="94"/>
  <c r="O355" i="94" s="1"/>
  <c r="M131" i="94"/>
  <c r="M355" i="94" s="1"/>
  <c r="K131" i="94"/>
  <c r="K355" i="94" s="1"/>
  <c r="J131" i="94"/>
  <c r="J355" i="94" s="1"/>
  <c r="I131" i="94"/>
  <c r="I355" i="94" s="1"/>
  <c r="H131" i="94"/>
  <c r="H355" i="94" s="1"/>
  <c r="Z130" i="94"/>
  <c r="Y130" i="94"/>
  <c r="W130" i="94"/>
  <c r="W354" i="94" s="1"/>
  <c r="T130" i="94"/>
  <c r="T354" i="94" s="1"/>
  <c r="S130" i="94"/>
  <c r="S354" i="94" s="1"/>
  <c r="R130" i="94"/>
  <c r="N130" i="94"/>
  <c r="N354" i="94" s="1"/>
  <c r="G130" i="94"/>
  <c r="G354" i="94" s="1"/>
  <c r="F130" i="94"/>
  <c r="F354" i="94" s="1"/>
  <c r="E130" i="94"/>
  <c r="E354" i="94" s="1"/>
  <c r="C130" i="94"/>
  <c r="C354" i="94" s="1"/>
  <c r="Y129" i="94"/>
  <c r="W129" i="94"/>
  <c r="W353" i="94" s="1"/>
  <c r="U129" i="94"/>
  <c r="T129" i="94"/>
  <c r="T353" i="94" s="1"/>
  <c r="S129" i="94"/>
  <c r="S353" i="94" s="1"/>
  <c r="R129" i="94"/>
  <c r="N129" i="94"/>
  <c r="N353" i="94" s="1"/>
  <c r="D129" i="94"/>
  <c r="D353" i="94" s="1"/>
  <c r="C129" i="94"/>
  <c r="C353" i="94" s="1"/>
  <c r="S128" i="94"/>
  <c r="S352" i="94" s="1"/>
  <c r="Q128" i="94"/>
  <c r="Q352" i="94" s="1"/>
  <c r="P128" i="94"/>
  <c r="P352" i="94" s="1"/>
  <c r="O128" i="94"/>
  <c r="N128" i="94"/>
  <c r="N352" i="94" s="1"/>
  <c r="W127" i="94"/>
  <c r="W351" i="94" s="1"/>
  <c r="T127" i="94"/>
  <c r="T351" i="94" s="1"/>
  <c r="S127" i="94"/>
  <c r="S351" i="94" s="1"/>
  <c r="R127" i="94"/>
  <c r="Q127" i="94"/>
  <c r="Q351" i="94" s="1"/>
  <c r="P127" i="94"/>
  <c r="P351" i="94" s="1"/>
  <c r="O127" i="94"/>
  <c r="O351" i="94" s="1"/>
  <c r="N127" i="94"/>
  <c r="N351" i="94" s="1"/>
  <c r="X126" i="94"/>
  <c r="X350" i="94" s="1"/>
  <c r="P126" i="94"/>
  <c r="P350" i="94" s="1"/>
  <c r="N126" i="94"/>
  <c r="N350" i="94" s="1"/>
  <c r="M126" i="94"/>
  <c r="M350" i="94" s="1"/>
  <c r="K126" i="94"/>
  <c r="K350" i="94" s="1"/>
  <c r="J126" i="94"/>
  <c r="J350" i="94" s="1"/>
  <c r="I126" i="94"/>
  <c r="I350" i="94" s="1"/>
  <c r="H126" i="94"/>
  <c r="H350" i="94" s="1"/>
  <c r="W125" i="94"/>
  <c r="R125" i="94"/>
  <c r="Q125" i="94"/>
  <c r="Q349" i="94" s="1"/>
  <c r="P125" i="94"/>
  <c r="P349" i="94" s="1"/>
  <c r="O125" i="94"/>
  <c r="O349" i="94" s="1"/>
  <c r="N125" i="94"/>
  <c r="N349" i="94" s="1"/>
  <c r="F125" i="94"/>
  <c r="F349" i="94" s="1"/>
  <c r="E125" i="94"/>
  <c r="E349" i="94" s="1"/>
  <c r="D125" i="94"/>
  <c r="D349" i="94" s="1"/>
  <c r="C125" i="94"/>
  <c r="C349" i="94" s="1"/>
  <c r="W124" i="94"/>
  <c r="R124" i="94"/>
  <c r="Q124" i="94"/>
  <c r="Q348" i="94" s="1"/>
  <c r="P124" i="94"/>
  <c r="P348" i="94" s="1"/>
  <c r="O124" i="94"/>
  <c r="O348" i="94" s="1"/>
  <c r="N124" i="94"/>
  <c r="N348" i="94" s="1"/>
  <c r="U123" i="94"/>
  <c r="S123" i="94"/>
  <c r="S347" i="94" s="1"/>
  <c r="R123" i="94"/>
  <c r="Q123" i="94"/>
  <c r="P123" i="94"/>
  <c r="P347" i="94" s="1"/>
  <c r="O123" i="94"/>
  <c r="O347" i="94" s="1"/>
  <c r="N123" i="94"/>
  <c r="N347" i="94" s="1"/>
  <c r="G123" i="94"/>
  <c r="G347" i="94" s="1"/>
  <c r="D123" i="94"/>
  <c r="D347" i="94" s="1"/>
  <c r="N122" i="94"/>
  <c r="N121" i="94"/>
  <c r="N345" i="94" s="1"/>
  <c r="N120" i="94"/>
  <c r="N344" i="94" s="1"/>
  <c r="K120" i="94"/>
  <c r="K344" i="94" s="1"/>
  <c r="J120" i="94"/>
  <c r="J344" i="94" s="1"/>
  <c r="I120" i="94"/>
  <c r="I344" i="94" s="1"/>
  <c r="H120" i="94"/>
  <c r="H344" i="94" s="1"/>
  <c r="W119" i="94"/>
  <c r="W343" i="94" s="1"/>
  <c r="U119" i="94"/>
  <c r="T119" i="94"/>
  <c r="T343" i="94" s="1"/>
  <c r="S119" i="94"/>
  <c r="S343" i="94" s="1"/>
  <c r="R119" i="94"/>
  <c r="N119" i="94"/>
  <c r="N343" i="94" s="1"/>
  <c r="D119" i="94"/>
  <c r="D343" i="94" s="1"/>
  <c r="C119" i="94"/>
  <c r="C343" i="94" s="1"/>
  <c r="W118" i="94"/>
  <c r="W342" i="94" s="1"/>
  <c r="T118" i="94"/>
  <c r="T342" i="94" s="1"/>
  <c r="S118" i="94"/>
  <c r="S342" i="94" s="1"/>
  <c r="R118" i="94"/>
  <c r="N118" i="94"/>
  <c r="W117" i="94"/>
  <c r="W341" i="94" s="1"/>
  <c r="U117" i="94"/>
  <c r="R117" i="94"/>
  <c r="Q117" i="94"/>
  <c r="O117" i="94"/>
  <c r="O341" i="94" s="1"/>
  <c r="N117" i="94"/>
  <c r="N341" i="94" s="1"/>
  <c r="F117" i="94"/>
  <c r="D117" i="94"/>
  <c r="D341" i="94" s="1"/>
  <c r="W116" i="94"/>
  <c r="W340" i="94" s="1"/>
  <c r="U116" i="94"/>
  <c r="T116" i="94"/>
  <c r="T340" i="94" s="1"/>
  <c r="S116" i="94"/>
  <c r="S340" i="94" s="1"/>
  <c r="R116" i="94"/>
  <c r="R340" i="94" s="1"/>
  <c r="N116" i="94"/>
  <c r="N340" i="94" s="1"/>
  <c r="G116" i="94"/>
  <c r="G340" i="94" s="1"/>
  <c r="F116" i="94"/>
  <c r="F340" i="94" s="1"/>
  <c r="E116" i="94"/>
  <c r="E340" i="94" s="1"/>
  <c r="W115" i="94"/>
  <c r="W339" i="94" s="1"/>
  <c r="T115" i="94"/>
  <c r="T339" i="94" s="1"/>
  <c r="S115" i="94"/>
  <c r="S339" i="94" s="1"/>
  <c r="R115" i="94"/>
  <c r="N115" i="94"/>
  <c r="N114" i="94"/>
  <c r="N338" i="94" s="1"/>
  <c r="G114" i="94"/>
  <c r="G338" i="94" s="1"/>
  <c r="F114" i="94"/>
  <c r="F338" i="94" s="1"/>
  <c r="E114" i="94"/>
  <c r="Y113" i="94"/>
  <c r="W113" i="94"/>
  <c r="W337" i="94" s="1"/>
  <c r="T113" i="94"/>
  <c r="T337" i="94" s="1"/>
  <c r="S113" i="94"/>
  <c r="S337" i="94" s="1"/>
  <c r="R113" i="94"/>
  <c r="R337" i="94" s="1"/>
  <c r="N113" i="94"/>
  <c r="S112" i="94"/>
  <c r="S336" i="94" s="1"/>
  <c r="Q112" i="94"/>
  <c r="P112" i="94"/>
  <c r="O112" i="94"/>
  <c r="N112" i="94"/>
  <c r="N336" i="94" s="1"/>
  <c r="F112" i="94"/>
  <c r="F336" i="94" s="1"/>
  <c r="W111" i="94"/>
  <c r="W335" i="94" s="1"/>
  <c r="T111" i="94"/>
  <c r="T335" i="94" s="1"/>
  <c r="S111" i="94"/>
  <c r="S335" i="94" s="1"/>
  <c r="R111" i="94"/>
  <c r="R335" i="94" s="1"/>
  <c r="Q111" i="94"/>
  <c r="Q335" i="94" s="1"/>
  <c r="P111" i="94"/>
  <c r="P335" i="94" s="1"/>
  <c r="O111" i="94"/>
  <c r="O335" i="94" s="1"/>
  <c r="N111" i="94"/>
  <c r="N335" i="94" s="1"/>
  <c r="F111" i="94"/>
  <c r="W110" i="94"/>
  <c r="W334" i="94" s="1"/>
  <c r="T110" i="94"/>
  <c r="T334" i="94" s="1"/>
  <c r="S110" i="94"/>
  <c r="S334" i="94" s="1"/>
  <c r="R110" i="94"/>
  <c r="N110" i="94"/>
  <c r="Y109" i="94"/>
  <c r="W109" i="94"/>
  <c r="W333" i="94" s="1"/>
  <c r="T109" i="94"/>
  <c r="T333" i="94" s="1"/>
  <c r="S109" i="94"/>
  <c r="S333" i="94" s="1"/>
  <c r="R109" i="94"/>
  <c r="R333" i="94" s="1"/>
  <c r="N109" i="94"/>
  <c r="W108" i="94"/>
  <c r="W332" i="94" s="1"/>
  <c r="T108" i="94"/>
  <c r="T332" i="94" s="1"/>
  <c r="S108" i="94"/>
  <c r="S332" i="94" s="1"/>
  <c r="R108" i="94"/>
  <c r="N108" i="94"/>
  <c r="Y107" i="94"/>
  <c r="W107" i="94"/>
  <c r="W331" i="94" s="1"/>
  <c r="T107" i="94"/>
  <c r="T331" i="94" s="1"/>
  <c r="S107" i="94"/>
  <c r="S331" i="94" s="1"/>
  <c r="R107" i="94"/>
  <c r="R331" i="94" s="1"/>
  <c r="N107" i="94"/>
  <c r="W106" i="94"/>
  <c r="W330" i="94" s="1"/>
  <c r="T106" i="94"/>
  <c r="T330" i="94" s="1"/>
  <c r="S106" i="94"/>
  <c r="S330" i="94" s="1"/>
  <c r="R106" i="94"/>
  <c r="N106" i="94"/>
  <c r="Y105" i="94"/>
  <c r="W105" i="94"/>
  <c r="W329" i="94" s="1"/>
  <c r="T105" i="94"/>
  <c r="T329" i="94" s="1"/>
  <c r="S105" i="94"/>
  <c r="S329" i="94" s="1"/>
  <c r="R105" i="94"/>
  <c r="R329" i="94" s="1"/>
  <c r="N105" i="94"/>
  <c r="W104" i="94"/>
  <c r="T104" i="94"/>
  <c r="T328" i="94" s="1"/>
  <c r="S104" i="94"/>
  <c r="S328" i="94" s="1"/>
  <c r="R104" i="94"/>
  <c r="N104" i="94"/>
  <c r="Y103" i="94"/>
  <c r="W103" i="94"/>
  <c r="W327" i="94" s="1"/>
  <c r="T103" i="94"/>
  <c r="T327" i="94" s="1"/>
  <c r="S103" i="94"/>
  <c r="S327" i="94" s="1"/>
  <c r="R103" i="94"/>
  <c r="R327" i="94" s="1"/>
  <c r="N103" i="94"/>
  <c r="G103" i="94"/>
  <c r="G327" i="94" s="1"/>
  <c r="E103" i="94"/>
  <c r="X102" i="94"/>
  <c r="X326" i="94" s="1"/>
  <c r="M102" i="94"/>
  <c r="M326" i="94" s="1"/>
  <c r="K102" i="94"/>
  <c r="K326" i="94" s="1"/>
  <c r="J102" i="94"/>
  <c r="J326" i="94" s="1"/>
  <c r="I102" i="94"/>
  <c r="I326" i="94" s="1"/>
  <c r="H102" i="94"/>
  <c r="H326" i="94" s="1"/>
  <c r="W101" i="94"/>
  <c r="W325" i="94" s="1"/>
  <c r="T101" i="94"/>
  <c r="T325" i="94" s="1"/>
  <c r="S101" i="94"/>
  <c r="S325" i="94" s="1"/>
  <c r="R101" i="94"/>
  <c r="R325" i="94" s="1"/>
  <c r="N101" i="94"/>
  <c r="N325" i="94" s="1"/>
  <c r="D101" i="94"/>
  <c r="D325" i="94" s="1"/>
  <c r="W100" i="94"/>
  <c r="W324" i="94" s="1"/>
  <c r="T100" i="94"/>
  <c r="T324" i="94" s="1"/>
  <c r="S100" i="94"/>
  <c r="S324" i="94" s="1"/>
  <c r="R100" i="94"/>
  <c r="R324" i="94" s="1"/>
  <c r="N100" i="94"/>
  <c r="Y99" i="94"/>
  <c r="W99" i="94"/>
  <c r="W323" i="94" s="1"/>
  <c r="T99" i="94"/>
  <c r="T323" i="94" s="1"/>
  <c r="S99" i="94"/>
  <c r="S323" i="94" s="1"/>
  <c r="R99" i="94"/>
  <c r="R323" i="94" s="1"/>
  <c r="N99" i="94"/>
  <c r="G99" i="94"/>
  <c r="G323" i="94" s="1"/>
  <c r="F99" i="94"/>
  <c r="F323" i="94" s="1"/>
  <c r="E99" i="94"/>
  <c r="E323" i="94" s="1"/>
  <c r="D99" i="94"/>
  <c r="D323" i="94" s="1"/>
  <c r="W98" i="94"/>
  <c r="W322" i="94" s="1"/>
  <c r="U98" i="94"/>
  <c r="T98" i="94"/>
  <c r="T322" i="94" s="1"/>
  <c r="S98" i="94"/>
  <c r="S322" i="94" s="1"/>
  <c r="R98" i="94"/>
  <c r="R322" i="94" s="1"/>
  <c r="N98" i="94"/>
  <c r="N322" i="94" s="1"/>
  <c r="W97" i="94"/>
  <c r="W321" i="94" s="1"/>
  <c r="U97" i="94"/>
  <c r="T97" i="94"/>
  <c r="T321" i="94" s="1"/>
  <c r="S97" i="94"/>
  <c r="S321" i="94" s="1"/>
  <c r="R97" i="94"/>
  <c r="R321" i="94" s="1"/>
  <c r="N97" i="94"/>
  <c r="N321" i="94" s="1"/>
  <c r="G97" i="94"/>
  <c r="G321" i="94" s="1"/>
  <c r="F97" i="94"/>
  <c r="F321" i="94" s="1"/>
  <c r="E97" i="94"/>
  <c r="E321" i="94" s="1"/>
  <c r="D97" i="94"/>
  <c r="D321" i="94" s="1"/>
  <c r="W96" i="94"/>
  <c r="T96" i="94"/>
  <c r="T320" i="94" s="1"/>
  <c r="S96" i="94"/>
  <c r="S320" i="94" s="1"/>
  <c r="R96" i="94"/>
  <c r="N96" i="94"/>
  <c r="D96" i="94"/>
  <c r="D320" i="94" s="1"/>
  <c r="Z95" i="94"/>
  <c r="Y95" i="94"/>
  <c r="W95" i="94"/>
  <c r="W319" i="94" s="1"/>
  <c r="T95" i="94"/>
  <c r="T319" i="94" s="1"/>
  <c r="S95" i="94"/>
  <c r="S319" i="94" s="1"/>
  <c r="R95" i="94"/>
  <c r="R319" i="94" s="1"/>
  <c r="N95" i="94"/>
  <c r="N319" i="94" s="1"/>
  <c r="W94" i="94"/>
  <c r="T94" i="94"/>
  <c r="T318" i="94" s="1"/>
  <c r="S94" i="94"/>
  <c r="S318" i="94" s="1"/>
  <c r="R94" i="94"/>
  <c r="R318" i="94" s="1"/>
  <c r="N94" i="94"/>
  <c r="N318" i="94" s="1"/>
  <c r="W93" i="94"/>
  <c r="T93" i="94"/>
  <c r="T317" i="94" s="1"/>
  <c r="S93" i="94"/>
  <c r="S317" i="94" s="1"/>
  <c r="R93" i="94"/>
  <c r="R317" i="94" s="1"/>
  <c r="N93" i="94"/>
  <c r="N317" i="94" s="1"/>
  <c r="W92" i="94"/>
  <c r="T92" i="94"/>
  <c r="T316" i="94" s="1"/>
  <c r="S92" i="94"/>
  <c r="S316" i="94" s="1"/>
  <c r="R92" i="94"/>
  <c r="R316" i="94" s="1"/>
  <c r="N92" i="94"/>
  <c r="N316" i="94" s="1"/>
  <c r="W91" i="94"/>
  <c r="T91" i="94"/>
  <c r="T315" i="94" s="1"/>
  <c r="S91" i="94"/>
  <c r="S315" i="94" s="1"/>
  <c r="R91" i="94"/>
  <c r="R315" i="94" s="1"/>
  <c r="N91" i="94"/>
  <c r="N315" i="94" s="1"/>
  <c r="W90" i="94"/>
  <c r="T90" i="94"/>
  <c r="T314" i="94" s="1"/>
  <c r="S90" i="94"/>
  <c r="S314" i="94" s="1"/>
  <c r="R90" i="94"/>
  <c r="R314" i="94" s="1"/>
  <c r="N90" i="94"/>
  <c r="N314" i="94" s="1"/>
  <c r="W89" i="94"/>
  <c r="T89" i="94"/>
  <c r="T313" i="94" s="1"/>
  <c r="S89" i="94"/>
  <c r="S313" i="94" s="1"/>
  <c r="R89" i="94"/>
  <c r="R313" i="94" s="1"/>
  <c r="N89" i="94"/>
  <c r="N313" i="94" s="1"/>
  <c r="E89" i="94"/>
  <c r="E313" i="94" s="1"/>
  <c r="Y88" i="94"/>
  <c r="W88" i="94"/>
  <c r="W312" i="94" s="1"/>
  <c r="U88" i="94"/>
  <c r="T88" i="94"/>
  <c r="T312" i="94" s="1"/>
  <c r="S88" i="94"/>
  <c r="S312" i="94" s="1"/>
  <c r="R88" i="94"/>
  <c r="R312" i="94" s="1"/>
  <c r="N88" i="94"/>
  <c r="N312" i="94" s="1"/>
  <c r="S87" i="94"/>
  <c r="S311" i="94" s="1"/>
  <c r="P87" i="94"/>
  <c r="P311" i="94" s="1"/>
  <c r="O87" i="94"/>
  <c r="N87" i="94"/>
  <c r="N311" i="94" s="1"/>
  <c r="G87" i="94"/>
  <c r="G311" i="94" s="1"/>
  <c r="D87" i="94"/>
  <c r="D311" i="94" s="1"/>
  <c r="C87" i="94"/>
  <c r="C311" i="94" s="1"/>
  <c r="Y86" i="94"/>
  <c r="W86" i="94"/>
  <c r="W310" i="94" s="1"/>
  <c r="U86" i="94"/>
  <c r="T86" i="94"/>
  <c r="T310" i="94" s="1"/>
  <c r="S86" i="94"/>
  <c r="S310" i="94" s="1"/>
  <c r="R86" i="94"/>
  <c r="R310" i="94" s="1"/>
  <c r="N86" i="94"/>
  <c r="N310" i="94" s="1"/>
  <c r="U85" i="94"/>
  <c r="O85" i="94"/>
  <c r="O309" i="94" s="1"/>
  <c r="N85" i="94"/>
  <c r="N309" i="94" s="1"/>
  <c r="N84" i="94"/>
  <c r="N308" i="94" s="1"/>
  <c r="U83" i="94"/>
  <c r="S83" i="94"/>
  <c r="S307" i="94" s="1"/>
  <c r="Q83" i="94"/>
  <c r="Q307" i="94" s="1"/>
  <c r="P83" i="94"/>
  <c r="P307" i="94" s="1"/>
  <c r="O83" i="94"/>
  <c r="O307" i="94" s="1"/>
  <c r="N83" i="94"/>
  <c r="N307" i="94" s="1"/>
  <c r="G83" i="94"/>
  <c r="G307" i="94" s="1"/>
  <c r="F83" i="94"/>
  <c r="E83" i="94"/>
  <c r="S82" i="94"/>
  <c r="S306" i="94" s="1"/>
  <c r="Q82" i="94"/>
  <c r="P82" i="94"/>
  <c r="P306" i="94" s="1"/>
  <c r="O82" i="94"/>
  <c r="O306" i="94" s="1"/>
  <c r="N82" i="94"/>
  <c r="N306" i="94" s="1"/>
  <c r="G82" i="94"/>
  <c r="F82" i="94"/>
  <c r="E82" i="94"/>
  <c r="X81" i="94"/>
  <c r="X305" i="94" s="1"/>
  <c r="N81" i="94"/>
  <c r="M81" i="94"/>
  <c r="K81" i="94"/>
  <c r="J81" i="94"/>
  <c r="I81" i="94"/>
  <c r="H81" i="94"/>
  <c r="W80" i="94"/>
  <c r="W304" i="94" s="1"/>
  <c r="U80" i="94"/>
  <c r="T80" i="94"/>
  <c r="T304" i="94" s="1"/>
  <c r="S80" i="94"/>
  <c r="S304" i="94" s="1"/>
  <c r="R80" i="94"/>
  <c r="R304" i="94" s="1"/>
  <c r="N80" i="94"/>
  <c r="N304" i="94" s="1"/>
  <c r="G80" i="94"/>
  <c r="G304" i="94" s="1"/>
  <c r="C80" i="94"/>
  <c r="C304" i="94" s="1"/>
  <c r="Y79" i="94"/>
  <c r="W79" i="94"/>
  <c r="W303" i="94" s="1"/>
  <c r="U79" i="94"/>
  <c r="T79" i="94"/>
  <c r="T303" i="94" s="1"/>
  <c r="S79" i="94"/>
  <c r="S303" i="94" s="1"/>
  <c r="R79" i="94"/>
  <c r="R303" i="94" s="1"/>
  <c r="N79" i="94"/>
  <c r="N303" i="94" s="1"/>
  <c r="G79" i="94"/>
  <c r="G303" i="94" s="1"/>
  <c r="F79" i="94"/>
  <c r="F303" i="94" s="1"/>
  <c r="E79" i="94"/>
  <c r="E303" i="94" s="1"/>
  <c r="D79" i="94"/>
  <c r="D303" i="94" s="1"/>
  <c r="Y78" i="94"/>
  <c r="W78" i="94"/>
  <c r="W302" i="94" s="1"/>
  <c r="T78" i="94"/>
  <c r="T302" i="94" s="1"/>
  <c r="S78" i="94"/>
  <c r="S302" i="94" s="1"/>
  <c r="R78" i="94"/>
  <c r="R302" i="94" s="1"/>
  <c r="N78" i="94"/>
  <c r="Y77" i="94"/>
  <c r="W77" i="94"/>
  <c r="W301" i="94" s="1"/>
  <c r="T77" i="94"/>
  <c r="T301" i="94" s="1"/>
  <c r="S77" i="94"/>
  <c r="S301" i="94" s="1"/>
  <c r="R77" i="94"/>
  <c r="R301" i="94" s="1"/>
  <c r="N77" i="94"/>
  <c r="Y76" i="94"/>
  <c r="W76" i="94"/>
  <c r="W300" i="94" s="1"/>
  <c r="T76" i="94"/>
  <c r="T300" i="94" s="1"/>
  <c r="S76" i="94"/>
  <c r="S300" i="94" s="1"/>
  <c r="R76" i="94"/>
  <c r="R300" i="94" s="1"/>
  <c r="N76" i="94"/>
  <c r="G76" i="94"/>
  <c r="G300" i="94" s="1"/>
  <c r="F76" i="94"/>
  <c r="F300" i="94" s="1"/>
  <c r="E76" i="94"/>
  <c r="E300" i="94" s="1"/>
  <c r="D76" i="94"/>
  <c r="D300" i="94" s="1"/>
  <c r="C76" i="94"/>
  <c r="C300" i="94" s="1"/>
  <c r="W75" i="94"/>
  <c r="T75" i="94"/>
  <c r="T299" i="94" s="1"/>
  <c r="S75" i="94"/>
  <c r="S299" i="94" s="1"/>
  <c r="R75" i="94"/>
  <c r="R299" i="94" s="1"/>
  <c r="N75" i="94"/>
  <c r="N299" i="94" s="1"/>
  <c r="W74" i="94"/>
  <c r="T74" i="94"/>
  <c r="T298" i="94" s="1"/>
  <c r="S74" i="94"/>
  <c r="S298" i="94" s="1"/>
  <c r="R74" i="94"/>
  <c r="R298" i="94" s="1"/>
  <c r="N74" i="94"/>
  <c r="N298" i="94" s="1"/>
  <c r="W73" i="94"/>
  <c r="T73" i="94"/>
  <c r="T297" i="94" s="1"/>
  <c r="R73" i="94"/>
  <c r="R297" i="94" s="1"/>
  <c r="Q73" i="94"/>
  <c r="Q297" i="94" s="1"/>
  <c r="P73" i="94"/>
  <c r="P297" i="94" s="1"/>
  <c r="O73" i="94"/>
  <c r="O297" i="94" s="1"/>
  <c r="N73" i="94"/>
  <c r="S72" i="94"/>
  <c r="S296" i="94" s="1"/>
  <c r="Q72" i="94"/>
  <c r="P72" i="94"/>
  <c r="P296" i="94" s="1"/>
  <c r="O72" i="94"/>
  <c r="O296" i="94" s="1"/>
  <c r="N72" i="94"/>
  <c r="N296" i="94" s="1"/>
  <c r="G72" i="94"/>
  <c r="F72" i="94"/>
  <c r="E72" i="94"/>
  <c r="S71" i="94"/>
  <c r="S295" i="94" s="1"/>
  <c r="Q71" i="94"/>
  <c r="Q295" i="94" s="1"/>
  <c r="P71" i="94"/>
  <c r="P295" i="94" s="1"/>
  <c r="O71" i="94"/>
  <c r="N71" i="94"/>
  <c r="N295" i="94" s="1"/>
  <c r="F71" i="94"/>
  <c r="X70" i="94"/>
  <c r="X294" i="94" s="1"/>
  <c r="N70" i="94"/>
  <c r="M70" i="94"/>
  <c r="K70" i="94"/>
  <c r="J70" i="94"/>
  <c r="I70" i="94"/>
  <c r="I69" i="94" s="1"/>
  <c r="I293" i="94" s="1"/>
  <c r="H70" i="94"/>
  <c r="H294" i="94" s="1"/>
  <c r="M69" i="94"/>
  <c r="M293" i="94" s="1"/>
  <c r="J69" i="94"/>
  <c r="J293" i="94" s="1"/>
  <c r="H69" i="94"/>
  <c r="H293" i="94" s="1"/>
  <c r="G69" i="94"/>
  <c r="G293" i="94" s="1"/>
  <c r="F69" i="94"/>
  <c r="F293" i="94" s="1"/>
  <c r="E69" i="94"/>
  <c r="E293" i="94" s="1"/>
  <c r="D69" i="94"/>
  <c r="D293" i="94" s="1"/>
  <c r="C69" i="94"/>
  <c r="C293" i="94" s="1"/>
  <c r="P68" i="94"/>
  <c r="P292" i="94" s="1"/>
  <c r="N68" i="94"/>
  <c r="N292" i="94" s="1"/>
  <c r="G68" i="94"/>
  <c r="G292" i="94" s="1"/>
  <c r="F68" i="94"/>
  <c r="F292" i="94" s="1"/>
  <c r="E68" i="94"/>
  <c r="E292" i="94" s="1"/>
  <c r="D68" i="94"/>
  <c r="D292" i="94" s="1"/>
  <c r="C68" i="94"/>
  <c r="C292" i="94" s="1"/>
  <c r="N67" i="94"/>
  <c r="N291" i="94" s="1"/>
  <c r="D67" i="94"/>
  <c r="D291" i="94" s="1"/>
  <c r="N66" i="94"/>
  <c r="Y65" i="94"/>
  <c r="W65" i="94"/>
  <c r="W289" i="94" s="1"/>
  <c r="T65" i="94"/>
  <c r="T289" i="94" s="1"/>
  <c r="S65" i="94"/>
  <c r="S289" i="94" s="1"/>
  <c r="R65" i="94"/>
  <c r="R289" i="94" s="1"/>
  <c r="N65" i="94"/>
  <c r="D65" i="94"/>
  <c r="D289" i="94" s="1"/>
  <c r="W64" i="94"/>
  <c r="W288" i="94" s="1"/>
  <c r="U64" i="94"/>
  <c r="T64" i="94"/>
  <c r="T288" i="94" s="1"/>
  <c r="S64" i="94"/>
  <c r="S288" i="94" s="1"/>
  <c r="R64" i="94"/>
  <c r="R288" i="94" s="1"/>
  <c r="N64" i="94"/>
  <c r="N288" i="94" s="1"/>
  <c r="W63" i="94"/>
  <c r="W287" i="94" s="1"/>
  <c r="U63" i="94"/>
  <c r="T63" i="94"/>
  <c r="T287" i="94" s="1"/>
  <c r="S63" i="94"/>
  <c r="S287" i="94" s="1"/>
  <c r="R63" i="94"/>
  <c r="R287" i="94" s="1"/>
  <c r="N63" i="94"/>
  <c r="N287" i="94" s="1"/>
  <c r="W62" i="94"/>
  <c r="W286" i="94" s="1"/>
  <c r="U62" i="94"/>
  <c r="T62" i="94"/>
  <c r="T286" i="94" s="1"/>
  <c r="S62" i="94"/>
  <c r="S286" i="94" s="1"/>
  <c r="R62" i="94"/>
  <c r="R286" i="94" s="1"/>
  <c r="N62" i="94"/>
  <c r="N286" i="94" s="1"/>
  <c r="D62" i="94"/>
  <c r="D286" i="94" s="1"/>
  <c r="U61" i="94"/>
  <c r="S61" i="94"/>
  <c r="S285" i="94" s="1"/>
  <c r="Q61" i="94"/>
  <c r="Q285" i="94" s="1"/>
  <c r="P61" i="94"/>
  <c r="P285" i="94" s="1"/>
  <c r="O61" i="94"/>
  <c r="O285" i="94" s="1"/>
  <c r="N61" i="94"/>
  <c r="N285" i="94" s="1"/>
  <c r="D61" i="94"/>
  <c r="D285" i="94" s="1"/>
  <c r="S60" i="94"/>
  <c r="S284" i="94" s="1"/>
  <c r="Q60" i="94"/>
  <c r="T60" i="94" s="1"/>
  <c r="T284" i="94" s="1"/>
  <c r="P60" i="94"/>
  <c r="P284" i="94" s="1"/>
  <c r="O60" i="94"/>
  <c r="N60" i="94"/>
  <c r="N284" i="94" s="1"/>
  <c r="P59" i="94"/>
  <c r="P283" i="94" s="1"/>
  <c r="N59" i="94"/>
  <c r="N283" i="94" s="1"/>
  <c r="X58" i="94"/>
  <c r="X282" i="94" s="1"/>
  <c r="N58" i="94"/>
  <c r="N282" i="94" s="1"/>
  <c r="M58" i="94"/>
  <c r="M282" i="94" s="1"/>
  <c r="K58" i="94"/>
  <c r="K282" i="94" s="1"/>
  <c r="J58" i="94"/>
  <c r="J282" i="94" s="1"/>
  <c r="I58" i="94"/>
  <c r="I282" i="94" s="1"/>
  <c r="H58" i="94"/>
  <c r="H282" i="94" s="1"/>
  <c r="W57" i="94"/>
  <c r="T57" i="94"/>
  <c r="T281" i="94" s="1"/>
  <c r="S57" i="94"/>
  <c r="S281" i="94" s="1"/>
  <c r="R57" i="94"/>
  <c r="R281" i="94" s="1"/>
  <c r="N57" i="94"/>
  <c r="N281" i="94" s="1"/>
  <c r="G57" i="94"/>
  <c r="G281" i="94" s="1"/>
  <c r="F57" i="94"/>
  <c r="F281" i="94" s="1"/>
  <c r="E57" i="94"/>
  <c r="E281" i="94" s="1"/>
  <c r="C57" i="94"/>
  <c r="C281" i="94" s="1"/>
  <c r="Y56" i="94"/>
  <c r="W56" i="94"/>
  <c r="W280" i="94" s="1"/>
  <c r="T56" i="94"/>
  <c r="T280" i="94" s="1"/>
  <c r="S56" i="94"/>
  <c r="S280" i="94" s="1"/>
  <c r="R56" i="94"/>
  <c r="R280" i="94" s="1"/>
  <c r="N56" i="94"/>
  <c r="N280" i="94" s="1"/>
  <c r="D56" i="94"/>
  <c r="D280" i="94" s="1"/>
  <c r="W55" i="94"/>
  <c r="W279" i="94" s="1"/>
  <c r="T55" i="94"/>
  <c r="T279" i="94" s="1"/>
  <c r="S55" i="94"/>
  <c r="S279" i="94" s="1"/>
  <c r="R55" i="94"/>
  <c r="R279" i="94" s="1"/>
  <c r="N55" i="94"/>
  <c r="N279" i="94" s="1"/>
  <c r="D55" i="94"/>
  <c r="D279" i="94" s="1"/>
  <c r="Y54" i="94"/>
  <c r="W54" i="94"/>
  <c r="W278" i="94" s="1"/>
  <c r="U54" i="94"/>
  <c r="T54" i="94"/>
  <c r="T278" i="94" s="1"/>
  <c r="S54" i="94"/>
  <c r="S278" i="94" s="1"/>
  <c r="R54" i="94"/>
  <c r="R278" i="94" s="1"/>
  <c r="N54" i="94"/>
  <c r="N278" i="94" s="1"/>
  <c r="Y53" i="94"/>
  <c r="W53" i="94"/>
  <c r="W277" i="94" s="1"/>
  <c r="U53" i="94"/>
  <c r="T53" i="94"/>
  <c r="T277" i="94" s="1"/>
  <c r="S53" i="94"/>
  <c r="S277" i="94" s="1"/>
  <c r="R53" i="94"/>
  <c r="R277" i="94" s="1"/>
  <c r="N53" i="94"/>
  <c r="N277" i="94" s="1"/>
  <c r="Y52" i="94"/>
  <c r="W52" i="94"/>
  <c r="W276" i="94" s="1"/>
  <c r="U52" i="94"/>
  <c r="T52" i="94"/>
  <c r="T276" i="94" s="1"/>
  <c r="S52" i="94"/>
  <c r="S276" i="94" s="1"/>
  <c r="R52" i="94"/>
  <c r="R276" i="94" s="1"/>
  <c r="N52" i="94"/>
  <c r="N276" i="94" s="1"/>
  <c r="Y51" i="94"/>
  <c r="W51" i="94"/>
  <c r="W275" i="94" s="1"/>
  <c r="U51" i="94"/>
  <c r="T51" i="94"/>
  <c r="T275" i="94" s="1"/>
  <c r="S51" i="94"/>
  <c r="S275" i="94" s="1"/>
  <c r="R51" i="94"/>
  <c r="R275" i="94" s="1"/>
  <c r="N51" i="94"/>
  <c r="N275" i="94" s="1"/>
  <c r="D51" i="94"/>
  <c r="D275" i="94" s="1"/>
  <c r="N50" i="94"/>
  <c r="S49" i="94"/>
  <c r="S273" i="94" s="1"/>
  <c r="Q49" i="94"/>
  <c r="P49" i="94"/>
  <c r="P273" i="94" s="1"/>
  <c r="O49" i="94"/>
  <c r="O273" i="94" s="1"/>
  <c r="N49" i="94"/>
  <c r="N273" i="94" s="1"/>
  <c r="W48" i="94"/>
  <c r="W272" i="94" s="1"/>
  <c r="T48" i="94"/>
  <c r="R48" i="94"/>
  <c r="R272" i="94" s="1"/>
  <c r="Q48" i="94"/>
  <c r="Q272" i="94" s="1"/>
  <c r="P48" i="94"/>
  <c r="P272" i="94" s="1"/>
  <c r="O48" i="94"/>
  <c r="O272" i="94" s="1"/>
  <c r="N48" i="94"/>
  <c r="N272" i="94" s="1"/>
  <c r="X47" i="94"/>
  <c r="X271" i="94" s="1"/>
  <c r="N47" i="94"/>
  <c r="M47" i="94"/>
  <c r="K47" i="94"/>
  <c r="J47" i="94"/>
  <c r="I47" i="94"/>
  <c r="I271" i="94" s="1"/>
  <c r="H47" i="94"/>
  <c r="N46" i="94"/>
  <c r="N270" i="94" s="1"/>
  <c r="C46" i="94"/>
  <c r="C270" i="94" s="1"/>
  <c r="W45" i="94"/>
  <c r="W269" i="94" s="1"/>
  <c r="U45" i="94"/>
  <c r="T45" i="94"/>
  <c r="T269" i="94" s="1"/>
  <c r="S45" i="94"/>
  <c r="S269" i="94" s="1"/>
  <c r="R45" i="94"/>
  <c r="R269" i="94" s="1"/>
  <c r="N45" i="94"/>
  <c r="N269" i="94" s="1"/>
  <c r="G45" i="94"/>
  <c r="G269" i="94" s="1"/>
  <c r="F45" i="94"/>
  <c r="F269" i="94" s="1"/>
  <c r="E45" i="94"/>
  <c r="E269" i="94" s="1"/>
  <c r="D45" i="94"/>
  <c r="D269" i="94" s="1"/>
  <c r="C45" i="94"/>
  <c r="C269" i="94" s="1"/>
  <c r="Y44" i="94"/>
  <c r="W44" i="94"/>
  <c r="W268" i="94" s="1"/>
  <c r="U44" i="94"/>
  <c r="T44" i="94"/>
  <c r="T268" i="94" s="1"/>
  <c r="S44" i="94"/>
  <c r="S268" i="94" s="1"/>
  <c r="R44" i="94"/>
  <c r="R268" i="94" s="1"/>
  <c r="N44" i="94"/>
  <c r="N268" i="94" s="1"/>
  <c r="G44" i="94"/>
  <c r="G268" i="94" s="1"/>
  <c r="F44" i="94"/>
  <c r="F268" i="94" s="1"/>
  <c r="E44" i="94"/>
  <c r="E268" i="94" s="1"/>
  <c r="D44" i="94"/>
  <c r="Y43" i="94"/>
  <c r="W43" i="94"/>
  <c r="W267" i="94" s="1"/>
  <c r="T43" i="94"/>
  <c r="T267" i="94" s="1"/>
  <c r="S43" i="94"/>
  <c r="S267" i="94" s="1"/>
  <c r="R43" i="94"/>
  <c r="R267" i="94" s="1"/>
  <c r="N43" i="94"/>
  <c r="Y42" i="94"/>
  <c r="W42" i="94"/>
  <c r="W266" i="94" s="1"/>
  <c r="T42" i="94"/>
  <c r="T266" i="94" s="1"/>
  <c r="S42" i="94"/>
  <c r="S266" i="94" s="1"/>
  <c r="R42" i="94"/>
  <c r="R266" i="94" s="1"/>
  <c r="N42" i="94"/>
  <c r="Y41" i="94"/>
  <c r="W41" i="94"/>
  <c r="W265" i="94" s="1"/>
  <c r="T41" i="94"/>
  <c r="T265" i="94" s="1"/>
  <c r="S41" i="94"/>
  <c r="S265" i="94" s="1"/>
  <c r="R41" i="94"/>
  <c r="R265" i="94" s="1"/>
  <c r="N41" i="94"/>
  <c r="D41" i="94"/>
  <c r="D265" i="94" s="1"/>
  <c r="N40" i="94"/>
  <c r="N264" i="94" s="1"/>
  <c r="U39" i="94"/>
  <c r="O39" i="94"/>
  <c r="O263" i="94" s="1"/>
  <c r="N39" i="94"/>
  <c r="N263" i="94" s="1"/>
  <c r="X38" i="94"/>
  <c r="X262" i="94" s="1"/>
  <c r="M38" i="94"/>
  <c r="M262" i="94" s="1"/>
  <c r="K38" i="94"/>
  <c r="K262" i="94" s="1"/>
  <c r="J38" i="94"/>
  <c r="J262" i="94" s="1"/>
  <c r="I38" i="94"/>
  <c r="I262" i="94" s="1"/>
  <c r="H38" i="94"/>
  <c r="S37" i="94"/>
  <c r="S261" i="94" s="1"/>
  <c r="Q37" i="94"/>
  <c r="P37" i="94"/>
  <c r="P261" i="94" s="1"/>
  <c r="O37" i="94"/>
  <c r="O261" i="94" s="1"/>
  <c r="N37" i="94"/>
  <c r="N261" i="94" s="1"/>
  <c r="G37" i="94"/>
  <c r="G261" i="94" s="1"/>
  <c r="F37" i="94"/>
  <c r="F261" i="94" s="1"/>
  <c r="E37" i="94"/>
  <c r="E261" i="94" s="1"/>
  <c r="C37" i="94"/>
  <c r="C261" i="94" s="1"/>
  <c r="S36" i="94"/>
  <c r="S260" i="94" s="1"/>
  <c r="Q36" i="94"/>
  <c r="P36" i="94"/>
  <c r="P260" i="94" s="1"/>
  <c r="O36" i="94"/>
  <c r="O260" i="94" s="1"/>
  <c r="N36" i="94"/>
  <c r="N260" i="94" s="1"/>
  <c r="D36" i="94"/>
  <c r="D260" i="94" s="1"/>
  <c r="U35" i="94"/>
  <c r="S35" i="94"/>
  <c r="S259" i="94" s="1"/>
  <c r="Q35" i="94"/>
  <c r="Q259" i="94" s="1"/>
  <c r="P35" i="94"/>
  <c r="P259" i="94" s="1"/>
  <c r="O35" i="94"/>
  <c r="O259" i="94" s="1"/>
  <c r="N35" i="94"/>
  <c r="N259" i="94" s="1"/>
  <c r="W34" i="94"/>
  <c r="W258" i="94" s="1"/>
  <c r="T34" i="94"/>
  <c r="T258" i="94" s="1"/>
  <c r="S34" i="94"/>
  <c r="S258" i="94" s="1"/>
  <c r="R34" i="94"/>
  <c r="R258" i="94" s="1"/>
  <c r="N34" i="94"/>
  <c r="N258" i="94" s="1"/>
  <c r="D34" i="94"/>
  <c r="D258" i="94" s="1"/>
  <c r="C34" i="94"/>
  <c r="C258" i="94" s="1"/>
  <c r="W33" i="94"/>
  <c r="W257" i="94" s="1"/>
  <c r="U33" i="94"/>
  <c r="T33" i="94"/>
  <c r="T257" i="94" s="1"/>
  <c r="S33" i="94"/>
  <c r="S257" i="94" s="1"/>
  <c r="R33" i="94"/>
  <c r="R257" i="94" s="1"/>
  <c r="N33" i="94"/>
  <c r="N257" i="94" s="1"/>
  <c r="D33" i="94"/>
  <c r="D257" i="94" s="1"/>
  <c r="Y32" i="94"/>
  <c r="W32" i="94"/>
  <c r="W256" i="94" s="1"/>
  <c r="U32" i="94"/>
  <c r="T32" i="94"/>
  <c r="T256" i="94" s="1"/>
  <c r="S32" i="94"/>
  <c r="S30" i="94" s="1"/>
  <c r="S254" i="94" s="1"/>
  <c r="R32" i="94"/>
  <c r="R256" i="94" s="1"/>
  <c r="W31" i="94"/>
  <c r="W255" i="94" s="1"/>
  <c r="U31" i="94"/>
  <c r="T31" i="94"/>
  <c r="T255" i="94" s="1"/>
  <c r="S31" i="94"/>
  <c r="S255" i="94" s="1"/>
  <c r="R31" i="94"/>
  <c r="R255" i="94" s="1"/>
  <c r="X30" i="94"/>
  <c r="X254" i="94" s="1"/>
  <c r="P30" i="94"/>
  <c r="P254" i="94" s="1"/>
  <c r="N30" i="94"/>
  <c r="N254" i="94" s="1"/>
  <c r="M30" i="94"/>
  <c r="M254" i="94" s="1"/>
  <c r="K30" i="94"/>
  <c r="K254" i="94" s="1"/>
  <c r="J30" i="94"/>
  <c r="J254" i="94" s="1"/>
  <c r="I30" i="94"/>
  <c r="I254" i="94" s="1"/>
  <c r="H30" i="94"/>
  <c r="H254" i="94" s="1"/>
  <c r="W29" i="94"/>
  <c r="W253" i="94" s="1"/>
  <c r="N29" i="94"/>
  <c r="N253" i="94" s="1"/>
  <c r="O28" i="94"/>
  <c r="N28" i="94"/>
  <c r="N252" i="94" s="1"/>
  <c r="G28" i="94"/>
  <c r="G252" i="94" s="1"/>
  <c r="E28" i="94"/>
  <c r="E252" i="94" s="1"/>
  <c r="C28" i="94"/>
  <c r="C252" i="94" s="1"/>
  <c r="Y27" i="94"/>
  <c r="W27" i="94"/>
  <c r="W251" i="94" s="1"/>
  <c r="U27" i="94"/>
  <c r="T27" i="94"/>
  <c r="T251" i="94" s="1"/>
  <c r="S27" i="94"/>
  <c r="S251" i="94" s="1"/>
  <c r="R27" i="94"/>
  <c r="R251" i="94" s="1"/>
  <c r="W26" i="94"/>
  <c r="U26" i="94"/>
  <c r="T26" i="94"/>
  <c r="T250" i="94" s="1"/>
  <c r="S26" i="94"/>
  <c r="S250" i="94" s="1"/>
  <c r="R26" i="94"/>
  <c r="R250" i="94" s="1"/>
  <c r="G26" i="94"/>
  <c r="G250" i="94" s="1"/>
  <c r="F26" i="94"/>
  <c r="F250" i="94" s="1"/>
  <c r="E26" i="94"/>
  <c r="E250" i="94" s="1"/>
  <c r="D26" i="94"/>
  <c r="D250" i="94" s="1"/>
  <c r="C26" i="94"/>
  <c r="C250" i="94" s="1"/>
  <c r="W25" i="94"/>
  <c r="W249" i="94" s="1"/>
  <c r="U25" i="94"/>
  <c r="T25" i="94"/>
  <c r="T249" i="94" s="1"/>
  <c r="S25" i="94"/>
  <c r="S249" i="94" s="1"/>
  <c r="R25" i="94"/>
  <c r="G25" i="94"/>
  <c r="G249" i="94" s="1"/>
  <c r="F25" i="94"/>
  <c r="F249" i="94" s="1"/>
  <c r="E25" i="94"/>
  <c r="E249" i="94" s="1"/>
  <c r="D25" i="94"/>
  <c r="D249" i="94" s="1"/>
  <c r="C25" i="94"/>
  <c r="C249" i="94" s="1"/>
  <c r="W24" i="94"/>
  <c r="U24" i="94"/>
  <c r="T24" i="94"/>
  <c r="T248" i="94" s="1"/>
  <c r="S24" i="94"/>
  <c r="S248" i="94" s="1"/>
  <c r="R24" i="94"/>
  <c r="R248" i="94" s="1"/>
  <c r="Y23" i="94"/>
  <c r="W23" i="94"/>
  <c r="W247" i="94" s="1"/>
  <c r="U23" i="94"/>
  <c r="T23" i="94"/>
  <c r="T247" i="94" s="1"/>
  <c r="S23" i="94"/>
  <c r="S247" i="94" s="1"/>
  <c r="R23" i="94"/>
  <c r="R247" i="94" s="1"/>
  <c r="W22" i="94"/>
  <c r="W246" i="94" s="1"/>
  <c r="U22" i="94"/>
  <c r="T22" i="94"/>
  <c r="T246" i="94" s="1"/>
  <c r="S22" i="94"/>
  <c r="S246" i="94" s="1"/>
  <c r="R22" i="94"/>
  <c r="R246" i="94" s="1"/>
  <c r="X21" i="94"/>
  <c r="X245" i="94" s="1"/>
  <c r="N21" i="94"/>
  <c r="N245" i="94" s="1"/>
  <c r="M21" i="94"/>
  <c r="M245" i="94" s="1"/>
  <c r="K21" i="94"/>
  <c r="K245" i="94" s="1"/>
  <c r="J21" i="94"/>
  <c r="J245" i="94" s="1"/>
  <c r="I21" i="94"/>
  <c r="I245" i="94" s="1"/>
  <c r="H21" i="94"/>
  <c r="H245" i="94" s="1"/>
  <c r="W20" i="94"/>
  <c r="W244" i="94" s="1"/>
  <c r="T20" i="94"/>
  <c r="T244" i="94" s="1"/>
  <c r="R20" i="94"/>
  <c r="R244" i="94" s="1"/>
  <c r="Q20" i="94"/>
  <c r="Q244" i="94" s="1"/>
  <c r="P20" i="94"/>
  <c r="P244" i="94" s="1"/>
  <c r="O20" i="94"/>
  <c r="O244" i="94" s="1"/>
  <c r="N20" i="94"/>
  <c r="N244" i="94" s="1"/>
  <c r="N19" i="94"/>
  <c r="N243" i="94" s="1"/>
  <c r="D19" i="94"/>
  <c r="D243" i="94" s="1"/>
  <c r="W18" i="94"/>
  <c r="W242" i="94" s="1"/>
  <c r="T18" i="94"/>
  <c r="T242" i="94" s="1"/>
  <c r="R18" i="94"/>
  <c r="R242" i="94" s="1"/>
  <c r="Q18" i="94"/>
  <c r="Q242" i="94" s="1"/>
  <c r="P18" i="94"/>
  <c r="O18" i="94"/>
  <c r="O242" i="94" s="1"/>
  <c r="N18" i="94"/>
  <c r="N242" i="94" s="1"/>
  <c r="G18" i="94"/>
  <c r="G242" i="94" s="1"/>
  <c r="F18" i="94"/>
  <c r="F242" i="94" s="1"/>
  <c r="E18" i="94"/>
  <c r="E242" i="94" s="1"/>
  <c r="W17" i="94"/>
  <c r="T17" i="94"/>
  <c r="T241" i="94" s="1"/>
  <c r="S17" i="94"/>
  <c r="S241" i="94" s="1"/>
  <c r="R17" i="94"/>
  <c r="R241" i="94" s="1"/>
  <c r="N17" i="94"/>
  <c r="N241" i="94" s="1"/>
  <c r="W16" i="94"/>
  <c r="T16" i="94"/>
  <c r="T240" i="94" s="1"/>
  <c r="R16" i="94"/>
  <c r="R240" i="94" s="1"/>
  <c r="Q16" i="94"/>
  <c r="Q240" i="94" s="1"/>
  <c r="P16" i="94"/>
  <c r="P240" i="94" s="1"/>
  <c r="O16" i="94"/>
  <c r="O240" i="94" s="1"/>
  <c r="N16" i="94"/>
  <c r="S15" i="94"/>
  <c r="S239" i="94" s="1"/>
  <c r="Q15" i="94"/>
  <c r="P15" i="94"/>
  <c r="O15" i="94"/>
  <c r="W15" i="94" s="1"/>
  <c r="N15" i="94"/>
  <c r="N239" i="94" s="1"/>
  <c r="W14" i="94"/>
  <c r="W238" i="94" s="1"/>
  <c r="T14" i="94"/>
  <c r="T238" i="94" s="1"/>
  <c r="R14" i="94"/>
  <c r="R238" i="94" s="1"/>
  <c r="Q14" i="94"/>
  <c r="Q238" i="94" s="1"/>
  <c r="P14" i="94"/>
  <c r="P238" i="94" s="1"/>
  <c r="O14" i="94"/>
  <c r="O238" i="94" s="1"/>
  <c r="N14" i="94"/>
  <c r="N238" i="94" s="1"/>
  <c r="S13" i="94"/>
  <c r="S237" i="94" s="1"/>
  <c r="Q13" i="94"/>
  <c r="Q237" i="94" s="1"/>
  <c r="P13" i="94"/>
  <c r="P237" i="94" s="1"/>
  <c r="O13" i="94"/>
  <c r="N13" i="94"/>
  <c r="N237" i="94" s="1"/>
  <c r="D13" i="94"/>
  <c r="D237" i="94" s="1"/>
  <c r="U12" i="94"/>
  <c r="S12" i="94"/>
  <c r="S236" i="94" s="1"/>
  <c r="Q12" i="94"/>
  <c r="Q236" i="94" s="1"/>
  <c r="P12" i="94"/>
  <c r="P236" i="94" s="1"/>
  <c r="O12" i="94"/>
  <c r="R12" i="94" s="1"/>
  <c r="R236" i="94" s="1"/>
  <c r="N12" i="94"/>
  <c r="N236" i="94" s="1"/>
  <c r="W11" i="94"/>
  <c r="U11" i="94"/>
  <c r="T11" i="94"/>
  <c r="T235" i="94" s="1"/>
  <c r="S11" i="94"/>
  <c r="S235" i="94" s="1"/>
  <c r="R11" i="94"/>
  <c r="R235" i="94" s="1"/>
  <c r="Y10" i="94"/>
  <c r="Z10" i="94" s="1"/>
  <c r="W10" i="94"/>
  <c r="W234" i="94" s="1"/>
  <c r="U10" i="94"/>
  <c r="T10" i="94"/>
  <c r="T234" i="94" s="1"/>
  <c r="S10" i="94"/>
  <c r="S234" i="94" s="1"/>
  <c r="R10" i="94"/>
  <c r="R234" i="94" s="1"/>
  <c r="G10" i="94"/>
  <c r="G234" i="94" s="1"/>
  <c r="F10" i="94"/>
  <c r="F234" i="94" s="1"/>
  <c r="E10" i="94"/>
  <c r="E234" i="94" s="1"/>
  <c r="D10" i="94"/>
  <c r="D234" i="94" s="1"/>
  <c r="C10" i="94"/>
  <c r="Y9" i="94"/>
  <c r="W9" i="94"/>
  <c r="W233" i="94" s="1"/>
  <c r="U9" i="94"/>
  <c r="T9" i="94"/>
  <c r="T233" i="94" s="1"/>
  <c r="S9" i="94"/>
  <c r="S233" i="94" s="1"/>
  <c r="R9" i="94"/>
  <c r="R233" i="94" s="1"/>
  <c r="W8" i="94"/>
  <c r="Y8" i="94" s="1"/>
  <c r="Z8" i="94" s="1"/>
  <c r="U8" i="94"/>
  <c r="T8" i="94"/>
  <c r="T232" i="94" s="1"/>
  <c r="S8" i="94"/>
  <c r="S232" i="94" s="1"/>
  <c r="R8" i="94"/>
  <c r="R232" i="94" s="1"/>
  <c r="G8" i="94"/>
  <c r="G232" i="94" s="1"/>
  <c r="F8" i="94"/>
  <c r="F232" i="94" s="1"/>
  <c r="E8" i="94"/>
  <c r="E232" i="94" s="1"/>
  <c r="D8" i="94"/>
  <c r="D232" i="94" s="1"/>
  <c r="Y7" i="94"/>
  <c r="W7" i="94"/>
  <c r="W231" i="94" s="1"/>
  <c r="U7" i="94"/>
  <c r="T7" i="94"/>
  <c r="T231" i="94" s="1"/>
  <c r="S7" i="94"/>
  <c r="R7" i="94"/>
  <c r="R231" i="94" s="1"/>
  <c r="W6" i="94"/>
  <c r="W230" i="94" s="1"/>
  <c r="U6" i="94"/>
  <c r="T6" i="94"/>
  <c r="T230" i="94" s="1"/>
  <c r="S6" i="94"/>
  <c r="S230" i="94" s="1"/>
  <c r="R6" i="94"/>
  <c r="R230" i="94" s="1"/>
  <c r="X5" i="94"/>
  <c r="X229" i="94" s="1"/>
  <c r="N5" i="94"/>
  <c r="N229" i="94" s="1"/>
  <c r="M5" i="94"/>
  <c r="M229" i="94" s="1"/>
  <c r="K5" i="94"/>
  <c r="K229" i="94" s="1"/>
  <c r="J5" i="94"/>
  <c r="J229" i="94" s="1"/>
  <c r="I5" i="94"/>
  <c r="H5" i="94"/>
  <c r="H229" i="94" s="1"/>
  <c r="X4" i="94"/>
  <c r="X228" i="94" s="1"/>
  <c r="M4" i="94"/>
  <c r="J4" i="94"/>
  <c r="G4" i="94"/>
  <c r="F4" i="94"/>
  <c r="F228" i="94" s="1"/>
  <c r="E4" i="94"/>
  <c r="D4" i="94"/>
  <c r="D228" i="94" s="1"/>
  <c r="C4" i="94"/>
  <c r="W2" i="94"/>
  <c r="I5" i="92"/>
  <c r="I7" i="92" s="1"/>
  <c r="I9" i="92" s="1"/>
  <c r="H5" i="92"/>
  <c r="H7" i="92" s="1"/>
  <c r="H9" i="92" s="1"/>
  <c r="G5" i="92"/>
  <c r="G7" i="92" s="1"/>
  <c r="G9" i="92" s="1"/>
  <c r="F5" i="92"/>
  <c r="F7" i="92" s="1"/>
  <c r="F9" i="92" s="1"/>
  <c r="E5" i="92"/>
  <c r="E7" i="92" s="1"/>
  <c r="E9" i="92" s="1"/>
  <c r="D5" i="92"/>
  <c r="D7" i="92" s="1"/>
  <c r="D9" i="92" s="1"/>
  <c r="C5" i="92"/>
  <c r="C7" i="92" s="1"/>
  <c r="C9" i="92" s="1"/>
  <c r="B5" i="92"/>
  <c r="B7" i="92" s="1"/>
  <c r="B9" i="92" s="1"/>
  <c r="W5" i="91"/>
  <c r="V5" i="91"/>
  <c r="C2" i="91"/>
  <c r="D2" i="91" s="1"/>
  <c r="E2" i="91" s="1"/>
  <c r="F2" i="91" s="1"/>
  <c r="G2" i="91" s="1"/>
  <c r="H2" i="91" s="1"/>
  <c r="I2" i="91" s="1"/>
  <c r="J2" i="91" s="1"/>
  <c r="K2" i="91" s="1"/>
  <c r="L2" i="91" s="1"/>
  <c r="M2" i="91" s="1"/>
  <c r="N2" i="91" s="1"/>
  <c r="O2" i="91" s="1"/>
  <c r="P2" i="91" s="1"/>
  <c r="Q2" i="91" s="1"/>
  <c r="R2" i="91" s="1"/>
  <c r="S2" i="91" s="1"/>
  <c r="T2" i="91" s="1"/>
  <c r="U2" i="91" s="1"/>
  <c r="V2" i="91" s="1"/>
  <c r="W2" i="91" s="1"/>
  <c r="X2" i="91" s="1"/>
  <c r="Y2" i="91" s="1"/>
  <c r="Z2" i="91" s="1"/>
  <c r="C18" i="89"/>
  <c r="C17" i="89"/>
  <c r="C16" i="89"/>
  <c r="C15" i="89"/>
  <c r="B14" i="89"/>
  <c r="C14" i="89" s="1"/>
  <c r="C13" i="89"/>
  <c r="C12" i="89"/>
  <c r="C11" i="89"/>
  <c r="C10" i="89"/>
  <c r="B9" i="89"/>
  <c r="C9" i="89" s="1"/>
  <c r="B8" i="89"/>
  <c r="C8" i="89" s="1"/>
  <c r="C7" i="89"/>
  <c r="C6" i="89"/>
  <c r="C5" i="89"/>
  <c r="C4" i="89"/>
  <c r="B3" i="89"/>
  <c r="C3" i="89" s="1"/>
  <c r="I16" i="88"/>
  <c r="I15" i="88"/>
  <c r="I14" i="88"/>
  <c r="J13" i="88"/>
  <c r="I13" i="88"/>
  <c r="J12" i="88"/>
  <c r="I12" i="88"/>
  <c r="J11" i="88"/>
  <c r="I11" i="88"/>
  <c r="I8" i="88"/>
  <c r="I7" i="88"/>
  <c r="I6" i="88"/>
  <c r="J5" i="88"/>
  <c r="I5" i="88"/>
  <c r="J4" i="88"/>
  <c r="I4" i="88"/>
  <c r="J3" i="88"/>
  <c r="I3" i="88"/>
  <c r="F6" i="87"/>
  <c r="F5" i="87"/>
  <c r="F4" i="87"/>
  <c r="F3" i="87"/>
  <c r="C2" i="86"/>
  <c r="D2" i="86" s="1"/>
  <c r="E2" i="86" s="1"/>
  <c r="F2" i="86" s="1"/>
  <c r="E3" i="84"/>
  <c r="D3" i="84"/>
  <c r="C3" i="84"/>
  <c r="F3" i="84" s="1"/>
  <c r="G17" i="83"/>
  <c r="F17" i="83"/>
  <c r="E17" i="83"/>
  <c r="D17" i="83"/>
  <c r="C17" i="83"/>
  <c r="B17" i="83"/>
  <c r="G12" i="83"/>
  <c r="F12" i="83"/>
  <c r="G10" i="83"/>
  <c r="F10" i="83"/>
  <c r="E10" i="83"/>
  <c r="E12" i="83" s="1"/>
  <c r="D10" i="83"/>
  <c r="D12" i="83" s="1"/>
  <c r="C10" i="83"/>
  <c r="C12" i="83" s="1"/>
  <c r="B10" i="83"/>
  <c r="B12" i="83" s="1"/>
  <c r="F5" i="83"/>
  <c r="E5" i="83"/>
  <c r="D5" i="83"/>
  <c r="C5" i="83"/>
  <c r="B5" i="83"/>
  <c r="C2" i="83"/>
  <c r="D2" i="83" s="1"/>
  <c r="E2" i="83" s="1"/>
  <c r="F2" i="83" s="1"/>
  <c r="G2" i="83" s="1"/>
  <c r="I5" i="82"/>
  <c r="I7" i="82" s="1"/>
  <c r="I9" i="82" s="1"/>
  <c r="H5" i="82"/>
  <c r="H7" i="82" s="1"/>
  <c r="H9" i="82" s="1"/>
  <c r="G5" i="82"/>
  <c r="G7" i="82" s="1"/>
  <c r="G9" i="82" s="1"/>
  <c r="F5" i="82"/>
  <c r="F7" i="82" s="1"/>
  <c r="F9" i="82" s="1"/>
  <c r="E5" i="82"/>
  <c r="E7" i="82" s="1"/>
  <c r="E9" i="82" s="1"/>
  <c r="D5" i="82"/>
  <c r="D7" i="82" s="1"/>
  <c r="D9" i="82" s="1"/>
  <c r="C5" i="82"/>
  <c r="C7" i="82" s="1"/>
  <c r="C9" i="82" s="1"/>
  <c r="B5" i="82"/>
  <c r="B7" i="82" s="1"/>
  <c r="B9" i="82" s="1"/>
  <c r="I29" i="81"/>
  <c r="E29" i="81"/>
  <c r="L23" i="81"/>
  <c r="K23" i="81"/>
  <c r="J23" i="81"/>
  <c r="I23" i="81"/>
  <c r="H23" i="81"/>
  <c r="G23" i="81"/>
  <c r="F23" i="81"/>
  <c r="E23" i="81"/>
  <c r="D23" i="81"/>
  <c r="C23" i="81"/>
  <c r="B23" i="81"/>
  <c r="H17" i="81"/>
  <c r="L15" i="81"/>
  <c r="K15" i="81"/>
  <c r="J15" i="81"/>
  <c r="I15" i="81"/>
  <c r="H15" i="81"/>
  <c r="G15" i="81"/>
  <c r="F15" i="81"/>
  <c r="E15" i="81"/>
  <c r="D15" i="81"/>
  <c r="C15" i="81"/>
  <c r="B15" i="81"/>
  <c r="L3" i="81"/>
  <c r="L29" i="81" s="1"/>
  <c r="K3" i="81"/>
  <c r="K29" i="81" s="1"/>
  <c r="J3" i="81"/>
  <c r="J29" i="81" s="1"/>
  <c r="I3" i="81"/>
  <c r="H3" i="81"/>
  <c r="H29" i="81" s="1"/>
  <c r="G3" i="81"/>
  <c r="G29" i="81" s="1"/>
  <c r="F3" i="81"/>
  <c r="F29" i="81" s="1"/>
  <c r="E3" i="81"/>
  <c r="D3" i="81"/>
  <c r="D29" i="81" s="1"/>
  <c r="C3" i="81"/>
  <c r="C29" i="81" s="1"/>
  <c r="B3" i="81"/>
  <c r="B29" i="81" s="1"/>
  <c r="E3" i="80"/>
  <c r="D3" i="80"/>
  <c r="F3" i="80" s="1"/>
  <c r="C3" i="80"/>
  <c r="F53" i="79"/>
  <c r="E53" i="79"/>
  <c r="D53" i="79"/>
  <c r="B53" i="79"/>
  <c r="F50" i="79"/>
  <c r="E50" i="79"/>
  <c r="D50" i="79"/>
  <c r="B50" i="79"/>
  <c r="F49" i="79"/>
  <c r="E49" i="79"/>
  <c r="D49" i="79"/>
  <c r="B49" i="79"/>
  <c r="F48" i="79"/>
  <c r="E48" i="79"/>
  <c r="D48" i="79"/>
  <c r="B48" i="79"/>
  <c r="F47" i="79"/>
  <c r="E47" i="79"/>
  <c r="D47" i="79"/>
  <c r="B47" i="79"/>
  <c r="F46" i="79"/>
  <c r="E46" i="79"/>
  <c r="D46" i="79"/>
  <c r="B46" i="79"/>
  <c r="F45" i="79"/>
  <c r="E45" i="79"/>
  <c r="D45" i="79"/>
  <c r="B45" i="79"/>
  <c r="F44" i="79"/>
  <c r="E44" i="79"/>
  <c r="D44" i="79"/>
  <c r="B44" i="79"/>
  <c r="F43" i="79"/>
  <c r="E43" i="79"/>
  <c r="D43" i="79"/>
  <c r="B43" i="79"/>
  <c r="F42" i="79"/>
  <c r="E42" i="79"/>
  <c r="D42" i="79"/>
  <c r="B42" i="79"/>
  <c r="F40" i="79"/>
  <c r="E40" i="79"/>
  <c r="D40" i="79"/>
  <c r="B40" i="79"/>
  <c r="F39" i="79"/>
  <c r="E39" i="79"/>
  <c r="D39" i="79"/>
  <c r="B39" i="79"/>
  <c r="F38" i="79"/>
  <c r="E38" i="79"/>
  <c r="D38" i="79"/>
  <c r="B38" i="79"/>
  <c r="F37" i="79"/>
  <c r="E37" i="79"/>
  <c r="D37" i="79"/>
  <c r="B37" i="79"/>
  <c r="F36" i="79"/>
  <c r="E36" i="79"/>
  <c r="D36" i="79"/>
  <c r="B36" i="79"/>
  <c r="F35" i="79"/>
  <c r="E35" i="79"/>
  <c r="D35" i="79"/>
  <c r="B35" i="79"/>
  <c r="F34" i="79"/>
  <c r="E34" i="79"/>
  <c r="D34" i="79"/>
  <c r="B34" i="79"/>
  <c r="F33" i="79"/>
  <c r="E33" i="79"/>
  <c r="D33" i="79"/>
  <c r="B33" i="79"/>
  <c r="F32" i="79"/>
  <c r="D32" i="79"/>
  <c r="F30" i="79"/>
  <c r="E30" i="79"/>
  <c r="D30" i="79"/>
  <c r="B30" i="79"/>
  <c r="G27" i="79"/>
  <c r="G49" i="79" s="1"/>
  <c r="C27" i="79"/>
  <c r="C47" i="79" s="1"/>
  <c r="G13" i="79"/>
  <c r="G41" i="79" s="1"/>
  <c r="F13" i="79"/>
  <c r="F41" i="79" s="1"/>
  <c r="E13" i="79"/>
  <c r="E41" i="79" s="1"/>
  <c r="D13" i="79"/>
  <c r="D23" i="79" s="1"/>
  <c r="C13" i="79"/>
  <c r="C41" i="79" s="1"/>
  <c r="B13" i="79"/>
  <c r="B41" i="79" s="1"/>
  <c r="B7" i="79"/>
  <c r="B4" i="79" s="1"/>
  <c r="G4" i="79"/>
  <c r="G23" i="79" s="1"/>
  <c r="F4" i="79"/>
  <c r="E4" i="79"/>
  <c r="E32" i="79" s="1"/>
  <c r="D4" i="79"/>
  <c r="C4" i="79"/>
  <c r="C32" i="79" s="1"/>
  <c r="E6" i="78"/>
  <c r="D6" i="78"/>
  <c r="C6" i="78"/>
  <c r="B6" i="78"/>
  <c r="E3" i="78"/>
  <c r="D3" i="78"/>
  <c r="C3" i="78"/>
  <c r="B3" i="78"/>
  <c r="C2" i="78"/>
  <c r="D2" i="78" s="1"/>
  <c r="E2" i="78" s="1"/>
  <c r="F17" i="77"/>
  <c r="E17" i="77"/>
  <c r="D17" i="77"/>
  <c r="C17" i="77"/>
  <c r="B16" i="77"/>
  <c r="A16" i="77"/>
  <c r="C11" i="77"/>
  <c r="F8" i="77"/>
  <c r="E8" i="77"/>
  <c r="D8" i="77"/>
  <c r="C8" i="77"/>
  <c r="D2" i="77"/>
  <c r="E2" i="77" s="1"/>
  <c r="E16" i="76"/>
  <c r="E15" i="76"/>
  <c r="E14" i="76"/>
  <c r="E13" i="76"/>
  <c r="E12" i="76"/>
  <c r="E11" i="76"/>
  <c r="E10" i="76"/>
  <c r="E9" i="76"/>
  <c r="E8" i="76" s="1"/>
  <c r="D8" i="76"/>
  <c r="C8" i="76"/>
  <c r="E7" i="76"/>
  <c r="E6" i="76"/>
  <c r="E5" i="76"/>
  <c r="E3" i="76" s="1"/>
  <c r="E4" i="76"/>
  <c r="D3" i="76"/>
  <c r="D17" i="76" s="1"/>
  <c r="C3" i="76"/>
  <c r="C17" i="76" s="1"/>
  <c r="G5" i="75"/>
  <c r="F5" i="75"/>
  <c r="E5" i="75"/>
  <c r="D5" i="75"/>
  <c r="H5" i="74"/>
  <c r="G5" i="74"/>
  <c r="F5" i="74"/>
  <c r="E5" i="74"/>
  <c r="E5" i="73"/>
  <c r="D5" i="73"/>
  <c r="C5" i="73"/>
  <c r="B5" i="73"/>
  <c r="E15" i="72"/>
  <c r="D15" i="72"/>
  <c r="C15" i="72"/>
  <c r="B15" i="72"/>
  <c r="E14" i="72"/>
  <c r="D14" i="72"/>
  <c r="C14" i="72"/>
  <c r="B14" i="72"/>
  <c r="B13" i="72" s="1"/>
  <c r="E13" i="72"/>
  <c r="D13" i="72"/>
  <c r="C13" i="72"/>
  <c r="B21" i="71"/>
  <c r="C15" i="71" s="1"/>
  <c r="C21" i="71" s="1"/>
  <c r="D15" i="71" s="1"/>
  <c r="D21" i="71" s="1"/>
  <c r="E15" i="71" s="1"/>
  <c r="E21" i="71" s="1"/>
  <c r="F15" i="71" s="1"/>
  <c r="F21" i="71" s="1"/>
  <c r="G15" i="71" s="1"/>
  <c r="G21" i="71" s="1"/>
  <c r="H15" i="71" s="1"/>
  <c r="H21" i="71" s="1"/>
  <c r="I15" i="71" s="1"/>
  <c r="I21" i="71" s="1"/>
  <c r="H12" i="71"/>
  <c r="B11" i="71"/>
  <c r="C4" i="71" s="1"/>
  <c r="C11" i="71" s="1"/>
  <c r="D4" i="71" s="1"/>
  <c r="D11" i="71" s="1"/>
  <c r="E4" i="71" s="1"/>
  <c r="E11" i="71" s="1"/>
  <c r="F4" i="71" s="1"/>
  <c r="F11" i="71" s="1"/>
  <c r="G4" i="71" s="1"/>
  <c r="G11" i="71" s="1"/>
  <c r="H4" i="71" s="1"/>
  <c r="H11" i="71" s="1"/>
  <c r="I4" i="71" s="1"/>
  <c r="I11" i="71" s="1"/>
  <c r="J6" i="70"/>
  <c r="H6" i="70"/>
  <c r="G6" i="70"/>
  <c r="F6" i="70"/>
  <c r="D6" i="70"/>
  <c r="C6" i="70"/>
  <c r="B6" i="70"/>
  <c r="J5" i="70"/>
  <c r="I5" i="70"/>
  <c r="I6" i="70" s="1"/>
  <c r="F5" i="70"/>
  <c r="E5" i="70"/>
  <c r="E6" i="70" s="1"/>
  <c r="J4" i="70"/>
  <c r="I4" i="70"/>
  <c r="H4" i="70"/>
  <c r="G4" i="70"/>
  <c r="F4" i="70"/>
  <c r="E4" i="70"/>
  <c r="D4" i="70"/>
  <c r="C4" i="70"/>
  <c r="E5" i="69"/>
  <c r="D5" i="69"/>
  <c r="C5" i="69"/>
  <c r="B5" i="69"/>
  <c r="D2" i="69"/>
  <c r="E2" i="69" s="1"/>
  <c r="G13" i="67"/>
  <c r="I12" i="67"/>
  <c r="I13" i="67" s="1"/>
  <c r="H12" i="67"/>
  <c r="G12" i="67"/>
  <c r="F12" i="67"/>
  <c r="E12" i="67"/>
  <c r="D12" i="67"/>
  <c r="E13" i="67" s="1"/>
  <c r="C12" i="67"/>
  <c r="C13" i="67" s="1"/>
  <c r="B12" i="67"/>
  <c r="I9" i="67"/>
  <c r="H9" i="67"/>
  <c r="G9" i="67"/>
  <c r="F9" i="67"/>
  <c r="E9" i="67"/>
  <c r="D9" i="67"/>
  <c r="C9" i="67"/>
  <c r="B9" i="67"/>
  <c r="I5" i="67"/>
  <c r="H5" i="67"/>
  <c r="G5" i="67"/>
  <c r="F5" i="67"/>
  <c r="E5" i="67"/>
  <c r="D5" i="67"/>
  <c r="C5" i="67"/>
  <c r="B5" i="67"/>
  <c r="D28" i="66"/>
  <c r="C28" i="66"/>
  <c r="B28" i="66"/>
  <c r="D16" i="66"/>
  <c r="B16" i="66"/>
  <c r="D14" i="66"/>
  <c r="D11" i="66" s="1"/>
  <c r="B11" i="66"/>
  <c r="D4" i="66"/>
  <c r="D3" i="66" s="1"/>
  <c r="C4" i="66"/>
  <c r="C3" i="66" s="1"/>
  <c r="B4" i="66"/>
  <c r="B3" i="66"/>
  <c r="E5" i="65"/>
  <c r="D5" i="65"/>
  <c r="C5" i="65"/>
  <c r="B5" i="65"/>
  <c r="D19" i="64"/>
  <c r="E19" i="64" s="1"/>
  <c r="F19" i="64" s="1"/>
  <c r="G19" i="64" s="1"/>
  <c r="C13" i="64"/>
  <c r="C12" i="64"/>
  <c r="C14" i="64" s="1"/>
  <c r="B12" i="64"/>
  <c r="C11" i="64"/>
  <c r="B11" i="64"/>
  <c r="G6" i="64"/>
  <c r="G5" i="64" s="1"/>
  <c r="F6" i="64"/>
  <c r="F5" i="64"/>
  <c r="E5" i="64"/>
  <c r="D5" i="64"/>
  <c r="D11" i="64" s="1"/>
  <c r="G4" i="64"/>
  <c r="F4" i="64"/>
  <c r="E4" i="64"/>
  <c r="D4" i="64"/>
  <c r="C4" i="64"/>
  <c r="B4" i="64"/>
  <c r="C2" i="64"/>
  <c r="D2" i="64" s="1"/>
  <c r="E2" i="64" s="1"/>
  <c r="F2" i="64" s="1"/>
  <c r="G2" i="64" s="1"/>
  <c r="F17" i="63"/>
  <c r="E17" i="63"/>
  <c r="D17" i="63"/>
  <c r="C17" i="63"/>
  <c r="C10" i="63"/>
  <c r="C12" i="63" s="1"/>
  <c r="F9" i="63"/>
  <c r="F10" i="63" s="1"/>
  <c r="E9" i="63"/>
  <c r="E10" i="63" s="1"/>
  <c r="D9" i="63"/>
  <c r="D10" i="63" s="1"/>
  <c r="C9" i="63"/>
  <c r="C11" i="63" s="1"/>
  <c r="F6" i="63"/>
  <c r="E6" i="63"/>
  <c r="D6" i="63"/>
  <c r="C6" i="63"/>
  <c r="F4" i="63"/>
  <c r="F12" i="63" s="1"/>
  <c r="E4" i="63"/>
  <c r="E11" i="63" s="1"/>
  <c r="D4" i="63"/>
  <c r="D11" i="63" s="1"/>
  <c r="E7" i="62"/>
  <c r="D7" i="62"/>
  <c r="C7" i="62"/>
  <c r="B7" i="62"/>
  <c r="B3" i="62" s="1"/>
  <c r="E3" i="62"/>
  <c r="D3" i="62"/>
  <c r="C3" i="62"/>
  <c r="B29" i="61"/>
  <c r="E26" i="61"/>
  <c r="D26" i="61"/>
  <c r="C26" i="61"/>
  <c r="E24" i="61"/>
  <c r="E23" i="61" s="1"/>
  <c r="D24" i="61"/>
  <c r="D23" i="61" s="1"/>
  <c r="C24" i="61"/>
  <c r="C23" i="61" s="1"/>
  <c r="B23" i="61"/>
  <c r="E19" i="61"/>
  <c r="D19" i="61"/>
  <c r="C19" i="61"/>
  <c r="B19" i="61"/>
  <c r="E11" i="61"/>
  <c r="D11" i="61"/>
  <c r="C11" i="61"/>
  <c r="B11" i="61"/>
  <c r="E9" i="61"/>
  <c r="D9" i="61"/>
  <c r="D5" i="61" s="1"/>
  <c r="C9" i="61"/>
  <c r="C7" i="61"/>
  <c r="C5" i="61" s="1"/>
  <c r="E5" i="61"/>
  <c r="B5" i="61"/>
  <c r="B3" i="61" s="1"/>
  <c r="E3" i="61" l="1"/>
  <c r="J3" i="97"/>
  <c r="G3" i="97"/>
  <c r="W328" i="94"/>
  <c r="Y104" i="94"/>
  <c r="J228" i="94"/>
  <c r="J176" i="94"/>
  <c r="N240" i="94"/>
  <c r="U16" i="94"/>
  <c r="O252" i="94"/>
  <c r="W28" i="94"/>
  <c r="U28" i="94"/>
  <c r="R28" i="94"/>
  <c r="R252" i="94" s="1"/>
  <c r="O21" i="94"/>
  <c r="P28" i="94"/>
  <c r="N266" i="94"/>
  <c r="U42" i="94"/>
  <c r="W281" i="94"/>
  <c r="Y57" i="94"/>
  <c r="N297" i="94"/>
  <c r="U73" i="94"/>
  <c r="W299" i="94"/>
  <c r="Y75" i="94"/>
  <c r="W318" i="94"/>
  <c r="Y94" i="94"/>
  <c r="E338" i="94"/>
  <c r="O114" i="94"/>
  <c r="R249" i="94"/>
  <c r="R21" i="94"/>
  <c r="R245" i="94" s="1"/>
  <c r="Z99" i="94"/>
  <c r="P242" i="94"/>
  <c r="S18" i="94"/>
  <c r="S242" i="94" s="1"/>
  <c r="W248" i="94"/>
  <c r="W21" i="94"/>
  <c r="Y24" i="94"/>
  <c r="Q260" i="94"/>
  <c r="T36" i="94"/>
  <c r="T260" i="94" s="1"/>
  <c r="Z88" i="94"/>
  <c r="Z312" i="94" s="1"/>
  <c r="W315" i="94"/>
  <c r="Y91" i="94"/>
  <c r="G119" i="94"/>
  <c r="G343" i="94" s="1"/>
  <c r="N358" i="94"/>
  <c r="U134" i="94"/>
  <c r="C234" i="94"/>
  <c r="C20" i="94"/>
  <c r="C244" i="94" s="1"/>
  <c r="W313" i="94"/>
  <c r="Y89" i="94"/>
  <c r="S231" i="94"/>
  <c r="F20" i="94"/>
  <c r="F244" i="94" s="1"/>
  <c r="Q261" i="94"/>
  <c r="T37" i="94"/>
  <c r="T261" i="94" s="1"/>
  <c r="N265" i="94"/>
  <c r="U41" i="94"/>
  <c r="Q273" i="94"/>
  <c r="T49" i="94"/>
  <c r="T273" i="94" s="1"/>
  <c r="N302" i="94"/>
  <c r="U78" i="94"/>
  <c r="N332" i="94"/>
  <c r="U108" i="94"/>
  <c r="N342" i="94"/>
  <c r="U118" i="94"/>
  <c r="S256" i="94"/>
  <c r="W241" i="94"/>
  <c r="Y17" i="94"/>
  <c r="Z27" i="94"/>
  <c r="R30" i="94"/>
  <c r="R254" i="94" s="1"/>
  <c r="N290" i="94"/>
  <c r="O66" i="94"/>
  <c r="O295" i="94"/>
  <c r="W71" i="94"/>
  <c r="U71" i="94"/>
  <c r="O59" i="94"/>
  <c r="R71" i="94"/>
  <c r="O70" i="94"/>
  <c r="W298" i="94"/>
  <c r="Y74" i="94"/>
  <c r="Q306" i="94"/>
  <c r="T82" i="94"/>
  <c r="W317" i="94"/>
  <c r="Y93" i="94"/>
  <c r="W382" i="94"/>
  <c r="Y158" i="94"/>
  <c r="H413" i="94"/>
  <c r="H214" i="94"/>
  <c r="N212" i="94"/>
  <c r="N413" i="94" s="1"/>
  <c r="W239" i="94"/>
  <c r="Y15" i="94"/>
  <c r="H262" i="94"/>
  <c r="H4" i="94"/>
  <c r="N38" i="94"/>
  <c r="N262" i="94" s="1"/>
  <c r="D268" i="94"/>
  <c r="D46" i="94"/>
  <c r="D270" i="94" s="1"/>
  <c r="N274" i="94"/>
  <c r="O50" i="94"/>
  <c r="K294" i="94"/>
  <c r="K186" i="94"/>
  <c r="K69" i="94"/>
  <c r="K293" i="94" s="1"/>
  <c r="N301" i="94"/>
  <c r="U77" i="94"/>
  <c r="W314" i="94"/>
  <c r="Y90" i="94"/>
  <c r="N339" i="94"/>
  <c r="U115" i="94"/>
  <c r="O237" i="94"/>
  <c r="W13" i="94"/>
  <c r="U13" i="94"/>
  <c r="R13" i="94"/>
  <c r="O311" i="94"/>
  <c r="W87" i="94"/>
  <c r="U87" i="94"/>
  <c r="R87" i="94"/>
  <c r="R311" i="94" s="1"/>
  <c r="I229" i="94"/>
  <c r="I4" i="94"/>
  <c r="W250" i="94"/>
  <c r="Y26" i="94"/>
  <c r="T272" i="94"/>
  <c r="O284" i="94"/>
  <c r="W60" i="94"/>
  <c r="U60" i="94"/>
  <c r="R60" i="94"/>
  <c r="R284" i="94" s="1"/>
  <c r="N289" i="94"/>
  <c r="U65" i="94"/>
  <c r="E307" i="94"/>
  <c r="E218" i="94"/>
  <c r="E419" i="94" s="1"/>
  <c r="W320" i="94"/>
  <c r="Y96" i="94"/>
  <c r="Z105" i="94"/>
  <c r="Z329" i="94" s="1"/>
  <c r="W235" i="94"/>
  <c r="Y11" i="94"/>
  <c r="Q239" i="94"/>
  <c r="Q168" i="94"/>
  <c r="T15" i="94"/>
  <c r="T239" i="94" s="1"/>
  <c r="W240" i="94"/>
  <c r="Y16" i="94"/>
  <c r="N267" i="94"/>
  <c r="U43" i="94"/>
  <c r="Q296" i="94"/>
  <c r="T72" i="94"/>
  <c r="T296" i="94" s="1"/>
  <c r="W297" i="94"/>
  <c r="Y73" i="94"/>
  <c r="N300" i="94"/>
  <c r="U76" i="94"/>
  <c r="W316" i="94"/>
  <c r="Y92" i="94"/>
  <c r="O372" i="94"/>
  <c r="C228" i="94"/>
  <c r="C176" i="94"/>
  <c r="K4" i="94"/>
  <c r="T12" i="94"/>
  <c r="U14" i="94"/>
  <c r="R15" i="94"/>
  <c r="R239" i="94" s="1"/>
  <c r="G20" i="94"/>
  <c r="G244" i="94" s="1"/>
  <c r="U20" i="94"/>
  <c r="W35" i="94"/>
  <c r="R36" i="94"/>
  <c r="R260" i="94" s="1"/>
  <c r="D37" i="94"/>
  <c r="D261" i="94" s="1"/>
  <c r="R37" i="94"/>
  <c r="R261" i="94" s="1"/>
  <c r="W39" i="94"/>
  <c r="H271" i="94"/>
  <c r="H191" i="94"/>
  <c r="U48" i="94"/>
  <c r="R49" i="94"/>
  <c r="R273" i="94" s="1"/>
  <c r="U55" i="94"/>
  <c r="S59" i="94"/>
  <c r="T61" i="94"/>
  <c r="T285" i="94" s="1"/>
  <c r="S68" i="94"/>
  <c r="S292" i="94" s="1"/>
  <c r="M294" i="94"/>
  <c r="M186" i="94"/>
  <c r="R72" i="94"/>
  <c r="R296" i="94" s="1"/>
  <c r="H305" i="94"/>
  <c r="H187" i="94"/>
  <c r="R82" i="94"/>
  <c r="F307" i="94"/>
  <c r="F218" i="94"/>
  <c r="F419" i="94" s="1"/>
  <c r="T83" i="94"/>
  <c r="T307" i="94" s="1"/>
  <c r="W85" i="94"/>
  <c r="C101" i="94"/>
  <c r="C325" i="94" s="1"/>
  <c r="U101" i="94"/>
  <c r="N102" i="94"/>
  <c r="N326" i="94" s="1"/>
  <c r="N331" i="94"/>
  <c r="U107" i="94"/>
  <c r="N189" i="94"/>
  <c r="U189" i="94" s="1"/>
  <c r="R332" i="94"/>
  <c r="N337" i="94"/>
  <c r="U113" i="94"/>
  <c r="R339" i="94"/>
  <c r="F341" i="94"/>
  <c r="P117" i="94"/>
  <c r="Q347" i="94"/>
  <c r="T123" i="94"/>
  <c r="T347" i="94" s="1"/>
  <c r="X372" i="94"/>
  <c r="E175" i="94"/>
  <c r="E399" i="94" s="1"/>
  <c r="W394" i="94"/>
  <c r="Y170" i="94"/>
  <c r="N398" i="94"/>
  <c r="U174" i="94"/>
  <c r="O236" i="94"/>
  <c r="Y276" i="94"/>
  <c r="U56" i="94"/>
  <c r="N294" i="94"/>
  <c r="N186" i="94"/>
  <c r="E296" i="94"/>
  <c r="E217" i="94"/>
  <c r="I305" i="94"/>
  <c r="I187" i="94"/>
  <c r="E306" i="94"/>
  <c r="E208" i="94"/>
  <c r="Q87" i="94"/>
  <c r="Z319" i="94"/>
  <c r="N324" i="94"/>
  <c r="U100" i="94"/>
  <c r="U106" i="94"/>
  <c r="N330" i="94"/>
  <c r="O336" i="94"/>
  <c r="W112" i="94"/>
  <c r="U112" i="94"/>
  <c r="N346" i="94"/>
  <c r="O122" i="94"/>
  <c r="W348" i="94"/>
  <c r="Y124" i="94"/>
  <c r="R351" i="94"/>
  <c r="P362" i="94"/>
  <c r="S138" i="94"/>
  <c r="S362" i="94" s="1"/>
  <c r="Z147" i="94"/>
  <c r="F199" i="94"/>
  <c r="D176" i="94"/>
  <c r="Y247" i="94"/>
  <c r="E228" i="94"/>
  <c r="E176" i="94"/>
  <c r="N4" i="94"/>
  <c r="N228" i="94" s="1"/>
  <c r="W12" i="94"/>
  <c r="Y14" i="94"/>
  <c r="O19" i="94"/>
  <c r="Y20" i="94"/>
  <c r="Y22" i="94"/>
  <c r="Z23" i="94"/>
  <c r="D28" i="94"/>
  <c r="D252" i="94" s="1"/>
  <c r="U29" i="94"/>
  <c r="P39" i="94"/>
  <c r="Z44" i="94"/>
  <c r="E46" i="94"/>
  <c r="E270" i="94" s="1"/>
  <c r="J271" i="94"/>
  <c r="J191" i="94"/>
  <c r="Y48" i="94"/>
  <c r="Z51" i="94"/>
  <c r="Z52" i="94"/>
  <c r="Z53" i="94"/>
  <c r="Z54" i="94"/>
  <c r="Y55" i="94"/>
  <c r="W61" i="94"/>
  <c r="F296" i="94"/>
  <c r="F217" i="94"/>
  <c r="Z79" i="94"/>
  <c r="J305" i="94"/>
  <c r="J187" i="94"/>
  <c r="F306" i="94"/>
  <c r="F208" i="94"/>
  <c r="F409" i="94" s="1"/>
  <c r="W83" i="94"/>
  <c r="P85" i="94"/>
  <c r="Z86" i="94"/>
  <c r="N323" i="94"/>
  <c r="U99" i="94"/>
  <c r="E101" i="94"/>
  <c r="E325" i="94" s="1"/>
  <c r="Y101" i="94"/>
  <c r="E327" i="94"/>
  <c r="E119" i="94"/>
  <c r="E343" i="94" s="1"/>
  <c r="Z103" i="94"/>
  <c r="N329" i="94"/>
  <c r="U105" i="94"/>
  <c r="R330" i="94"/>
  <c r="Y110" i="94"/>
  <c r="P336" i="94"/>
  <c r="C357" i="94"/>
  <c r="C221" i="94"/>
  <c r="C422" i="94" s="1"/>
  <c r="C147" i="94"/>
  <c r="C371" i="94" s="1"/>
  <c r="R357" i="94"/>
  <c r="R131" i="94"/>
  <c r="P365" i="94"/>
  <c r="S141" i="94"/>
  <c r="S365" i="94" s="1"/>
  <c r="N393" i="94"/>
  <c r="U169" i="94"/>
  <c r="M176" i="94"/>
  <c r="M228" i="94"/>
  <c r="Y256" i="94"/>
  <c r="U36" i="94"/>
  <c r="U37" i="94"/>
  <c r="F46" i="94"/>
  <c r="F270" i="94" s="1"/>
  <c r="K271" i="94"/>
  <c r="K191" i="94"/>
  <c r="U49" i="94"/>
  <c r="P70" i="94"/>
  <c r="G296" i="94"/>
  <c r="G217" i="94"/>
  <c r="U72" i="94"/>
  <c r="K305" i="94"/>
  <c r="K187" i="94"/>
  <c r="G306" i="94"/>
  <c r="G101" i="94"/>
  <c r="G325" i="94" s="1"/>
  <c r="U82" i="94"/>
  <c r="N320" i="94"/>
  <c r="U96" i="94"/>
  <c r="F101" i="94"/>
  <c r="F325" i="94" s="1"/>
  <c r="N328" i="94"/>
  <c r="U104" i="94"/>
  <c r="Q336" i="94"/>
  <c r="T112" i="94"/>
  <c r="Q114" i="94"/>
  <c r="Q341" i="94"/>
  <c r="T117" i="94"/>
  <c r="T341" i="94" s="1"/>
  <c r="W349" i="94"/>
  <c r="Y125" i="94"/>
  <c r="O374" i="94"/>
  <c r="W150" i="94"/>
  <c r="W148" i="94" s="1"/>
  <c r="U150" i="94"/>
  <c r="R150" i="94"/>
  <c r="R374" i="94" s="1"/>
  <c r="P150" i="94"/>
  <c r="P387" i="94"/>
  <c r="S163" i="94"/>
  <c r="S387" i="94" s="1"/>
  <c r="P192" i="94"/>
  <c r="I420" i="94"/>
  <c r="O219" i="94"/>
  <c r="O420" i="94" s="1"/>
  <c r="J219" i="94"/>
  <c r="W232" i="94"/>
  <c r="Q284" i="94"/>
  <c r="U15" i="94"/>
  <c r="G228" i="94"/>
  <c r="G176" i="94"/>
  <c r="O5" i="94"/>
  <c r="Y6" i="94"/>
  <c r="Z7" i="94"/>
  <c r="T13" i="94"/>
  <c r="T237" i="94" s="1"/>
  <c r="S16" i="94"/>
  <c r="S240" i="94" s="1"/>
  <c r="U18" i="94"/>
  <c r="Y25" i="94"/>
  <c r="F28" i="94"/>
  <c r="F252" i="94" s="1"/>
  <c r="Y29" i="94"/>
  <c r="O30" i="94"/>
  <c r="Y31" i="94"/>
  <c r="Z32" i="94"/>
  <c r="Y33" i="94"/>
  <c r="U34" i="94"/>
  <c r="R35" i="94"/>
  <c r="R259" i="94" s="1"/>
  <c r="W36" i="94"/>
  <c r="W30" i="94" s="1"/>
  <c r="W37" i="94"/>
  <c r="R39" i="94"/>
  <c r="O40" i="94"/>
  <c r="G46" i="94"/>
  <c r="G270" i="94" s="1"/>
  <c r="M271" i="94"/>
  <c r="M191" i="94"/>
  <c r="W49" i="94"/>
  <c r="Z56" i="94"/>
  <c r="Z280" i="94" s="1"/>
  <c r="Y62" i="94"/>
  <c r="Y63" i="94"/>
  <c r="Y64" i="94"/>
  <c r="O67" i="94"/>
  <c r="O68" i="94"/>
  <c r="Q70" i="94"/>
  <c r="T71" i="94"/>
  <c r="W72" i="94"/>
  <c r="S73" i="94"/>
  <c r="S297" i="94" s="1"/>
  <c r="D80" i="94"/>
  <c r="D304" i="94" s="1"/>
  <c r="M305" i="94"/>
  <c r="M187" i="94"/>
  <c r="W82" i="94"/>
  <c r="R85" i="94"/>
  <c r="R309" i="94" s="1"/>
  <c r="R320" i="94"/>
  <c r="Y97" i="94"/>
  <c r="Y98" i="94"/>
  <c r="N327" i="94"/>
  <c r="U103" i="94"/>
  <c r="R328" i="94"/>
  <c r="Y108" i="94"/>
  <c r="Z109" i="94"/>
  <c r="F335" i="94"/>
  <c r="F119" i="94"/>
  <c r="F343" i="94" s="1"/>
  <c r="U111" i="94"/>
  <c r="R112" i="94"/>
  <c r="R336" i="94" s="1"/>
  <c r="R341" i="94"/>
  <c r="W383" i="94"/>
  <c r="Y159" i="94"/>
  <c r="Z390" i="94"/>
  <c r="F176" i="94"/>
  <c r="H186" i="94"/>
  <c r="I191" i="94"/>
  <c r="G218" i="94"/>
  <c r="G419" i="94" s="1"/>
  <c r="O239" i="94"/>
  <c r="O168" i="94"/>
  <c r="Y265" i="94"/>
  <c r="N271" i="94"/>
  <c r="N191" i="94"/>
  <c r="I294" i="94"/>
  <c r="I186" i="94"/>
  <c r="F295" i="94"/>
  <c r="F207" i="94"/>
  <c r="E80" i="94"/>
  <c r="E304" i="94" s="1"/>
  <c r="N305" i="94"/>
  <c r="N187" i="94"/>
  <c r="Y331" i="94"/>
  <c r="N334" i="94"/>
  <c r="U110" i="94"/>
  <c r="G199" i="94"/>
  <c r="N360" i="94"/>
  <c r="U136" i="94"/>
  <c r="Z389" i="94"/>
  <c r="P190" i="94"/>
  <c r="E190" i="94"/>
  <c r="U190" i="94"/>
  <c r="C413" i="94"/>
  <c r="C213" i="94"/>
  <c r="C414" i="94" s="1"/>
  <c r="D20" i="94"/>
  <c r="D244" i="94" s="1"/>
  <c r="Z9" i="94"/>
  <c r="Z233" i="94" s="1"/>
  <c r="S14" i="94"/>
  <c r="S238" i="94" s="1"/>
  <c r="P239" i="94"/>
  <c r="P168" i="94"/>
  <c r="U17" i="94"/>
  <c r="Y18" i="94"/>
  <c r="E20" i="94"/>
  <c r="E244" i="94" s="1"/>
  <c r="S20" i="94"/>
  <c r="S244" i="94" s="1"/>
  <c r="Q30" i="94"/>
  <c r="Q254" i="94" s="1"/>
  <c r="Y34" i="94"/>
  <c r="T35" i="94"/>
  <c r="Z41" i="94"/>
  <c r="Z42" i="94"/>
  <c r="Z43" i="94"/>
  <c r="Y45" i="94"/>
  <c r="O46" i="94"/>
  <c r="O47" i="94"/>
  <c r="S48" i="94"/>
  <c r="D57" i="94"/>
  <c r="D281" i="94" s="1"/>
  <c r="U57" i="94"/>
  <c r="Q59" i="94"/>
  <c r="R61" i="94"/>
  <c r="R285" i="94" s="1"/>
  <c r="Z65" i="94"/>
  <c r="Z289" i="94" s="1"/>
  <c r="Q68" i="94"/>
  <c r="J294" i="94"/>
  <c r="J186" i="94"/>
  <c r="S70" i="94"/>
  <c r="U74" i="94"/>
  <c r="U75" i="94"/>
  <c r="Z76" i="94"/>
  <c r="Z77" i="94"/>
  <c r="Z301" i="94" s="1"/>
  <c r="Z78" i="94"/>
  <c r="F80" i="94"/>
  <c r="F304" i="94" s="1"/>
  <c r="Y80" i="94"/>
  <c r="O81" i="94"/>
  <c r="R83" i="94"/>
  <c r="R307" i="94" s="1"/>
  <c r="O84" i="94"/>
  <c r="U89" i="94"/>
  <c r="U90" i="94"/>
  <c r="U91" i="94"/>
  <c r="U92" i="94"/>
  <c r="U93" i="94"/>
  <c r="U94" i="94"/>
  <c r="U95" i="94"/>
  <c r="Y100" i="94"/>
  <c r="Y106" i="94"/>
  <c r="Z107" i="94"/>
  <c r="Z331" i="94" s="1"/>
  <c r="N333" i="94"/>
  <c r="U109" i="94"/>
  <c r="R334" i="94"/>
  <c r="Y111" i="94"/>
  <c r="Z113" i="94"/>
  <c r="Y116" i="94"/>
  <c r="O352" i="94"/>
  <c r="W128" i="94"/>
  <c r="U128" i="94"/>
  <c r="R128" i="94"/>
  <c r="R352" i="94" s="1"/>
  <c r="O126" i="94"/>
  <c r="Q356" i="94"/>
  <c r="T132" i="94"/>
  <c r="Q131" i="94"/>
  <c r="N359" i="94"/>
  <c r="U135" i="94"/>
  <c r="R373" i="94"/>
  <c r="P376" i="94"/>
  <c r="S152" i="94"/>
  <c r="S376" i="94" s="1"/>
  <c r="T381" i="94"/>
  <c r="Z388" i="94"/>
  <c r="D413" i="94"/>
  <c r="D213" i="94"/>
  <c r="D414" i="94" s="1"/>
  <c r="G208" i="94"/>
  <c r="F209" i="94"/>
  <c r="F410" i="94" s="1"/>
  <c r="R342" i="94"/>
  <c r="R347" i="94"/>
  <c r="R356" i="94"/>
  <c r="E357" i="94"/>
  <c r="E221" i="94"/>
  <c r="E422" i="94" s="1"/>
  <c r="R358" i="94"/>
  <c r="R359" i="94"/>
  <c r="R360" i="94"/>
  <c r="G147" i="94"/>
  <c r="G371" i="94" s="1"/>
  <c r="U151" i="94"/>
  <c r="U157" i="94"/>
  <c r="R393" i="94"/>
  <c r="W171" i="94"/>
  <c r="R398" i="94"/>
  <c r="D175" i="94"/>
  <c r="D399" i="94" s="1"/>
  <c r="H192" i="94"/>
  <c r="F210" i="94"/>
  <c r="F411" i="94" s="1"/>
  <c r="X265" i="94"/>
  <c r="M272" i="94"/>
  <c r="X291" i="94"/>
  <c r="R354" i="94"/>
  <c r="R361" i="94"/>
  <c r="R362" i="94"/>
  <c r="R365" i="94"/>
  <c r="R366" i="94"/>
  <c r="R367" i="94"/>
  <c r="R376" i="94"/>
  <c r="Y153" i="94"/>
  <c r="Y154" i="94"/>
  <c r="R379" i="94"/>
  <c r="W157" i="94"/>
  <c r="U160" i="94"/>
  <c r="R387" i="94"/>
  <c r="R388" i="94"/>
  <c r="R389" i="94"/>
  <c r="R390" i="94"/>
  <c r="R391" i="94"/>
  <c r="I192" i="94"/>
  <c r="E198" i="94"/>
  <c r="E212" i="94" s="1"/>
  <c r="G210" i="94"/>
  <c r="G411" i="94" s="1"/>
  <c r="X231" i="94"/>
  <c r="M232" i="94"/>
  <c r="Y119" i="94"/>
  <c r="Q126" i="94"/>
  <c r="Q350" i="94" s="1"/>
  <c r="U127" i="94"/>
  <c r="Z129" i="94"/>
  <c r="G357" i="94"/>
  <c r="G221" i="94"/>
  <c r="G422" i="94" s="1"/>
  <c r="U133" i="94"/>
  <c r="Y139" i="94"/>
  <c r="Y144" i="94"/>
  <c r="Y145" i="94"/>
  <c r="Y146" i="94"/>
  <c r="R371" i="94"/>
  <c r="C373" i="94"/>
  <c r="C222" i="94"/>
  <c r="C423" i="94" s="1"/>
  <c r="U149" i="94"/>
  <c r="Y151" i="94"/>
  <c r="W160" i="94"/>
  <c r="Z172" i="94"/>
  <c r="Z173" i="94"/>
  <c r="Y175" i="94"/>
  <c r="J192" i="94"/>
  <c r="F198" i="94"/>
  <c r="F212" i="94" s="1"/>
  <c r="H414" i="94"/>
  <c r="N213" i="94"/>
  <c r="N414" i="94" s="1"/>
  <c r="F221" i="94"/>
  <c r="F422" i="94" s="1"/>
  <c r="R348" i="94"/>
  <c r="R349" i="94"/>
  <c r="C155" i="94"/>
  <c r="C379" i="94" s="1"/>
  <c r="R382" i="94"/>
  <c r="R383" i="94"/>
  <c r="R394" i="94"/>
  <c r="G175" i="94"/>
  <c r="G399" i="94" s="1"/>
  <c r="X399" i="94"/>
  <c r="X391" i="94"/>
  <c r="X383" i="94"/>
  <c r="X375" i="94"/>
  <c r="X367" i="94"/>
  <c r="X394" i="94"/>
  <c r="X386" i="94"/>
  <c r="X378" i="94"/>
  <c r="X370" i="94"/>
  <c r="X362" i="94"/>
  <c r="X397" i="94"/>
  <c r="X389" i="94"/>
  <c r="X381" i="94"/>
  <c r="X373" i="94"/>
  <c r="X365" i="94"/>
  <c r="X392" i="94"/>
  <c r="X384" i="94"/>
  <c r="X376" i="94"/>
  <c r="X368" i="94"/>
  <c r="X395" i="94"/>
  <c r="X387" i="94"/>
  <c r="X379" i="94"/>
  <c r="X371" i="94"/>
  <c r="X363" i="94"/>
  <c r="X398" i="94"/>
  <c r="X390" i="94"/>
  <c r="X382" i="94"/>
  <c r="X374" i="94"/>
  <c r="X366" i="94"/>
  <c r="X393" i="94"/>
  <c r="X385" i="94"/>
  <c r="X377" i="94"/>
  <c r="X369" i="94"/>
  <c r="X361" i="94"/>
  <c r="X357" i="94"/>
  <c r="X349" i="94"/>
  <c r="X341" i="94"/>
  <c r="X333" i="94"/>
  <c r="X325" i="94"/>
  <c r="X360" i="94"/>
  <c r="X352" i="94"/>
  <c r="X336" i="94"/>
  <c r="X347" i="94"/>
  <c r="X339" i="94"/>
  <c r="X331" i="94"/>
  <c r="X323" i="94"/>
  <c r="X315" i="94"/>
  <c r="X396" i="94"/>
  <c r="X388" i="94"/>
  <c r="X358" i="94"/>
  <c r="X342" i="94"/>
  <c r="X334" i="94"/>
  <c r="X318" i="94"/>
  <c r="X364" i="94"/>
  <c r="X353" i="94"/>
  <c r="X345" i="94"/>
  <c r="X337" i="94"/>
  <c r="X329" i="94"/>
  <c r="X356" i="94"/>
  <c r="X348" i="94"/>
  <c r="X340" i="94"/>
  <c r="X332" i="94"/>
  <c r="X359" i="94"/>
  <c r="X351" i="94"/>
  <c r="X343" i="94"/>
  <c r="X335" i="94"/>
  <c r="X327" i="94"/>
  <c r="X319" i="94"/>
  <c r="X310" i="94"/>
  <c r="X302" i="94"/>
  <c r="X286" i="94"/>
  <c r="X278" i="94"/>
  <c r="X328" i="94"/>
  <c r="X297" i="94"/>
  <c r="X289" i="94"/>
  <c r="X281" i="94"/>
  <c r="X273" i="94"/>
  <c r="X338" i="94"/>
  <c r="X330" i="94"/>
  <c r="X317" i="94"/>
  <c r="X313" i="94"/>
  <c r="X308" i="94"/>
  <c r="X300" i="94"/>
  <c r="X292" i="94"/>
  <c r="X284" i="94"/>
  <c r="X276" i="94"/>
  <c r="X311" i="94"/>
  <c r="X303" i="94"/>
  <c r="X295" i="94"/>
  <c r="X287" i="94"/>
  <c r="X279" i="94"/>
  <c r="X354" i="94"/>
  <c r="X322" i="94"/>
  <c r="X316" i="94"/>
  <c r="X306" i="94"/>
  <c r="X298" i="94"/>
  <c r="X290" i="94"/>
  <c r="X324" i="94"/>
  <c r="X321" i="94"/>
  <c r="X309" i="94"/>
  <c r="X301" i="94"/>
  <c r="X285" i="94"/>
  <c r="X277" i="94"/>
  <c r="X312" i="94"/>
  <c r="X304" i="94"/>
  <c r="X296" i="94"/>
  <c r="X288" i="94"/>
  <c r="X280" i="94"/>
  <c r="X272" i="94"/>
  <c r="X275" i="94"/>
  <c r="X274" i="94"/>
  <c r="X268" i="94"/>
  <c r="X260" i="94"/>
  <c r="X252" i="94"/>
  <c r="X244" i="94"/>
  <c r="X236" i="94"/>
  <c r="X299" i="94"/>
  <c r="X283" i="94"/>
  <c r="X263" i="94"/>
  <c r="X255" i="94"/>
  <c r="X247" i="94"/>
  <c r="X239" i="94"/>
  <c r="X346" i="94"/>
  <c r="X266" i="94"/>
  <c r="X258" i="94"/>
  <c r="X250" i="94"/>
  <c r="X242" i="94"/>
  <c r="X234" i="94"/>
  <c r="X320" i="94"/>
  <c r="X269" i="94"/>
  <c r="X261" i="94"/>
  <c r="X253" i="94"/>
  <c r="X237" i="94"/>
  <c r="X264" i="94"/>
  <c r="X256" i="94"/>
  <c r="X248" i="94"/>
  <c r="X240" i="94"/>
  <c r="X232" i="94"/>
  <c r="X270" i="94"/>
  <c r="X267" i="94"/>
  <c r="X259" i="94"/>
  <c r="X251" i="94"/>
  <c r="X243" i="94"/>
  <c r="X235" i="94"/>
  <c r="X307" i="94"/>
  <c r="X246" i="94"/>
  <c r="X238" i="94"/>
  <c r="X230" i="94"/>
  <c r="K192" i="94"/>
  <c r="G198" i="94"/>
  <c r="G212" i="94" s="1"/>
  <c r="I407" i="94"/>
  <c r="I212" i="94"/>
  <c r="K214" i="94"/>
  <c r="D216" i="94"/>
  <c r="D417" i="94" s="1"/>
  <c r="C418" i="94"/>
  <c r="C216" i="94"/>
  <c r="C417" i="94" s="1"/>
  <c r="I422" i="94"/>
  <c r="J221" i="94"/>
  <c r="M230" i="94"/>
  <c r="M238" i="94"/>
  <c r="W123" i="94"/>
  <c r="S124" i="94"/>
  <c r="S348" i="94" s="1"/>
  <c r="S125" i="94"/>
  <c r="S349" i="94" s="1"/>
  <c r="S126" i="94"/>
  <c r="S350" i="94" s="1"/>
  <c r="Y127" i="94"/>
  <c r="T128" i="94"/>
  <c r="T352" i="94" s="1"/>
  <c r="R353" i="94"/>
  <c r="D130" i="94"/>
  <c r="D354" i="94" s="1"/>
  <c r="U130" i="94"/>
  <c r="U131" i="94"/>
  <c r="U192" i="94" s="1"/>
  <c r="W132" i="94"/>
  <c r="Y133" i="94"/>
  <c r="U137" i="94"/>
  <c r="U138" i="94"/>
  <c r="Z140" i="94"/>
  <c r="U141" i="94"/>
  <c r="U142" i="94"/>
  <c r="U143" i="94"/>
  <c r="Y149" i="94"/>
  <c r="U152" i="94"/>
  <c r="R153" i="94"/>
  <c r="R377" i="94" s="1"/>
  <c r="R378" i="94"/>
  <c r="U155" i="94"/>
  <c r="S158" i="94"/>
  <c r="S382" i="94" s="1"/>
  <c r="Z161" i="94"/>
  <c r="Z385" i="94" s="1"/>
  <c r="Z162" i="94"/>
  <c r="U163" i="94"/>
  <c r="U164" i="94"/>
  <c r="U165" i="94"/>
  <c r="U166" i="94"/>
  <c r="U167" i="94"/>
  <c r="W393" i="94"/>
  <c r="R171" i="94"/>
  <c r="R395" i="94" s="1"/>
  <c r="R396" i="94"/>
  <c r="R397" i="94"/>
  <c r="W398" i="94"/>
  <c r="Y179" i="94"/>
  <c r="Z179" i="94" s="1"/>
  <c r="Z232" i="94" s="1"/>
  <c r="M192" i="94"/>
  <c r="H198" i="94"/>
  <c r="N198" i="94" s="1"/>
  <c r="C199" i="94"/>
  <c r="P212" i="94"/>
  <c r="P413" i="94" s="1"/>
  <c r="X257" i="94"/>
  <c r="Y115" i="94"/>
  <c r="Y117" i="94"/>
  <c r="Y118" i="94"/>
  <c r="R343" i="94"/>
  <c r="O121" i="94"/>
  <c r="T124" i="94"/>
  <c r="T348" i="94" s="1"/>
  <c r="T125" i="94"/>
  <c r="T349" i="94" s="1"/>
  <c r="N131" i="94"/>
  <c r="Y358" i="94"/>
  <c r="W137" i="94"/>
  <c r="W138" i="94"/>
  <c r="R363" i="94"/>
  <c r="W141" i="94"/>
  <c r="R368" i="94"/>
  <c r="R369" i="94"/>
  <c r="R370" i="94"/>
  <c r="D147" i="94"/>
  <c r="D371" i="94" s="1"/>
  <c r="U147" i="94"/>
  <c r="R151" i="94"/>
  <c r="R375" i="94" s="1"/>
  <c r="W152" i="94"/>
  <c r="S153" i="94"/>
  <c r="S377" i="94" s="1"/>
  <c r="N156" i="94"/>
  <c r="N380" i="94" s="1"/>
  <c r="R157" i="94"/>
  <c r="E382" i="94"/>
  <c r="E223" i="94"/>
  <c r="E424" i="94" s="1"/>
  <c r="T158" i="94"/>
  <c r="T382" i="94" s="1"/>
  <c r="W163" i="94"/>
  <c r="T394" i="94"/>
  <c r="S397" i="94"/>
  <c r="Y174" i="94"/>
  <c r="R399" i="94"/>
  <c r="I198" i="94"/>
  <c r="O198" i="94" s="1"/>
  <c r="H205" i="94"/>
  <c r="C206" i="94"/>
  <c r="C407" i="94" s="1"/>
  <c r="Q212" i="94"/>
  <c r="Q413" i="94" s="1"/>
  <c r="P214" i="94"/>
  <c r="P415" i="94" s="1"/>
  <c r="I220" i="94"/>
  <c r="O221" i="94"/>
  <c r="O422" i="94" s="1"/>
  <c r="P114" i="94"/>
  <c r="P102" i="94" s="1"/>
  <c r="P326" i="94" s="1"/>
  <c r="U124" i="94"/>
  <c r="G125" i="94"/>
  <c r="G349" i="94" s="1"/>
  <c r="U125" i="94"/>
  <c r="Z360" i="94"/>
  <c r="R364" i="94"/>
  <c r="E147" i="94"/>
  <c r="E371" i="94" s="1"/>
  <c r="N148" i="94"/>
  <c r="N372" i="94" s="1"/>
  <c r="S151" i="94"/>
  <c r="S375" i="94" s="1"/>
  <c r="T153" i="94"/>
  <c r="T377" i="94" s="1"/>
  <c r="S157" i="94"/>
  <c r="F382" i="94"/>
  <c r="F223" i="94"/>
  <c r="F424" i="94" s="1"/>
  <c r="U158" i="94"/>
  <c r="U159" i="94"/>
  <c r="R160" i="94"/>
  <c r="R384" i="94" s="1"/>
  <c r="R385" i="94"/>
  <c r="R386" i="94"/>
  <c r="Y390" i="94"/>
  <c r="U170" i="94"/>
  <c r="M396" i="94"/>
  <c r="M388" i="94"/>
  <c r="M364" i="94"/>
  <c r="M399" i="94"/>
  <c r="M391" i="94"/>
  <c r="M383" i="94"/>
  <c r="M375" i="94"/>
  <c r="M367" i="94"/>
  <c r="M394" i="94"/>
  <c r="M386" i="94"/>
  <c r="M378" i="94"/>
  <c r="M370" i="94"/>
  <c r="M362" i="94"/>
  <c r="M397" i="94"/>
  <c r="M389" i="94"/>
  <c r="M381" i="94"/>
  <c r="M373" i="94"/>
  <c r="M365" i="94"/>
  <c r="M392" i="94"/>
  <c r="M384" i="94"/>
  <c r="M376" i="94"/>
  <c r="M368" i="94"/>
  <c r="M395" i="94"/>
  <c r="M387" i="94"/>
  <c r="M379" i="94"/>
  <c r="M371" i="94"/>
  <c r="M363" i="94"/>
  <c r="M398" i="94"/>
  <c r="M390" i="94"/>
  <c r="M382" i="94"/>
  <c r="M374" i="94"/>
  <c r="M366" i="94"/>
  <c r="M354" i="94"/>
  <c r="M346" i="94"/>
  <c r="M338" i="94"/>
  <c r="M330" i="94"/>
  <c r="M357" i="94"/>
  <c r="M349" i="94"/>
  <c r="M341" i="94"/>
  <c r="M333" i="94"/>
  <c r="M360" i="94"/>
  <c r="M352" i="94"/>
  <c r="M344" i="94"/>
  <c r="M336" i="94"/>
  <c r="M328" i="94"/>
  <c r="M320" i="94"/>
  <c r="M347" i="94"/>
  <c r="M339" i="94"/>
  <c r="M331" i="94"/>
  <c r="M323" i="94"/>
  <c r="M393" i="94"/>
  <c r="M385" i="94"/>
  <c r="M377" i="94"/>
  <c r="M358" i="94"/>
  <c r="M342" i="94"/>
  <c r="M334" i="94"/>
  <c r="M369" i="94"/>
  <c r="M361" i="94"/>
  <c r="M353" i="94"/>
  <c r="M345" i="94"/>
  <c r="M337" i="94"/>
  <c r="M356" i="94"/>
  <c r="M348" i="94"/>
  <c r="M340" i="94"/>
  <c r="M332" i="94"/>
  <c r="M324" i="94"/>
  <c r="M316" i="94"/>
  <c r="M359" i="94"/>
  <c r="M307" i="94"/>
  <c r="M299" i="94"/>
  <c r="M291" i="94"/>
  <c r="M283" i="94"/>
  <c r="M317" i="94"/>
  <c r="M310" i="94"/>
  <c r="M302" i="94"/>
  <c r="M286" i="94"/>
  <c r="M278" i="94"/>
  <c r="M270" i="94"/>
  <c r="M313" i="94"/>
  <c r="M297" i="94"/>
  <c r="M289" i="94"/>
  <c r="M281" i="94"/>
  <c r="M273" i="94"/>
  <c r="M335" i="94"/>
  <c r="M322" i="94"/>
  <c r="M308" i="94"/>
  <c r="M300" i="94"/>
  <c r="M292" i="94"/>
  <c r="M284" i="94"/>
  <c r="M276" i="94"/>
  <c r="M315" i="94"/>
  <c r="M311" i="94"/>
  <c r="M303" i="94"/>
  <c r="M295" i="94"/>
  <c r="M287" i="94"/>
  <c r="M279" i="94"/>
  <c r="M351" i="94"/>
  <c r="M321" i="94"/>
  <c r="M306" i="94"/>
  <c r="M298" i="94"/>
  <c r="M290" i="94"/>
  <c r="M274" i="94"/>
  <c r="M329" i="94"/>
  <c r="M327" i="94"/>
  <c r="M325" i="94"/>
  <c r="M319" i="94"/>
  <c r="M309" i="94"/>
  <c r="M301" i="94"/>
  <c r="M285" i="94"/>
  <c r="M277" i="94"/>
  <c r="M296" i="94"/>
  <c r="M280" i="94"/>
  <c r="M265" i="94"/>
  <c r="M257" i="94"/>
  <c r="M249" i="94"/>
  <c r="M241" i="94"/>
  <c r="M233" i="94"/>
  <c r="M304" i="94"/>
  <c r="M268" i="94"/>
  <c r="M260" i="94"/>
  <c r="M252" i="94"/>
  <c r="M244" i="94"/>
  <c r="M236" i="94"/>
  <c r="M263" i="94"/>
  <c r="M255" i="94"/>
  <c r="M247" i="94"/>
  <c r="M239" i="94"/>
  <c r="M231" i="94"/>
  <c r="M314" i="94"/>
  <c r="M288" i="94"/>
  <c r="M266" i="94"/>
  <c r="M258" i="94"/>
  <c r="M250" i="94"/>
  <c r="M242" i="94"/>
  <c r="M234" i="94"/>
  <c r="M312" i="94"/>
  <c r="M269" i="94"/>
  <c r="M261" i="94"/>
  <c r="M253" i="94"/>
  <c r="M237" i="94"/>
  <c r="M343" i="94"/>
  <c r="M264" i="94"/>
  <c r="M256" i="94"/>
  <c r="M248" i="94"/>
  <c r="M240" i="94"/>
  <c r="M275" i="94"/>
  <c r="M267" i="94"/>
  <c r="M259" i="94"/>
  <c r="M251" i="94"/>
  <c r="M243" i="94"/>
  <c r="M235" i="94"/>
  <c r="O192" i="94"/>
  <c r="E199" i="94"/>
  <c r="N206" i="94"/>
  <c r="N407" i="94" s="1"/>
  <c r="X233" i="94"/>
  <c r="F2" i="77"/>
  <c r="F11" i="77" s="1"/>
  <c r="E11" i="77"/>
  <c r="G24" i="79"/>
  <c r="G52" i="79" s="1"/>
  <c r="G51" i="79"/>
  <c r="B32" i="79"/>
  <c r="B23" i="79"/>
  <c r="E17" i="76"/>
  <c r="D24" i="79"/>
  <c r="D52" i="79" s="1"/>
  <c r="D51" i="79"/>
  <c r="D11" i="77"/>
  <c r="G32" i="79"/>
  <c r="C34" i="79"/>
  <c r="G36" i="79"/>
  <c r="C38" i="79"/>
  <c r="G40" i="79"/>
  <c r="C42" i="79"/>
  <c r="G44" i="79"/>
  <c r="C46" i="79"/>
  <c r="G48" i="79"/>
  <c r="C50" i="79"/>
  <c r="C23" i="79"/>
  <c r="C33" i="79"/>
  <c r="G35" i="79"/>
  <c r="C37" i="79"/>
  <c r="G39" i="79"/>
  <c r="G43" i="79"/>
  <c r="C45" i="79"/>
  <c r="G47" i="79"/>
  <c r="C49" i="79"/>
  <c r="C53" i="79"/>
  <c r="D41" i="79"/>
  <c r="E23" i="79"/>
  <c r="G34" i="79"/>
  <c r="C36" i="79"/>
  <c r="G38" i="79"/>
  <c r="C40" i="79"/>
  <c r="G42" i="79"/>
  <c r="C44" i="79"/>
  <c r="G46" i="79"/>
  <c r="C48" i="79"/>
  <c r="G50" i="79"/>
  <c r="F23" i="79"/>
  <c r="G33" i="79"/>
  <c r="C35" i="79"/>
  <c r="G37" i="79"/>
  <c r="C39" i="79"/>
  <c r="C43" i="79"/>
  <c r="G45" i="79"/>
  <c r="C3" i="61"/>
  <c r="D13" i="64"/>
  <c r="E11" i="64"/>
  <c r="D12" i="64"/>
  <c r="D14" i="64" s="1"/>
  <c r="D3" i="61"/>
  <c r="F11" i="63"/>
  <c r="D12" i="63"/>
  <c r="E12" i="63"/>
  <c r="D8" i="58"/>
  <c r="C8" i="58"/>
  <c r="B8" i="58"/>
  <c r="D5" i="58"/>
  <c r="D9" i="58" s="1"/>
  <c r="C5" i="58"/>
  <c r="C6" i="58" s="1"/>
  <c r="C10" i="58" s="1"/>
  <c r="B5" i="58"/>
  <c r="B6" i="58" s="1"/>
  <c r="B10" i="58" s="1"/>
  <c r="D15" i="57"/>
  <c r="D14" i="57"/>
  <c r="D13" i="57"/>
  <c r="D12" i="57"/>
  <c r="D11" i="57"/>
  <c r="D10" i="57"/>
  <c r="D9" i="57"/>
  <c r="D8" i="57"/>
  <c r="D7" i="57"/>
  <c r="D6" i="57"/>
  <c r="D5" i="57"/>
  <c r="D4" i="57"/>
  <c r="D3" i="57"/>
  <c r="W372" i="94" l="1"/>
  <c r="Y148" i="94"/>
  <c r="W254" i="94"/>
  <c r="Y30" i="94"/>
  <c r="E418" i="94"/>
  <c r="E216" i="94"/>
  <c r="E417" i="94" s="1"/>
  <c r="O294" i="94"/>
  <c r="O186" i="94"/>
  <c r="U70" i="94"/>
  <c r="Y389" i="94"/>
  <c r="Y367" i="94"/>
  <c r="I205" i="94"/>
  <c r="N205" i="94"/>
  <c r="W361" i="94"/>
  <c r="Y137" i="94"/>
  <c r="O345" i="94"/>
  <c r="P121" i="94"/>
  <c r="W121" i="94"/>
  <c r="U121" i="94"/>
  <c r="O120" i="94"/>
  <c r="R121" i="94"/>
  <c r="W347" i="94"/>
  <c r="Y123" i="94"/>
  <c r="K415" i="94"/>
  <c r="Q214" i="94"/>
  <c r="Q415" i="94" s="1"/>
  <c r="Y364" i="94"/>
  <c r="Y399" i="94"/>
  <c r="Z175" i="94"/>
  <c r="Z399" i="94" s="1"/>
  <c r="S131" i="94"/>
  <c r="E413" i="94"/>
  <c r="E213" i="94"/>
  <c r="E414" i="94" s="1"/>
  <c r="Q355" i="94"/>
  <c r="Q192" i="94"/>
  <c r="Y330" i="94"/>
  <c r="Z106" i="94"/>
  <c r="Z330" i="94" s="1"/>
  <c r="Z300" i="94"/>
  <c r="Z267" i="94"/>
  <c r="Z366" i="94"/>
  <c r="O392" i="94"/>
  <c r="O156" i="94"/>
  <c r="R168" i="94"/>
  <c r="R392" i="94" s="1"/>
  <c r="W168" i="94"/>
  <c r="U168" i="94"/>
  <c r="Y383" i="94"/>
  <c r="Z159" i="94"/>
  <c r="Z383" i="94" s="1"/>
  <c r="Z333" i="94"/>
  <c r="T295" i="94"/>
  <c r="T70" i="94"/>
  <c r="W273" i="94"/>
  <c r="Y49" i="94"/>
  <c r="Y249" i="94"/>
  <c r="Z25" i="94"/>
  <c r="Z249" i="94" s="1"/>
  <c r="Y333" i="94"/>
  <c r="Y280" i="94"/>
  <c r="W285" i="94"/>
  <c r="Y61" i="94"/>
  <c r="Y244" i="94"/>
  <c r="Z20" i="94"/>
  <c r="Z244" i="94" s="1"/>
  <c r="D400" i="94"/>
  <c r="D177" i="94"/>
  <c r="D401" i="94" s="1"/>
  <c r="D178" i="94"/>
  <c r="D402" i="94" s="1"/>
  <c r="W336" i="94"/>
  <c r="Y112" i="94"/>
  <c r="Q311" i="94"/>
  <c r="T87" i="94"/>
  <c r="T311" i="94" s="1"/>
  <c r="Y275" i="94"/>
  <c r="C400" i="94"/>
  <c r="C177" i="94"/>
  <c r="C401" i="94" s="1"/>
  <c r="C178" i="94"/>
  <c r="C402" i="94" s="1"/>
  <c r="Y240" i="94"/>
  <c r="Z16" i="94"/>
  <c r="Z240" i="94" s="1"/>
  <c r="Y329" i="94"/>
  <c r="Y317" i="94"/>
  <c r="Z93" i="94"/>
  <c r="Z317" i="94" s="1"/>
  <c r="R295" i="94"/>
  <c r="R70" i="94"/>
  <c r="Z251" i="94"/>
  <c r="Y312" i="94"/>
  <c r="Y318" i="94"/>
  <c r="Z94" i="94"/>
  <c r="Z318" i="94" s="1"/>
  <c r="Y246" i="94"/>
  <c r="Z22" i="94"/>
  <c r="Z246" i="94" s="1"/>
  <c r="I228" i="94"/>
  <c r="I176" i="94"/>
  <c r="Y388" i="94"/>
  <c r="S381" i="94"/>
  <c r="K198" i="94"/>
  <c r="Q198" i="94" s="1"/>
  <c r="Y366" i="94"/>
  <c r="Y360" i="94"/>
  <c r="I413" i="94"/>
  <c r="O212" i="94"/>
  <c r="O413" i="94" s="1"/>
  <c r="I214" i="94"/>
  <c r="Z397" i="94"/>
  <c r="Y370" i="94"/>
  <c r="Z146" i="94"/>
  <c r="Z370" i="94" s="1"/>
  <c r="Z353" i="94"/>
  <c r="T356" i="94"/>
  <c r="T131" i="94"/>
  <c r="Y340" i="94"/>
  <c r="Z116" i="94"/>
  <c r="Z340" i="94" s="1"/>
  <c r="Y324" i="94"/>
  <c r="Z100" i="94"/>
  <c r="Z324" i="94" s="1"/>
  <c r="O308" i="94"/>
  <c r="W84" i="94"/>
  <c r="U84" i="94"/>
  <c r="R84" i="94"/>
  <c r="R308" i="94" s="1"/>
  <c r="P84" i="94"/>
  <c r="Q283" i="94"/>
  <c r="T59" i="94"/>
  <c r="Z266" i="94"/>
  <c r="Y332" i="94"/>
  <c r="Z108" i="94"/>
  <c r="Z332" i="94" s="1"/>
  <c r="Q294" i="94"/>
  <c r="Q186" i="94"/>
  <c r="T186" i="94" s="1"/>
  <c r="M185" i="94"/>
  <c r="Z391" i="94"/>
  <c r="Y349" i="94"/>
  <c r="Z125" i="94"/>
  <c r="Z349" i="94" s="1"/>
  <c r="Y231" i="94"/>
  <c r="Y325" i="94"/>
  <c r="Z101" i="94"/>
  <c r="Z325" i="94" s="1"/>
  <c r="Y279" i="94"/>
  <c r="Z55" i="94"/>
  <c r="Z279" i="94" s="1"/>
  <c r="O243" i="94"/>
  <c r="R19" i="94"/>
  <c r="R243" i="94" s="1"/>
  <c r="P19" i="94"/>
  <c r="W19" i="94"/>
  <c r="U19" i="94"/>
  <c r="R126" i="94"/>
  <c r="R350" i="94" s="1"/>
  <c r="Y310" i="94"/>
  <c r="Y319" i="94"/>
  <c r="W259" i="94"/>
  <c r="Y35" i="94"/>
  <c r="Y297" i="94"/>
  <c r="Z73" i="94"/>
  <c r="Z297" i="94" s="1"/>
  <c r="Y320" i="94"/>
  <c r="Z96" i="94"/>
  <c r="Z320" i="94" s="1"/>
  <c r="W284" i="94"/>
  <c r="Y60" i="94"/>
  <c r="Y239" i="94"/>
  <c r="Z15" i="94"/>
  <c r="Z239" i="94" s="1"/>
  <c r="O283" i="94"/>
  <c r="W59" i="94"/>
  <c r="U59" i="94"/>
  <c r="O58" i="94"/>
  <c r="R59" i="94"/>
  <c r="Y251" i="94"/>
  <c r="Z234" i="94"/>
  <c r="W362" i="94"/>
  <c r="Y138" i="94"/>
  <c r="Y269" i="94"/>
  <c r="Z45" i="94"/>
  <c r="Z269" i="94" s="1"/>
  <c r="G400" i="94"/>
  <c r="G177" i="94"/>
  <c r="G401" i="94" s="1"/>
  <c r="G178" i="94"/>
  <c r="G402" i="94" s="1"/>
  <c r="P294" i="94"/>
  <c r="P186" i="94"/>
  <c r="S186" i="94" s="1"/>
  <c r="W307" i="94"/>
  <c r="Y83" i="94"/>
  <c r="Y379" i="94"/>
  <c r="P338" i="94"/>
  <c r="S114" i="94"/>
  <c r="Y359" i="94"/>
  <c r="Y342" i="94"/>
  <c r="Z118" i="94"/>
  <c r="Z342" i="94" s="1"/>
  <c r="Z364" i="94"/>
  <c r="Z396" i="94"/>
  <c r="Y369" i="94"/>
  <c r="Z145" i="94"/>
  <c r="Z369" i="94" s="1"/>
  <c r="Y397" i="94"/>
  <c r="W381" i="94"/>
  <c r="W156" i="94"/>
  <c r="W380" i="94" s="1"/>
  <c r="Y157" i="94"/>
  <c r="Z337" i="94"/>
  <c r="Z265" i="94"/>
  <c r="Y242" i="94"/>
  <c r="Z18" i="94"/>
  <c r="Z242" i="94" s="1"/>
  <c r="Y289" i="94"/>
  <c r="Y233" i="94"/>
  <c r="Z367" i="94"/>
  <c r="W306" i="94"/>
  <c r="Y82" i="94"/>
  <c r="W81" i="94"/>
  <c r="W305" i="94" s="1"/>
  <c r="O292" i="94"/>
  <c r="W68" i="94"/>
  <c r="U68" i="94"/>
  <c r="R68" i="94"/>
  <c r="R292" i="94" s="1"/>
  <c r="Y257" i="94"/>
  <c r="Z33" i="94"/>
  <c r="Z257" i="94" s="1"/>
  <c r="Y334" i="94"/>
  <c r="Z110" i="94"/>
  <c r="Z334" i="94" s="1"/>
  <c r="Z278" i="94"/>
  <c r="Z268" i="94"/>
  <c r="Y238" i="94"/>
  <c r="Z14" i="94"/>
  <c r="Z238" i="94" s="1"/>
  <c r="E409" i="94"/>
  <c r="E206" i="94"/>
  <c r="E407" i="94" s="1"/>
  <c r="Y268" i="94"/>
  <c r="W309" i="94"/>
  <c r="Y85" i="94"/>
  <c r="O274" i="94"/>
  <c r="U50" i="94"/>
  <c r="R50" i="94"/>
  <c r="R274" i="94" s="1"/>
  <c r="P50" i="94"/>
  <c r="W50" i="94"/>
  <c r="Y241" i="94"/>
  <c r="Z17" i="94"/>
  <c r="Z241" i="94" s="1"/>
  <c r="Z323" i="94"/>
  <c r="Y299" i="94"/>
  <c r="Z75" i="94"/>
  <c r="Z299" i="94" s="1"/>
  <c r="P252" i="94"/>
  <c r="S28" i="94"/>
  <c r="P21" i="94"/>
  <c r="P245" i="94" s="1"/>
  <c r="Q28" i="94"/>
  <c r="J400" i="94"/>
  <c r="J177" i="94"/>
  <c r="J401" i="94" s="1"/>
  <c r="J178" i="94"/>
  <c r="J402" i="94" s="1"/>
  <c r="W260" i="94"/>
  <c r="Y36" i="94"/>
  <c r="Y398" i="94"/>
  <c r="Z174" i="94"/>
  <c r="Z398" i="94" s="1"/>
  <c r="R381" i="94"/>
  <c r="J198" i="94"/>
  <c r="P198" i="94" s="1"/>
  <c r="R156" i="94"/>
  <c r="R380" i="94" s="1"/>
  <c r="Y341" i="94"/>
  <c r="Z117" i="94"/>
  <c r="Z341" i="94" s="1"/>
  <c r="J422" i="94"/>
  <c r="P221" i="94"/>
  <c r="P422" i="94" s="1"/>
  <c r="K221" i="94"/>
  <c r="G413" i="94"/>
  <c r="G213" i="94"/>
  <c r="G414" i="94" s="1"/>
  <c r="Y386" i="94"/>
  <c r="W384" i="94"/>
  <c r="Y160" i="94"/>
  <c r="Y368" i="94"/>
  <c r="Z144" i="94"/>
  <c r="Z368" i="94" s="1"/>
  <c r="Y396" i="94"/>
  <c r="G409" i="94"/>
  <c r="G206" i="94"/>
  <c r="G407" i="94" s="1"/>
  <c r="Z354" i="94"/>
  <c r="Y335" i="94"/>
  <c r="Z111" i="94"/>
  <c r="Z335" i="94" s="1"/>
  <c r="O305" i="94"/>
  <c r="U81" i="94"/>
  <c r="O187" i="94"/>
  <c r="S294" i="94"/>
  <c r="Y302" i="94"/>
  <c r="N185" i="94"/>
  <c r="O291" i="94"/>
  <c r="P67" i="94"/>
  <c r="W67" i="94"/>
  <c r="U67" i="94"/>
  <c r="R67" i="94"/>
  <c r="R291" i="94" s="1"/>
  <c r="Z256" i="94"/>
  <c r="Y234" i="94"/>
  <c r="R355" i="94"/>
  <c r="R192" i="94"/>
  <c r="Z277" i="94"/>
  <c r="P263" i="94"/>
  <c r="P38" i="94"/>
  <c r="P262" i="94" s="1"/>
  <c r="S39" i="94"/>
  <c r="Q39" i="94"/>
  <c r="W236" i="94"/>
  <c r="Y12" i="94"/>
  <c r="Y348" i="94"/>
  <c r="Z124" i="94"/>
  <c r="Z348" i="94" s="1"/>
  <c r="H185" i="94"/>
  <c r="U148" i="94"/>
  <c r="Q392" i="94"/>
  <c r="T168" i="94"/>
  <c r="T392" i="94" s="1"/>
  <c r="Q156" i="94"/>
  <c r="Q380" i="94" s="1"/>
  <c r="W311" i="94"/>
  <c r="Y87" i="94"/>
  <c r="Y314" i="94"/>
  <c r="Z90" i="94"/>
  <c r="Z314" i="94" s="1"/>
  <c r="T306" i="94"/>
  <c r="W295" i="94"/>
  <c r="W70" i="94"/>
  <c r="Y71" i="94"/>
  <c r="Y248" i="94"/>
  <c r="Z24" i="94"/>
  <c r="Z248" i="94" s="1"/>
  <c r="Y323" i="94"/>
  <c r="O245" i="94"/>
  <c r="U21" i="94"/>
  <c r="W352" i="94"/>
  <c r="W126" i="94"/>
  <c r="Y128" i="94"/>
  <c r="H228" i="94"/>
  <c r="H176" i="94"/>
  <c r="Z359" i="94"/>
  <c r="I421" i="94"/>
  <c r="J220" i="94"/>
  <c r="O220" i="94"/>
  <c r="O421" i="94" s="1"/>
  <c r="N355" i="94"/>
  <c r="N192" i="94"/>
  <c r="Y339" i="94"/>
  <c r="Z115" i="94"/>
  <c r="Z339" i="94" s="1"/>
  <c r="Y351" i="94"/>
  <c r="Z127" i="94"/>
  <c r="Z351" i="94" s="1"/>
  <c r="Y385" i="94"/>
  <c r="Y375" i="94"/>
  <c r="Z151" i="94"/>
  <c r="Z375" i="94" s="1"/>
  <c r="Y363" i="94"/>
  <c r="Z139" i="94"/>
  <c r="Z363" i="94" s="1"/>
  <c r="Y343" i="94"/>
  <c r="Z119" i="94"/>
  <c r="Z343" i="94" s="1"/>
  <c r="Y378" i="94"/>
  <c r="Z154" i="94"/>
  <c r="Z378" i="94" s="1"/>
  <c r="R148" i="94"/>
  <c r="R372" i="94" s="1"/>
  <c r="O350" i="94"/>
  <c r="U126" i="94"/>
  <c r="Y304" i="94"/>
  <c r="Z80" i="94"/>
  <c r="Z304" i="94" s="1"/>
  <c r="S272" i="94"/>
  <c r="T259" i="94"/>
  <c r="T30" i="94"/>
  <c r="T254" i="94" s="1"/>
  <c r="P392" i="94"/>
  <c r="S168" i="94"/>
  <c r="S392" i="94" s="1"/>
  <c r="P156" i="94"/>
  <c r="P380" i="94" s="1"/>
  <c r="Y337" i="94"/>
  <c r="Y301" i="94"/>
  <c r="Y288" i="94"/>
  <c r="Z64" i="94"/>
  <c r="Z288" i="94" s="1"/>
  <c r="O264" i="94"/>
  <c r="P40" i="94"/>
  <c r="O38" i="94"/>
  <c r="W40" i="94"/>
  <c r="U40" i="94"/>
  <c r="R40" i="94"/>
  <c r="R264" i="94" s="1"/>
  <c r="Y255" i="94"/>
  <c r="Z31" i="94"/>
  <c r="Z255" i="94" s="1"/>
  <c r="Z231" i="94"/>
  <c r="J420" i="94"/>
  <c r="P219" i="94"/>
  <c r="P420" i="94" s="1"/>
  <c r="K219" i="94"/>
  <c r="P374" i="94"/>
  <c r="S150" i="94"/>
  <c r="Q150" i="94"/>
  <c r="P148" i="94"/>
  <c r="P372" i="94" s="1"/>
  <c r="Z276" i="94"/>
  <c r="Z379" i="94"/>
  <c r="Y327" i="94"/>
  <c r="H415" i="94"/>
  <c r="N214" i="94"/>
  <c r="N415" i="94" s="1"/>
  <c r="Y232" i="94"/>
  <c r="W245" i="94"/>
  <c r="Y21" i="94"/>
  <c r="Y328" i="94"/>
  <c r="Z104" i="94"/>
  <c r="Z328" i="94" s="1"/>
  <c r="W387" i="94"/>
  <c r="Y163" i="94"/>
  <c r="W296" i="94"/>
  <c r="Y72" i="94"/>
  <c r="Z393" i="94"/>
  <c r="Z358" i="94"/>
  <c r="W365" i="94"/>
  <c r="Y141" i="94"/>
  <c r="T126" i="94"/>
  <c r="T350" i="94" s="1"/>
  <c r="Y373" i="94"/>
  <c r="Z149" i="94"/>
  <c r="Z373" i="94" s="1"/>
  <c r="Y357" i="94"/>
  <c r="Z133" i="94"/>
  <c r="Z357" i="94" s="1"/>
  <c r="Y377" i="94"/>
  <c r="Z153" i="94"/>
  <c r="Z377" i="94" s="1"/>
  <c r="Y353" i="94"/>
  <c r="W395" i="94"/>
  <c r="Y171" i="94"/>
  <c r="O271" i="94"/>
  <c r="O191" i="94"/>
  <c r="U47" i="94"/>
  <c r="Y258" i="94"/>
  <c r="Z34" i="94"/>
  <c r="Z258" i="94" s="1"/>
  <c r="I190" i="94"/>
  <c r="I185" i="94" s="1"/>
  <c r="R190" i="94"/>
  <c r="E185" i="94"/>
  <c r="Y300" i="94"/>
  <c r="Y267" i="94"/>
  <c r="Y287" i="94"/>
  <c r="Z63" i="94"/>
  <c r="Z287" i="94" s="1"/>
  <c r="R263" i="94"/>
  <c r="O254" i="94"/>
  <c r="U30" i="94"/>
  <c r="Y230" i="94"/>
  <c r="Z6" i="94"/>
  <c r="Z230" i="94" s="1"/>
  <c r="Q338" i="94"/>
  <c r="T114" i="94"/>
  <c r="T338" i="94" s="1"/>
  <c r="Q102" i="94"/>
  <c r="Q326" i="94" s="1"/>
  <c r="G418" i="94"/>
  <c r="G216" i="94"/>
  <c r="G417" i="94" s="1"/>
  <c r="M400" i="94"/>
  <c r="M177" i="94"/>
  <c r="M401" i="94" s="1"/>
  <c r="M178" i="94"/>
  <c r="M402" i="94" s="1"/>
  <c r="Z310" i="94"/>
  <c r="Z303" i="94"/>
  <c r="Z275" i="94"/>
  <c r="E400" i="94"/>
  <c r="E177" i="94"/>
  <c r="E401" i="94" s="1"/>
  <c r="E178" i="94"/>
  <c r="E402" i="94" s="1"/>
  <c r="Z371" i="94"/>
  <c r="O346" i="94"/>
  <c r="U122" i="94"/>
  <c r="R122" i="94"/>
  <c r="R346" i="94" s="1"/>
  <c r="P122" i="94"/>
  <c r="W122" i="94"/>
  <c r="Y278" i="94"/>
  <c r="P341" i="94"/>
  <c r="S117" i="94"/>
  <c r="S341" i="94" s="1"/>
  <c r="W263" i="94"/>
  <c r="W38" i="94"/>
  <c r="Y39" i="94"/>
  <c r="Y316" i="94"/>
  <c r="Z92" i="94"/>
  <c r="Z316" i="94" s="1"/>
  <c r="N69" i="94"/>
  <c r="N293" i="94" s="1"/>
  <c r="Y235" i="94"/>
  <c r="Z11" i="94"/>
  <c r="Z235" i="94" s="1"/>
  <c r="Y250" i="94"/>
  <c r="Z26" i="94"/>
  <c r="Z250" i="94" s="1"/>
  <c r="R237" i="94"/>
  <c r="R5" i="94"/>
  <c r="Y298" i="94"/>
  <c r="Z74" i="94"/>
  <c r="Z298" i="94" s="1"/>
  <c r="O290" i="94"/>
  <c r="U66" i="94"/>
  <c r="R66" i="94"/>
  <c r="R290" i="94" s="1"/>
  <c r="P66" i="94"/>
  <c r="W66" i="94"/>
  <c r="Y313" i="94"/>
  <c r="Z89" i="94"/>
  <c r="Z313" i="94" s="1"/>
  <c r="Y315" i="94"/>
  <c r="Z91" i="94"/>
  <c r="Z315" i="94" s="1"/>
  <c r="Y321" i="94"/>
  <c r="Z97" i="94"/>
  <c r="Z321" i="94" s="1"/>
  <c r="W374" i="94"/>
  <c r="Y150" i="94"/>
  <c r="K228" i="94"/>
  <c r="K176" i="94"/>
  <c r="W237" i="94"/>
  <c r="Y13" i="94"/>
  <c r="Y391" i="94"/>
  <c r="Y354" i="94"/>
  <c r="Y393" i="94"/>
  <c r="W376" i="94"/>
  <c r="Y152" i="94"/>
  <c r="Z386" i="94"/>
  <c r="W356" i="94"/>
  <c r="Y132" i="94"/>
  <c r="W131" i="94"/>
  <c r="F413" i="94"/>
  <c r="F213" i="94"/>
  <c r="F414" i="94" s="1"/>
  <c r="Z302" i="94"/>
  <c r="Q292" i="94"/>
  <c r="T68" i="94"/>
  <c r="T292" i="94" s="1"/>
  <c r="O270" i="94"/>
  <c r="W46" i="94"/>
  <c r="U46" i="94"/>
  <c r="R46" i="94"/>
  <c r="R270" i="94" s="1"/>
  <c r="P46" i="94"/>
  <c r="Q190" i="94"/>
  <c r="G190" i="94" s="1"/>
  <c r="F190" i="94"/>
  <c r="F408" i="94"/>
  <c r="F206" i="94"/>
  <c r="F407" i="94" s="1"/>
  <c r="Y266" i="94"/>
  <c r="F400" i="94"/>
  <c r="F177" i="94"/>
  <c r="F401" i="94" s="1"/>
  <c r="F178" i="94"/>
  <c r="F402" i="94" s="1"/>
  <c r="Y322" i="94"/>
  <c r="Z98" i="94"/>
  <c r="Z322" i="94" s="1"/>
  <c r="Y286" i="94"/>
  <c r="Z62" i="94"/>
  <c r="Z286" i="94" s="1"/>
  <c r="W261" i="94"/>
  <c r="Y37" i="94"/>
  <c r="Y253" i="94"/>
  <c r="Z29" i="94"/>
  <c r="Z253" i="94" s="1"/>
  <c r="O229" i="94"/>
  <c r="O4" i="94"/>
  <c r="U5" i="94"/>
  <c r="T336" i="94"/>
  <c r="T102" i="94"/>
  <c r="T326" i="94" s="1"/>
  <c r="Z327" i="94"/>
  <c r="P309" i="94"/>
  <c r="S85" i="94"/>
  <c r="S309" i="94" s="1"/>
  <c r="Q85" i="94"/>
  <c r="F418" i="94"/>
  <c r="F216" i="94"/>
  <c r="F417" i="94" s="1"/>
  <c r="Y272" i="94"/>
  <c r="Z48" i="94"/>
  <c r="Z247" i="94"/>
  <c r="Y371" i="94"/>
  <c r="Y303" i="94"/>
  <c r="Y277" i="94"/>
  <c r="Y394" i="94"/>
  <c r="Z170" i="94"/>
  <c r="Z394" i="94" s="1"/>
  <c r="R306" i="94"/>
  <c r="R81" i="94"/>
  <c r="R305" i="94" s="1"/>
  <c r="S283" i="94"/>
  <c r="T236" i="94"/>
  <c r="Y382" i="94"/>
  <c r="Z158" i="94"/>
  <c r="Z382" i="94" s="1"/>
  <c r="O338" i="94"/>
  <c r="W114" i="94"/>
  <c r="U114" i="94"/>
  <c r="R114" i="94"/>
  <c r="R338" i="94" s="1"/>
  <c r="O102" i="94"/>
  <c r="Y281" i="94"/>
  <c r="Z57" i="94"/>
  <c r="Z281" i="94" s="1"/>
  <c r="W252" i="94"/>
  <c r="Y28" i="94"/>
  <c r="E24" i="79"/>
  <c r="E52" i="79" s="1"/>
  <c r="E51" i="79"/>
  <c r="C51" i="79"/>
  <c r="C24" i="79"/>
  <c r="C52" i="79" s="1"/>
  <c r="F24" i="79"/>
  <c r="F52" i="79" s="1"/>
  <c r="F51" i="79"/>
  <c r="B51" i="79"/>
  <c r="B24" i="79"/>
  <c r="B52" i="79" s="1"/>
  <c r="E12" i="64"/>
  <c r="F11" i="64"/>
  <c r="E13" i="64"/>
  <c r="B9" i="58"/>
  <c r="D6" i="58"/>
  <c r="D10" i="58" s="1"/>
  <c r="C9" i="58"/>
  <c r="R294" i="94" l="1"/>
  <c r="K400" i="94"/>
  <c r="K177" i="94"/>
  <c r="K401" i="94" s="1"/>
  <c r="K178" i="94"/>
  <c r="K402" i="94" s="1"/>
  <c r="K420" i="94"/>
  <c r="Q219" i="94"/>
  <c r="Q420" i="94" s="1"/>
  <c r="W264" i="94"/>
  <c r="Y40" i="94"/>
  <c r="H400" i="94"/>
  <c r="N176" i="94"/>
  <c r="H178" i="94"/>
  <c r="H177" i="94"/>
  <c r="H401" i="94" s="1"/>
  <c r="U187" i="94"/>
  <c r="R187" i="94"/>
  <c r="K422" i="94"/>
  <c r="Q221" i="94"/>
  <c r="Q422" i="94" s="1"/>
  <c r="W274" i="94"/>
  <c r="Y50" i="94"/>
  <c r="Y306" i="94"/>
  <c r="Z82" i="94"/>
  <c r="Z306" i="94" s="1"/>
  <c r="Y81" i="94"/>
  <c r="W283" i="94"/>
  <c r="Y59" i="94"/>
  <c r="W58" i="94"/>
  <c r="W282" i="94" s="1"/>
  <c r="T355" i="94"/>
  <c r="T192" i="94"/>
  <c r="S355" i="94"/>
  <c r="S192" i="94"/>
  <c r="R345" i="94"/>
  <c r="R120" i="94"/>
  <c r="R344" i="94" s="1"/>
  <c r="O228" i="94"/>
  <c r="U4" i="94"/>
  <c r="S190" i="94"/>
  <c r="J190" i="94"/>
  <c r="J185" i="94" s="1"/>
  <c r="F185" i="94"/>
  <c r="Y376" i="94"/>
  <c r="Z152" i="94"/>
  <c r="Z376" i="94" s="1"/>
  <c r="W346" i="94"/>
  <c r="Y122" i="94"/>
  <c r="R38" i="94"/>
  <c r="R262" i="94" s="1"/>
  <c r="Y365" i="94"/>
  <c r="Z141" i="94"/>
  <c r="Z365" i="94" s="1"/>
  <c r="O262" i="94"/>
  <c r="U38" i="94"/>
  <c r="W291" i="94"/>
  <c r="Y67" i="94"/>
  <c r="S252" i="94"/>
  <c r="S21" i="94"/>
  <c r="S245" i="94" s="1"/>
  <c r="P274" i="94"/>
  <c r="S50" i="94"/>
  <c r="Q50" i="94"/>
  <c r="P47" i="94"/>
  <c r="Y381" i="94"/>
  <c r="Z157" i="94"/>
  <c r="Z381" i="94" s="1"/>
  <c r="Y362" i="94"/>
  <c r="Z138" i="94"/>
  <c r="Z362" i="94" s="1"/>
  <c r="W243" i="94"/>
  <c r="Y19" i="94"/>
  <c r="W47" i="94"/>
  <c r="W271" i="94" s="1"/>
  <c r="O344" i="94"/>
  <c r="W120" i="94"/>
  <c r="W344" i="94" s="1"/>
  <c r="U120" i="94"/>
  <c r="O205" i="94"/>
  <c r="J205" i="94"/>
  <c r="Y387" i="94"/>
  <c r="Z163" i="94"/>
  <c r="Z387" i="94" s="1"/>
  <c r="O326" i="94"/>
  <c r="U102" i="94"/>
  <c r="Q309" i="94"/>
  <c r="T85" i="94"/>
  <c r="T309" i="94" s="1"/>
  <c r="K190" i="94"/>
  <c r="K185" i="94" s="1"/>
  <c r="T190" i="94"/>
  <c r="G185" i="94"/>
  <c r="R229" i="94"/>
  <c r="P346" i="94"/>
  <c r="S122" i="94"/>
  <c r="S346" i="94" s="1"/>
  <c r="Q122" i="94"/>
  <c r="P264" i="94"/>
  <c r="Q40" i="94"/>
  <c r="S40" i="94"/>
  <c r="S264" i="94" s="1"/>
  <c r="Y352" i="94"/>
  <c r="Z128" i="94"/>
  <c r="Z352" i="94" s="1"/>
  <c r="Y311" i="94"/>
  <c r="Z87" i="94"/>
  <c r="Z311" i="94" s="1"/>
  <c r="P291" i="94"/>
  <c r="Q67" i="94"/>
  <c r="S67" i="94"/>
  <c r="S291" i="94" s="1"/>
  <c r="Y260" i="94"/>
  <c r="Z36" i="94"/>
  <c r="Z260" i="94" s="1"/>
  <c r="Y259" i="94"/>
  <c r="Z35" i="94"/>
  <c r="Z259" i="94" s="1"/>
  <c r="P243" i="94"/>
  <c r="S19" i="94"/>
  <c r="Q19" i="94"/>
  <c r="P5" i="94"/>
  <c r="W308" i="94"/>
  <c r="Y84" i="94"/>
  <c r="Y273" i="94"/>
  <c r="Z49" i="94"/>
  <c r="Z273" i="94" s="1"/>
  <c r="W392" i="94"/>
  <c r="Y168" i="94"/>
  <c r="Y254" i="94"/>
  <c r="Z30" i="94"/>
  <c r="Z254" i="94" s="1"/>
  <c r="Q252" i="94"/>
  <c r="T28" i="94"/>
  <c r="Q21" i="94"/>
  <c r="Q245" i="94" s="1"/>
  <c r="P270" i="94"/>
  <c r="S46" i="94"/>
  <c r="S270" i="94" s="1"/>
  <c r="Q46" i="94"/>
  <c r="Y374" i="94"/>
  <c r="Z150" i="94"/>
  <c r="Z374" i="94" s="1"/>
  <c r="W290" i="94"/>
  <c r="Y66" i="94"/>
  <c r="Y263" i="94"/>
  <c r="Z39" i="94"/>
  <c r="Z263" i="94" s="1"/>
  <c r="Y245" i="94"/>
  <c r="Z21" i="94"/>
  <c r="Z245" i="94" s="1"/>
  <c r="W350" i="94"/>
  <c r="Y126" i="94"/>
  <c r="Y295" i="94"/>
  <c r="Y70" i="94"/>
  <c r="Z71" i="94"/>
  <c r="Z295" i="94" s="1"/>
  <c r="Y236" i="94"/>
  <c r="Z12" i="94"/>
  <c r="Z236" i="94" s="1"/>
  <c r="Y384" i="94"/>
  <c r="Z160" i="94"/>
  <c r="Z384" i="94" s="1"/>
  <c r="Y285" i="94"/>
  <c r="Z61" i="94"/>
  <c r="Z285" i="94" s="1"/>
  <c r="W345" i="94"/>
  <c r="Y121" i="94"/>
  <c r="P308" i="94"/>
  <c r="S84" i="94"/>
  <c r="Q84" i="94"/>
  <c r="P81" i="94"/>
  <c r="I400" i="94"/>
  <c r="I178" i="94"/>
  <c r="I402" i="94" s="1"/>
  <c r="I177" i="94"/>
  <c r="I401" i="94" s="1"/>
  <c r="P290" i="94"/>
  <c r="S66" i="94"/>
  <c r="Q66" i="94"/>
  <c r="P58" i="94"/>
  <c r="P282" i="94" s="1"/>
  <c r="W262" i="94"/>
  <c r="Y38" i="94"/>
  <c r="W294" i="94"/>
  <c r="S338" i="94"/>
  <c r="S102" i="94"/>
  <c r="S326" i="94" s="1"/>
  <c r="Y284" i="94"/>
  <c r="Z60" i="94"/>
  <c r="Z284" i="94" s="1"/>
  <c r="T283" i="94"/>
  <c r="S156" i="94"/>
  <c r="S380" i="94" s="1"/>
  <c r="Y336" i="94"/>
  <c r="Z112" i="94"/>
  <c r="Z336" i="94" s="1"/>
  <c r="T294" i="94"/>
  <c r="O380" i="94"/>
  <c r="U156" i="94"/>
  <c r="P345" i="94"/>
  <c r="P120" i="94"/>
  <c r="S121" i="94"/>
  <c r="Q121" i="94"/>
  <c r="W5" i="94"/>
  <c r="W338" i="94"/>
  <c r="Y114" i="94"/>
  <c r="Y261" i="94"/>
  <c r="Z37" i="94"/>
  <c r="Z261" i="94" s="1"/>
  <c r="W355" i="94"/>
  <c r="Y131" i="94"/>
  <c r="O185" i="94"/>
  <c r="U191" i="94"/>
  <c r="U185" i="94" s="1"/>
  <c r="R191" i="94"/>
  <c r="R185" i="94" s="1"/>
  <c r="Y296" i="94"/>
  <c r="Z72" i="94"/>
  <c r="Z296" i="94" s="1"/>
  <c r="W102" i="94"/>
  <c r="Q374" i="94"/>
  <c r="T150" i="94"/>
  <c r="Q148" i="94"/>
  <c r="Q372" i="94" s="1"/>
  <c r="J421" i="94"/>
  <c r="P220" i="94"/>
  <c r="P421" i="94" s="1"/>
  <c r="K220" i="94"/>
  <c r="Q263" i="94"/>
  <c r="T39" i="94"/>
  <c r="Q38" i="94"/>
  <c r="Q262" i="94" s="1"/>
  <c r="R102" i="94"/>
  <c r="R326" i="94" s="1"/>
  <c r="Y309" i="94"/>
  <c r="Z85" i="94"/>
  <c r="Z309" i="94" s="1"/>
  <c r="W292" i="94"/>
  <c r="Y68" i="94"/>
  <c r="R283" i="94"/>
  <c r="R58" i="94"/>
  <c r="R282" i="94" s="1"/>
  <c r="R47" i="94"/>
  <c r="R271" i="94" s="1"/>
  <c r="T156" i="94"/>
  <c r="T380" i="94" s="1"/>
  <c r="O69" i="94"/>
  <c r="Y372" i="94"/>
  <c r="Z148" i="94"/>
  <c r="Z372" i="94" s="1"/>
  <c r="Y395" i="94"/>
  <c r="Z171" i="94"/>
  <c r="Z395" i="94" s="1"/>
  <c r="Y307" i="94"/>
  <c r="Z83" i="94"/>
  <c r="Z307" i="94" s="1"/>
  <c r="Y252" i="94"/>
  <c r="Z28" i="94"/>
  <c r="Z252" i="94" s="1"/>
  <c r="Z272" i="94"/>
  <c r="W270" i="94"/>
  <c r="Y46" i="94"/>
  <c r="Y356" i="94"/>
  <c r="Z132" i="94"/>
  <c r="Z356" i="94" s="1"/>
  <c r="Y237" i="94"/>
  <c r="Z13" i="94"/>
  <c r="Z237" i="94" s="1"/>
  <c r="S374" i="94"/>
  <c r="S148" i="94"/>
  <c r="S372" i="94" s="1"/>
  <c r="S263" i="94"/>
  <c r="O282" i="94"/>
  <c r="U58" i="94"/>
  <c r="I415" i="94"/>
  <c r="O214" i="94"/>
  <c r="O415" i="94" s="1"/>
  <c r="Y347" i="94"/>
  <c r="Z123" i="94"/>
  <c r="Z347" i="94" s="1"/>
  <c r="Y361" i="94"/>
  <c r="Z137" i="94"/>
  <c r="Z361" i="94" s="1"/>
  <c r="U186" i="94"/>
  <c r="R186" i="94"/>
  <c r="G11" i="64"/>
  <c r="F12" i="64"/>
  <c r="F14" i="64" s="1"/>
  <c r="F13" i="64"/>
  <c r="E14" i="64"/>
  <c r="O82" i="51"/>
  <c r="L82" i="51"/>
  <c r="O81" i="51"/>
  <c r="L81" i="51"/>
  <c r="O80" i="51"/>
  <c r="L80" i="51"/>
  <c r="O79" i="51"/>
  <c r="L79" i="51"/>
  <c r="O78" i="51"/>
  <c r="L78" i="51"/>
  <c r="O77" i="51"/>
  <c r="L77" i="51"/>
  <c r="O76" i="51"/>
  <c r="L76" i="51"/>
  <c r="O75" i="51"/>
  <c r="L75" i="51"/>
  <c r="O74" i="51"/>
  <c r="L74" i="51"/>
  <c r="O73" i="51"/>
  <c r="L73" i="51"/>
  <c r="O72" i="51"/>
  <c r="L72" i="51"/>
  <c r="O71" i="51"/>
  <c r="L71" i="51"/>
  <c r="O70" i="51"/>
  <c r="L70" i="51"/>
  <c r="O69" i="51"/>
  <c r="L69" i="51"/>
  <c r="O68" i="51"/>
  <c r="L68" i="51"/>
  <c r="O67" i="51"/>
  <c r="L67" i="51"/>
  <c r="O66" i="51"/>
  <c r="L66" i="51"/>
  <c r="O65" i="51"/>
  <c r="L65" i="51"/>
  <c r="O64" i="51"/>
  <c r="L64" i="51"/>
  <c r="O63" i="51"/>
  <c r="L63" i="51"/>
  <c r="O62" i="51"/>
  <c r="L62" i="51"/>
  <c r="O61" i="51"/>
  <c r="L61" i="51"/>
  <c r="O60" i="51"/>
  <c r="L60" i="51"/>
  <c r="O59" i="51"/>
  <c r="L59" i="51"/>
  <c r="O58" i="51"/>
  <c r="L58" i="51"/>
  <c r="O57" i="51"/>
  <c r="L57" i="51"/>
  <c r="O56" i="51"/>
  <c r="L56" i="51"/>
  <c r="O55" i="51"/>
  <c r="L55" i="51"/>
  <c r="O54" i="51"/>
  <c r="L54" i="51"/>
  <c r="O53" i="51"/>
  <c r="L53" i="51"/>
  <c r="O52" i="51"/>
  <c r="L52" i="51"/>
  <c r="O51" i="51"/>
  <c r="L51" i="51"/>
  <c r="O50" i="51"/>
  <c r="L50" i="51"/>
  <c r="O49" i="51"/>
  <c r="L49" i="51"/>
  <c r="O48" i="51"/>
  <c r="L48" i="51"/>
  <c r="O47" i="51"/>
  <c r="L47" i="51"/>
  <c r="O46" i="51"/>
  <c r="L46" i="51"/>
  <c r="O45" i="51"/>
  <c r="L45" i="51"/>
  <c r="O44" i="51"/>
  <c r="L44" i="51"/>
  <c r="O43" i="51"/>
  <c r="L43" i="51"/>
  <c r="O42" i="51"/>
  <c r="L42" i="51"/>
  <c r="O41" i="51"/>
  <c r="L41" i="51"/>
  <c r="O40" i="51"/>
  <c r="L40" i="51"/>
  <c r="O39" i="51"/>
  <c r="L39" i="51"/>
  <c r="O38" i="51"/>
  <c r="L38" i="51"/>
  <c r="O37" i="51"/>
  <c r="L37" i="51"/>
  <c r="O36" i="51"/>
  <c r="L36" i="51"/>
  <c r="O35" i="51"/>
  <c r="L35" i="51"/>
  <c r="O34" i="51"/>
  <c r="L34" i="51"/>
  <c r="O33" i="51"/>
  <c r="L33" i="51"/>
  <c r="O32" i="51"/>
  <c r="L32" i="51"/>
  <c r="O31" i="51"/>
  <c r="L31" i="51"/>
  <c r="O30" i="51"/>
  <c r="L30" i="51"/>
  <c r="O29" i="51"/>
  <c r="L29" i="51"/>
  <c r="O28" i="51"/>
  <c r="L28" i="51"/>
  <c r="O27" i="51"/>
  <c r="L27" i="51"/>
  <c r="O26" i="51"/>
  <c r="L26" i="51"/>
  <c r="O25" i="51"/>
  <c r="L25" i="51"/>
  <c r="O24" i="51"/>
  <c r="L24" i="51"/>
  <c r="O23" i="51"/>
  <c r="L23" i="51"/>
  <c r="O22" i="51"/>
  <c r="L22" i="51"/>
  <c r="O21" i="51"/>
  <c r="L21" i="51"/>
  <c r="O20" i="51"/>
  <c r="L20" i="51"/>
  <c r="O19" i="51"/>
  <c r="L19" i="51"/>
  <c r="O18" i="51"/>
  <c r="L18" i="51"/>
  <c r="O17" i="51"/>
  <c r="L17" i="51"/>
  <c r="K26" i="51"/>
  <c r="O16" i="51"/>
  <c r="L16" i="51"/>
  <c r="O15" i="51"/>
  <c r="L15" i="51"/>
  <c r="O14" i="51"/>
  <c r="L14" i="51"/>
  <c r="O13" i="51"/>
  <c r="L13" i="51"/>
  <c r="O12" i="51"/>
  <c r="L12" i="51"/>
  <c r="O11" i="51"/>
  <c r="L11" i="51"/>
  <c r="N17" i="51"/>
  <c r="O10" i="51"/>
  <c r="L10" i="51"/>
  <c r="K10" i="51"/>
  <c r="O9" i="51"/>
  <c r="L9" i="51"/>
  <c r="O8" i="51"/>
  <c r="L8" i="51"/>
  <c r="O7" i="51"/>
  <c r="L7" i="51"/>
  <c r="O6" i="51"/>
  <c r="L6" i="51"/>
  <c r="M12" i="51"/>
  <c r="O5" i="51"/>
  <c r="L5" i="51"/>
  <c r="O4" i="51"/>
  <c r="L4" i="51"/>
  <c r="M5" i="51"/>
  <c r="J21" i="51"/>
  <c r="O3" i="51"/>
  <c r="L3" i="51"/>
  <c r="K63" i="51"/>
  <c r="Y291" i="94" l="1"/>
  <c r="Z67" i="94"/>
  <c r="Z291" i="94" s="1"/>
  <c r="Y283" i="94"/>
  <c r="Z59" i="94"/>
  <c r="Z283" i="94" s="1"/>
  <c r="Y58" i="94"/>
  <c r="W229" i="94"/>
  <c r="Y5" i="94"/>
  <c r="W4" i="94"/>
  <c r="S290" i="94"/>
  <c r="S58" i="94"/>
  <c r="S282" i="94" s="1"/>
  <c r="P271" i="94"/>
  <c r="P191" i="94"/>
  <c r="Y305" i="94"/>
  <c r="Z81" i="94"/>
  <c r="Z305" i="94" s="1"/>
  <c r="O293" i="94"/>
  <c r="U69" i="94"/>
  <c r="Q345" i="94"/>
  <c r="T121" i="94"/>
  <c r="Q120" i="94"/>
  <c r="Q344" i="94" s="1"/>
  <c r="Y345" i="94"/>
  <c r="Z121" i="94"/>
  <c r="Z345" i="94" s="1"/>
  <c r="T374" i="94"/>
  <c r="T148" i="94"/>
  <c r="T372" i="94" s="1"/>
  <c r="Y355" i="94"/>
  <c r="Z131" i="94"/>
  <c r="Z355" i="94" s="1"/>
  <c r="S345" i="94"/>
  <c r="S120" i="94"/>
  <c r="S344" i="94" s="1"/>
  <c r="W69" i="94"/>
  <c r="W293" i="94" s="1"/>
  <c r="Y294" i="94"/>
  <c r="Z70" i="94"/>
  <c r="Z294" i="94" s="1"/>
  <c r="Y290" i="94"/>
  <c r="Z66" i="94"/>
  <c r="Z290" i="94" s="1"/>
  <c r="T252" i="94"/>
  <c r="T21" i="94"/>
  <c r="T245" i="94" s="1"/>
  <c r="Y308" i="94"/>
  <c r="Z84" i="94"/>
  <c r="Z308" i="94" s="1"/>
  <c r="R4" i="94"/>
  <c r="Y243" i="94"/>
  <c r="Z19" i="94"/>
  <c r="Z243" i="94" s="1"/>
  <c r="Q274" i="94"/>
  <c r="T50" i="94"/>
  <c r="Q47" i="94"/>
  <c r="Q290" i="94"/>
  <c r="T66" i="94"/>
  <c r="Q58" i="94"/>
  <c r="Q282" i="94" s="1"/>
  <c r="P344" i="94"/>
  <c r="X120" i="94"/>
  <c r="S274" i="94"/>
  <c r="S47" i="94"/>
  <c r="S271" i="94" s="1"/>
  <c r="H402" i="94"/>
  <c r="N178" i="94"/>
  <c r="N402" i="94" s="1"/>
  <c r="T263" i="94"/>
  <c r="W326" i="94"/>
  <c r="Y102" i="94"/>
  <c r="Y262" i="94"/>
  <c r="Z38" i="94"/>
  <c r="Z262" i="94" s="1"/>
  <c r="Y350" i="94"/>
  <c r="Z126" i="94"/>
  <c r="Z350" i="94" s="1"/>
  <c r="P229" i="94"/>
  <c r="P4" i="94"/>
  <c r="Q264" i="94"/>
  <c r="T40" i="94"/>
  <c r="T264" i="94" s="1"/>
  <c r="P205" i="94"/>
  <c r="K205" i="94"/>
  <c r="Q205" i="94" s="1"/>
  <c r="Y274" i="94"/>
  <c r="Z50" i="94"/>
  <c r="Y47" i="94"/>
  <c r="Y271" i="94" s="1"/>
  <c r="N400" i="94"/>
  <c r="N177" i="94"/>
  <c r="N401" i="94" s="1"/>
  <c r="S308" i="94"/>
  <c r="S81" i="94"/>
  <c r="Y270" i="94"/>
  <c r="Z46" i="94"/>
  <c r="Z270" i="94" s="1"/>
  <c r="P305" i="94"/>
  <c r="P187" i="94"/>
  <c r="S187" i="94" s="1"/>
  <c r="P69" i="94"/>
  <c r="P293" i="94" s="1"/>
  <c r="Q243" i="94"/>
  <c r="T19" i="94"/>
  <c r="Q5" i="94"/>
  <c r="Q291" i="94"/>
  <c r="T67" i="94"/>
  <c r="T291" i="94" s="1"/>
  <c r="R69" i="94"/>
  <c r="R293" i="94" s="1"/>
  <c r="S38" i="94"/>
  <c r="S262" i="94" s="1"/>
  <c r="Y292" i="94"/>
  <c r="Z68" i="94"/>
  <c r="Z292" i="94" s="1"/>
  <c r="K421" i="94"/>
  <c r="Q220" i="94"/>
  <c r="Q421" i="94" s="1"/>
  <c r="Y338" i="94"/>
  <c r="Z114" i="94"/>
  <c r="Z338" i="94" s="1"/>
  <c r="Q308" i="94"/>
  <c r="T84" i="94"/>
  <c r="Q81" i="94"/>
  <c r="Q270" i="94"/>
  <c r="T46" i="94"/>
  <c r="T270" i="94" s="1"/>
  <c r="Y392" i="94"/>
  <c r="Z168" i="94"/>
  <c r="Z392" i="94" s="1"/>
  <c r="S243" i="94"/>
  <c r="S5" i="94"/>
  <c r="Q346" i="94"/>
  <c r="T122" i="94"/>
  <c r="T346" i="94" s="1"/>
  <c r="Y156" i="94"/>
  <c r="Y346" i="94"/>
  <c r="Z122" i="94"/>
  <c r="Z346" i="94" s="1"/>
  <c r="O176" i="94"/>
  <c r="Y264" i="94"/>
  <c r="Z40" i="94"/>
  <c r="Z264" i="94" s="1"/>
  <c r="G12" i="64"/>
  <c r="G13" i="64"/>
  <c r="M28" i="51"/>
  <c r="M80" i="51"/>
  <c r="N9" i="51"/>
  <c r="N25" i="51"/>
  <c r="N76" i="51"/>
  <c r="N72" i="51"/>
  <c r="N68" i="51"/>
  <c r="N62" i="51"/>
  <c r="N54" i="51"/>
  <c r="N46" i="51"/>
  <c r="N38" i="51"/>
  <c r="N30" i="51"/>
  <c r="N22" i="51"/>
  <c r="N14" i="51"/>
  <c r="N6" i="51"/>
  <c r="N50" i="51"/>
  <c r="N34" i="51"/>
  <c r="N18" i="51"/>
  <c r="N63" i="51"/>
  <c r="N39" i="51"/>
  <c r="N77" i="51"/>
  <c r="N73" i="51"/>
  <c r="N44" i="51"/>
  <c r="N36" i="51"/>
  <c r="N28" i="51"/>
  <c r="N80" i="51"/>
  <c r="N82" i="51"/>
  <c r="N59" i="51"/>
  <c r="N51" i="51"/>
  <c r="N43" i="51"/>
  <c r="N35" i="51"/>
  <c r="N27" i="51"/>
  <c r="N19" i="51"/>
  <c r="N11" i="51"/>
  <c r="N3" i="51"/>
  <c r="N81" i="51"/>
  <c r="N70" i="51"/>
  <c r="N42" i="51"/>
  <c r="N10" i="51"/>
  <c r="N47" i="51"/>
  <c r="N23" i="51"/>
  <c r="N69" i="51"/>
  <c r="N4" i="51"/>
  <c r="N65" i="51"/>
  <c r="N57" i="51"/>
  <c r="N33" i="51"/>
  <c r="N79" i="51"/>
  <c r="N75" i="51"/>
  <c r="N71" i="51"/>
  <c r="N67" i="51"/>
  <c r="N64" i="51"/>
  <c r="N56" i="51"/>
  <c r="N48" i="51"/>
  <c r="N40" i="51"/>
  <c r="N32" i="51"/>
  <c r="N24" i="51"/>
  <c r="N16" i="51"/>
  <c r="N8" i="51"/>
  <c r="N78" i="51"/>
  <c r="N66" i="51"/>
  <c r="N58" i="51"/>
  <c r="N55" i="51"/>
  <c r="N7" i="51"/>
  <c r="N49" i="51"/>
  <c r="N61" i="51"/>
  <c r="N53" i="51"/>
  <c r="N45" i="51"/>
  <c r="N37" i="51"/>
  <c r="N29" i="51"/>
  <c r="N21" i="51"/>
  <c r="N13" i="51"/>
  <c r="N5" i="51"/>
  <c r="N74" i="51"/>
  <c r="N26" i="51"/>
  <c r="N31" i="51"/>
  <c r="N15" i="51"/>
  <c r="N60" i="51"/>
  <c r="N52" i="51"/>
  <c r="N20" i="51"/>
  <c r="N12" i="51"/>
  <c r="N41" i="51"/>
  <c r="J5" i="51"/>
  <c r="M4" i="51"/>
  <c r="K81" i="51"/>
  <c r="K78" i="51"/>
  <c r="K70" i="51"/>
  <c r="K66" i="51"/>
  <c r="K58" i="51"/>
  <c r="K42" i="51"/>
  <c r="K34" i="51"/>
  <c r="K74" i="51"/>
  <c r="K50" i="51"/>
  <c r="K18" i="51"/>
  <c r="M20" i="51"/>
  <c r="M55" i="51"/>
  <c r="M77" i="51"/>
  <c r="M63" i="51"/>
  <c r="M39" i="51"/>
  <c r="M73" i="51"/>
  <c r="M69" i="51"/>
  <c r="M47" i="51"/>
  <c r="M7" i="51"/>
  <c r="M60" i="51"/>
  <c r="M36" i="51"/>
  <c r="M31" i="51"/>
  <c r="M23" i="51"/>
  <c r="M15" i="51"/>
  <c r="M52" i="51"/>
  <c r="M44" i="51"/>
  <c r="J38" i="51"/>
  <c r="J22" i="51"/>
  <c r="J51" i="51"/>
  <c r="J43" i="51"/>
  <c r="J35" i="51"/>
  <c r="J19" i="51"/>
  <c r="J75" i="51"/>
  <c r="J40" i="51"/>
  <c r="J32" i="51"/>
  <c r="J76" i="51"/>
  <c r="J72" i="51"/>
  <c r="J62" i="51"/>
  <c r="J54" i="51"/>
  <c r="J27" i="51"/>
  <c r="J3" i="51"/>
  <c r="J79" i="51"/>
  <c r="J67" i="51"/>
  <c r="J64" i="51"/>
  <c r="J48" i="51"/>
  <c r="J24" i="51"/>
  <c r="J16" i="51"/>
  <c r="J8" i="51"/>
  <c r="J61" i="51"/>
  <c r="J6" i="51"/>
  <c r="J82" i="51"/>
  <c r="J59" i="51"/>
  <c r="J11" i="51"/>
  <c r="J71" i="51"/>
  <c r="J53" i="51"/>
  <c r="J45" i="51"/>
  <c r="J37" i="51"/>
  <c r="J68" i="51"/>
  <c r="J46" i="51"/>
  <c r="J30" i="51"/>
  <c r="J14" i="51"/>
  <c r="J56" i="51"/>
  <c r="J81" i="51"/>
  <c r="K3" i="51"/>
  <c r="J13" i="51"/>
  <c r="J29" i="51"/>
  <c r="K29" i="51"/>
  <c r="M26" i="51"/>
  <c r="K32" i="51"/>
  <c r="M34" i="51"/>
  <c r="K40" i="51"/>
  <c r="K64" i="51"/>
  <c r="K67" i="51"/>
  <c r="M70" i="51"/>
  <c r="K75" i="51"/>
  <c r="K11" i="51"/>
  <c r="K35" i="51"/>
  <c r="M37" i="51"/>
  <c r="K43" i="51"/>
  <c r="M53" i="51"/>
  <c r="K59" i="51"/>
  <c r="M61" i="51"/>
  <c r="K82" i="51"/>
  <c r="K6" i="51"/>
  <c r="M8" i="51"/>
  <c r="J9" i="51"/>
  <c r="K14" i="51"/>
  <c r="M16" i="51"/>
  <c r="J17" i="51"/>
  <c r="K22" i="51"/>
  <c r="M24" i="51"/>
  <c r="J25" i="51"/>
  <c r="K30" i="51"/>
  <c r="M32" i="51"/>
  <c r="J33" i="51"/>
  <c r="K38" i="51"/>
  <c r="M40" i="51"/>
  <c r="J41" i="51"/>
  <c r="K46" i="51"/>
  <c r="M48" i="51"/>
  <c r="J49" i="51"/>
  <c r="K54" i="51"/>
  <c r="M56" i="51"/>
  <c r="J57" i="51"/>
  <c r="K62" i="51"/>
  <c r="M64" i="51"/>
  <c r="J65" i="51"/>
  <c r="M67" i="51"/>
  <c r="K68" i="51"/>
  <c r="M71" i="51"/>
  <c r="K72" i="51"/>
  <c r="M75" i="51"/>
  <c r="K76" i="51"/>
  <c r="M79" i="51"/>
  <c r="J80" i="51"/>
  <c r="K53" i="51"/>
  <c r="K61" i="51"/>
  <c r="K71" i="51"/>
  <c r="M74" i="51"/>
  <c r="M78" i="51"/>
  <c r="K79" i="51"/>
  <c r="K19" i="51"/>
  <c r="M21" i="51"/>
  <c r="M3" i="51"/>
  <c r="J4" i="51"/>
  <c r="K9" i="51"/>
  <c r="M11" i="51"/>
  <c r="J12" i="51"/>
  <c r="K17" i="51"/>
  <c r="M19" i="51"/>
  <c r="J20" i="51"/>
  <c r="K25" i="51"/>
  <c r="M27" i="51"/>
  <c r="J28" i="51"/>
  <c r="K33" i="51"/>
  <c r="M35" i="51"/>
  <c r="J36" i="51"/>
  <c r="K41" i="51"/>
  <c r="M43" i="51"/>
  <c r="J44" i="51"/>
  <c r="K49" i="51"/>
  <c r="M51" i="51"/>
  <c r="J52" i="51"/>
  <c r="K57" i="51"/>
  <c r="M59" i="51"/>
  <c r="J60" i="51"/>
  <c r="K65" i="51"/>
  <c r="J69" i="51"/>
  <c r="J73" i="51"/>
  <c r="J77" i="51"/>
  <c r="K80" i="51"/>
  <c r="M82" i="51"/>
  <c r="K5" i="51"/>
  <c r="K13" i="51"/>
  <c r="K21" i="51"/>
  <c r="K37" i="51"/>
  <c r="K45" i="51"/>
  <c r="K8" i="51"/>
  <c r="M10" i="51"/>
  <c r="M18" i="51"/>
  <c r="M50" i="51"/>
  <c r="K56" i="51"/>
  <c r="M58" i="51"/>
  <c r="M13" i="51"/>
  <c r="K27" i="51"/>
  <c r="M29" i="51"/>
  <c r="M45" i="51"/>
  <c r="K51" i="51"/>
  <c r="K4" i="51"/>
  <c r="M6" i="51"/>
  <c r="J7" i="51"/>
  <c r="K12" i="51"/>
  <c r="M14" i="51"/>
  <c r="J15" i="51"/>
  <c r="K20" i="51"/>
  <c r="M22" i="51"/>
  <c r="J23" i="51"/>
  <c r="K28" i="51"/>
  <c r="M30" i="51"/>
  <c r="J31" i="51"/>
  <c r="K36" i="51"/>
  <c r="M38" i="51"/>
  <c r="J39" i="51"/>
  <c r="K44" i="51"/>
  <c r="M46" i="51"/>
  <c r="J47" i="51"/>
  <c r="K52" i="51"/>
  <c r="M54" i="51"/>
  <c r="J55" i="51"/>
  <c r="K60" i="51"/>
  <c r="M62" i="51"/>
  <c r="J63" i="51"/>
  <c r="M68" i="51"/>
  <c r="K69" i="51"/>
  <c r="M72" i="51"/>
  <c r="K73" i="51"/>
  <c r="M76" i="51"/>
  <c r="K77" i="51"/>
  <c r="K16" i="51"/>
  <c r="K24" i="51"/>
  <c r="M42" i="51"/>
  <c r="K48" i="51"/>
  <c r="M66" i="51"/>
  <c r="M81" i="51"/>
  <c r="K7" i="51"/>
  <c r="M9" i="51"/>
  <c r="J10" i="51"/>
  <c r="K15" i="51"/>
  <c r="M17" i="51"/>
  <c r="J18" i="51"/>
  <c r="K23" i="51"/>
  <c r="M25" i="51"/>
  <c r="J26" i="51"/>
  <c r="K31" i="51"/>
  <c r="M33" i="51"/>
  <c r="J34" i="51"/>
  <c r="K39" i="51"/>
  <c r="M41" i="51"/>
  <c r="J42" i="51"/>
  <c r="K47" i="51"/>
  <c r="M49" i="51"/>
  <c r="J50" i="51"/>
  <c r="K55" i="51"/>
  <c r="M57" i="51"/>
  <c r="J58" i="51"/>
  <c r="M65" i="51"/>
  <c r="J66" i="51"/>
  <c r="J70" i="51"/>
  <c r="J74" i="51"/>
  <c r="J78" i="51"/>
  <c r="W176" i="94" l="1"/>
  <c r="W228" i="94"/>
  <c r="T243" i="94"/>
  <c r="T5" i="94"/>
  <c r="Y326" i="94"/>
  <c r="Z102" i="94"/>
  <c r="Z326" i="94" s="1"/>
  <c r="X344" i="94"/>
  <c r="Y120" i="94"/>
  <c r="X69" i="94"/>
  <c r="Y229" i="94"/>
  <c r="Z5" i="94"/>
  <c r="Z229" i="94" s="1"/>
  <c r="Y4" i="94"/>
  <c r="Q229" i="94"/>
  <c r="Q4" i="94"/>
  <c r="Y380" i="94"/>
  <c r="Z156" i="94"/>
  <c r="Z380" i="94" s="1"/>
  <c r="Q305" i="94"/>
  <c r="Q187" i="94"/>
  <c r="T187" i="94" s="1"/>
  <c r="Q69" i="94"/>
  <c r="Q293" i="94" s="1"/>
  <c r="P228" i="94"/>
  <c r="P176" i="94"/>
  <c r="T38" i="94"/>
  <c r="T262" i="94" s="1"/>
  <c r="R228" i="94"/>
  <c r="R176" i="94"/>
  <c r="Y282" i="94"/>
  <c r="Z58" i="94"/>
  <c r="Z282" i="94" s="1"/>
  <c r="T308" i="94"/>
  <c r="T81" i="94"/>
  <c r="T290" i="94"/>
  <c r="T58" i="94"/>
  <c r="T282" i="94" s="1"/>
  <c r="P185" i="94"/>
  <c r="S191" i="94"/>
  <c r="S185" i="94" s="1"/>
  <c r="S305" i="94"/>
  <c r="S69" i="94"/>
  <c r="S293" i="94" s="1"/>
  <c r="S229" i="94"/>
  <c r="S4" i="94"/>
  <c r="Z274" i="94"/>
  <c r="Z47" i="94"/>
  <c r="Z271" i="94" s="1"/>
  <c r="Q271" i="94"/>
  <c r="Q191" i="94"/>
  <c r="T345" i="94"/>
  <c r="T120" i="94"/>
  <c r="T344" i="94" s="1"/>
  <c r="O400" i="94"/>
  <c r="O177" i="94"/>
  <c r="U176" i="94"/>
  <c r="O178" i="94"/>
  <c r="T274" i="94"/>
  <c r="T47" i="94"/>
  <c r="T271" i="94" s="1"/>
  <c r="G14" i="64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B12" i="41"/>
  <c r="Q185" i="94" l="1"/>
  <c r="T191" i="94"/>
  <c r="T185" i="94" s="1"/>
  <c r="Q228" i="94"/>
  <c r="Q176" i="94"/>
  <c r="Y344" i="94"/>
  <c r="Z120" i="94"/>
  <c r="Z344" i="94" s="1"/>
  <c r="P400" i="94"/>
  <c r="P177" i="94"/>
  <c r="P178" i="94"/>
  <c r="P402" i="94" s="1"/>
  <c r="S228" i="94"/>
  <c r="S176" i="94"/>
  <c r="T305" i="94"/>
  <c r="T69" i="94"/>
  <c r="T293" i="94" s="1"/>
  <c r="Y228" i="94"/>
  <c r="Z4" i="94"/>
  <c r="Z228" i="94" s="1"/>
  <c r="T229" i="94"/>
  <c r="T4" i="94"/>
  <c r="R178" i="94"/>
  <c r="R202" i="94"/>
  <c r="O402" i="94"/>
  <c r="U178" i="94"/>
  <c r="O401" i="94"/>
  <c r="U177" i="94"/>
  <c r="R177" i="94"/>
  <c r="X293" i="94"/>
  <c r="Y69" i="94"/>
  <c r="X176" i="94"/>
  <c r="W400" i="94"/>
  <c r="W177" i="94"/>
  <c r="W401" i="94" s="1"/>
  <c r="W178" i="94"/>
  <c r="W402" i="94" s="1"/>
  <c r="K7" i="48"/>
  <c r="I7" i="48"/>
  <c r="H7" i="48"/>
  <c r="G7" i="48"/>
  <c r="F7" i="48"/>
  <c r="C7" i="48"/>
  <c r="J7" i="48"/>
  <c r="E7" i="48"/>
  <c r="D7" i="48"/>
  <c r="B7" i="48"/>
  <c r="P401" i="94" l="1"/>
  <c r="S177" i="94"/>
  <c r="Q400" i="94"/>
  <c r="Q178" i="94"/>
  <c r="Q402" i="94" s="1"/>
  <c r="Q177" i="94"/>
  <c r="X400" i="94"/>
  <c r="X177" i="94"/>
  <c r="X178" i="94"/>
  <c r="Y176" i="94"/>
  <c r="Z176" i="94" s="1"/>
  <c r="S202" i="94"/>
  <c r="S178" i="94"/>
  <c r="Y293" i="94"/>
  <c r="Z69" i="94"/>
  <c r="Z293" i="94" s="1"/>
  <c r="T228" i="94"/>
  <c r="T176" i="94"/>
  <c r="H8" i="48"/>
  <c r="H11" i="48" s="1"/>
  <c r="J8" i="48"/>
  <c r="J11" i="48" s="1"/>
  <c r="K8" i="48"/>
  <c r="F8" i="48"/>
  <c r="F11" i="48" s="1"/>
  <c r="K11" i="48"/>
  <c r="I8" i="48"/>
  <c r="I11" i="48" s="1"/>
  <c r="G8" i="48"/>
  <c r="G11" i="48" s="1"/>
  <c r="X402" i="94" l="1"/>
  <c r="Y178" i="94"/>
  <c r="Z178" i="94" s="1"/>
  <c r="X401" i="94"/>
  <c r="Y177" i="94"/>
  <c r="Z177" i="94" s="1"/>
  <c r="Q401" i="94"/>
  <c r="T177" i="94"/>
  <c r="T178" i="94"/>
  <c r="T202" i="94"/>
  <c r="K12" i="48"/>
  <c r="K14" i="48" s="1"/>
  <c r="K16" i="48" s="1"/>
  <c r="H12" i="48"/>
  <c r="H14" i="48" s="1"/>
  <c r="H16" i="48" s="1"/>
  <c r="G12" i="48"/>
  <c r="G14" i="48" s="1"/>
  <c r="G16" i="48" s="1"/>
  <c r="I12" i="48"/>
  <c r="I14" i="48" s="1"/>
  <c r="I16" i="48" s="1"/>
  <c r="J12" i="48"/>
  <c r="J14" i="48" s="1"/>
  <c r="J16" i="48" l="1"/>
  <c r="L6" i="47" l="1"/>
  <c r="D6" i="47"/>
  <c r="J6" i="47"/>
  <c r="I6" i="47"/>
  <c r="H6" i="47"/>
  <c r="G6" i="47"/>
  <c r="F6" i="47"/>
  <c r="E6" i="47"/>
  <c r="K6" i="47"/>
  <c r="D9" i="46" l="1"/>
  <c r="D8" i="46"/>
  <c r="E8" i="46"/>
  <c r="E9" i="46"/>
  <c r="D10" i="46" l="1"/>
  <c r="E10" i="46"/>
  <c r="C8" i="46"/>
  <c r="C9" i="46"/>
  <c r="C10" i="46" l="1"/>
  <c r="C25" i="43" l="1"/>
  <c r="D25" i="43"/>
  <c r="E25" i="43"/>
  <c r="F25" i="43"/>
  <c r="G25" i="43"/>
  <c r="H25" i="43"/>
  <c r="I25" i="43"/>
  <c r="J25" i="43"/>
  <c r="B25" i="43"/>
  <c r="E4" i="22" l="1"/>
  <c r="B4" i="22"/>
  <c r="B41" i="22" s="1"/>
  <c r="C4" i="22"/>
  <c r="D4" i="22"/>
  <c r="F4" i="22"/>
  <c r="B46" i="24"/>
  <c r="C46" i="24"/>
  <c r="D46" i="24"/>
  <c r="E46" i="24"/>
  <c r="F46" i="24"/>
  <c r="C41" i="22" l="1"/>
  <c r="C42" i="22" s="1"/>
  <c r="E41" i="22"/>
  <c r="E42" i="22" s="1"/>
  <c r="F41" i="22"/>
  <c r="D41" i="22"/>
  <c r="D42" i="22" s="1"/>
  <c r="F42" i="22" l="1"/>
  <c r="B42" i="22"/>
  <c r="C4" i="35" l="1"/>
  <c r="D4" i="35"/>
  <c r="E4" i="35"/>
  <c r="C3" i="35"/>
  <c r="D3" i="35"/>
  <c r="B3" i="35"/>
  <c r="B4" i="35"/>
  <c r="G11" i="40"/>
  <c r="C11" i="40" l="1"/>
  <c r="D11" i="40" l="1"/>
  <c r="F11" i="40" l="1"/>
  <c r="E11" i="40"/>
  <c r="C15" i="14" l="1"/>
  <c r="D15" i="14"/>
  <c r="E15" i="14"/>
  <c r="F15" i="14"/>
  <c r="B15" i="14"/>
  <c r="C12" i="14"/>
  <c r="D12" i="14"/>
  <c r="E12" i="14"/>
  <c r="B12" i="14"/>
  <c r="C8" i="14"/>
  <c r="D8" i="14"/>
  <c r="E8" i="14"/>
  <c r="B8" i="14"/>
  <c r="C14" i="14"/>
  <c r="D14" i="14"/>
  <c r="E14" i="14"/>
  <c r="F14" i="14"/>
  <c r="B14" i="14"/>
  <c r="C13" i="14"/>
  <c r="D13" i="14"/>
  <c r="E13" i="14"/>
  <c r="B13" i="14"/>
  <c r="C7" i="14" l="1"/>
  <c r="D7" i="14"/>
  <c r="B7" i="14"/>
  <c r="E7" i="14"/>
  <c r="B6" i="35" l="1"/>
  <c r="D7" i="35"/>
  <c r="D8" i="35" s="1"/>
  <c r="C9" i="35"/>
  <c r="C10" i="35" s="1"/>
  <c r="E9" i="35"/>
  <c r="C7" i="35"/>
  <c r="E7" i="35"/>
  <c r="E8" i="35" s="1"/>
  <c r="D9" i="35"/>
  <c r="B5" i="35"/>
  <c r="D10" i="35" l="1"/>
  <c r="D11" i="35"/>
  <c r="E10" i="35"/>
  <c r="E11" i="35"/>
  <c r="C8" i="35"/>
  <c r="B35" i="24" l="1"/>
  <c r="B28" i="24" s="1"/>
  <c r="C35" i="24"/>
  <c r="D35" i="24"/>
  <c r="E35" i="24"/>
  <c r="F35" i="24"/>
  <c r="F27" i="24" l="1"/>
  <c r="F28" i="24"/>
  <c r="E27" i="24"/>
  <c r="E28" i="24"/>
  <c r="D27" i="24"/>
  <c r="D28" i="24"/>
  <c r="C27" i="24"/>
  <c r="C28" i="24"/>
  <c r="B27" i="24"/>
  <c r="G11" i="15" l="1"/>
  <c r="F9" i="16" l="1"/>
  <c r="B6" i="28" l="1"/>
  <c r="G6" i="28" l="1"/>
  <c r="F6" i="28"/>
  <c r="D6" i="28"/>
  <c r="C6" i="28"/>
  <c r="E6" i="28"/>
  <c r="D7" i="28" l="1"/>
  <c r="F7" i="28"/>
  <c r="E7" i="28"/>
  <c r="G7" i="28"/>
  <c r="C7" i="28"/>
  <c r="C7" i="36" l="1"/>
  <c r="B7" i="36" l="1"/>
  <c r="D7" i="36"/>
  <c r="G6" i="15" l="1"/>
  <c r="B4" i="24" l="1"/>
  <c r="C4" i="24"/>
  <c r="B3" i="24" l="1"/>
  <c r="C3" i="24"/>
  <c r="F11" i="15" l="1"/>
  <c r="G13" i="15" l="1"/>
  <c r="B9" i="16" l="1"/>
  <c r="D9" i="16"/>
  <c r="E9" i="16"/>
  <c r="C9" i="16" l="1"/>
  <c r="F6" i="15" l="1"/>
  <c r="G7" i="15" l="1"/>
  <c r="G18" i="15" s="1"/>
  <c r="G12" i="15" l="1"/>
  <c r="G19" i="15" s="1"/>
  <c r="M48" i="24"/>
  <c r="L48" i="24"/>
  <c r="K48" i="24"/>
  <c r="J48" i="24"/>
  <c r="I48" i="24"/>
  <c r="M47" i="24"/>
  <c r="L47" i="24"/>
  <c r="K47" i="24"/>
  <c r="J47" i="24"/>
  <c r="I47" i="24"/>
  <c r="M45" i="24"/>
  <c r="L45" i="24"/>
  <c r="K45" i="24"/>
  <c r="J45" i="24"/>
  <c r="I45" i="24"/>
  <c r="M44" i="24"/>
  <c r="L44" i="24"/>
  <c r="K44" i="24"/>
  <c r="J44" i="24"/>
  <c r="I44" i="24"/>
  <c r="M43" i="24"/>
  <c r="L43" i="24"/>
  <c r="K43" i="24"/>
  <c r="J43" i="24"/>
  <c r="I43" i="24"/>
  <c r="M42" i="24"/>
  <c r="L42" i="24"/>
  <c r="K42" i="24"/>
  <c r="J42" i="24"/>
  <c r="I42" i="24"/>
  <c r="M41" i="24"/>
  <c r="L41" i="24"/>
  <c r="K41" i="24"/>
  <c r="J41" i="24"/>
  <c r="I41" i="24"/>
  <c r="M40" i="24"/>
  <c r="L40" i="24"/>
  <c r="K40" i="24"/>
  <c r="J40" i="24"/>
  <c r="I40" i="24"/>
  <c r="M39" i="24"/>
  <c r="L39" i="24"/>
  <c r="K39" i="24"/>
  <c r="J39" i="24"/>
  <c r="I39" i="24"/>
  <c r="M38" i="24"/>
  <c r="L38" i="24"/>
  <c r="K38" i="24"/>
  <c r="J38" i="24"/>
  <c r="I38" i="24"/>
  <c r="M37" i="24"/>
  <c r="L37" i="24"/>
  <c r="K37" i="24"/>
  <c r="J37" i="24"/>
  <c r="I37" i="24"/>
  <c r="M36" i="24"/>
  <c r="L36" i="24"/>
  <c r="K36" i="24"/>
  <c r="J36" i="24"/>
  <c r="I36" i="24"/>
  <c r="M34" i="24"/>
  <c r="L34" i="24"/>
  <c r="K34" i="24"/>
  <c r="J34" i="24"/>
  <c r="I34" i="24"/>
  <c r="M33" i="24"/>
  <c r="L33" i="24"/>
  <c r="K33" i="24"/>
  <c r="J33" i="24"/>
  <c r="I33" i="24"/>
  <c r="M32" i="24"/>
  <c r="L32" i="24"/>
  <c r="K32" i="24"/>
  <c r="J32" i="24"/>
  <c r="I32" i="24"/>
  <c r="M31" i="24"/>
  <c r="L31" i="24"/>
  <c r="K31" i="24"/>
  <c r="J31" i="24"/>
  <c r="I31" i="24"/>
  <c r="M30" i="24"/>
  <c r="L30" i="24"/>
  <c r="K30" i="24"/>
  <c r="J30" i="24"/>
  <c r="I30" i="24"/>
  <c r="M29" i="24"/>
  <c r="L29" i="24"/>
  <c r="K29" i="24"/>
  <c r="J29" i="24"/>
  <c r="I29" i="24"/>
  <c r="M26" i="24"/>
  <c r="L26" i="24"/>
  <c r="K26" i="24"/>
  <c r="J26" i="24"/>
  <c r="I26" i="24"/>
  <c r="M25" i="24"/>
  <c r="L25" i="24"/>
  <c r="K25" i="24"/>
  <c r="J25" i="24"/>
  <c r="I25" i="24"/>
  <c r="M24" i="24"/>
  <c r="L24" i="24"/>
  <c r="K24" i="24"/>
  <c r="J24" i="24"/>
  <c r="I24" i="24"/>
  <c r="M23" i="24"/>
  <c r="L23" i="24"/>
  <c r="K23" i="24"/>
  <c r="J23" i="24"/>
  <c r="I23" i="24"/>
  <c r="M22" i="24"/>
  <c r="L22" i="24"/>
  <c r="K22" i="24"/>
  <c r="J22" i="24"/>
  <c r="I22" i="24"/>
  <c r="M21" i="24"/>
  <c r="L21" i="24"/>
  <c r="K21" i="24"/>
  <c r="J21" i="24"/>
  <c r="I21" i="24"/>
  <c r="M19" i="24"/>
  <c r="L19" i="24"/>
  <c r="K19" i="24"/>
  <c r="J19" i="24"/>
  <c r="I19" i="24"/>
  <c r="M18" i="24"/>
  <c r="L18" i="24"/>
  <c r="K18" i="24"/>
  <c r="J18" i="24"/>
  <c r="I18" i="24"/>
  <c r="M16" i="24"/>
  <c r="L16" i="24"/>
  <c r="K16" i="24"/>
  <c r="J16" i="24"/>
  <c r="I16" i="24"/>
  <c r="M15" i="24"/>
  <c r="L15" i="24"/>
  <c r="K15" i="24"/>
  <c r="J15" i="24"/>
  <c r="I15" i="24"/>
  <c r="M14" i="24"/>
  <c r="L14" i="24"/>
  <c r="K14" i="24"/>
  <c r="J14" i="24"/>
  <c r="I14" i="24"/>
  <c r="M13" i="24"/>
  <c r="L13" i="24"/>
  <c r="K13" i="24"/>
  <c r="J13" i="24"/>
  <c r="I13" i="24"/>
  <c r="M12" i="24"/>
  <c r="L12" i="24"/>
  <c r="K12" i="24"/>
  <c r="J12" i="24"/>
  <c r="I12" i="24"/>
  <c r="M11" i="24"/>
  <c r="L11" i="24"/>
  <c r="K11" i="24"/>
  <c r="J11" i="24"/>
  <c r="I11" i="24"/>
  <c r="M10" i="24"/>
  <c r="L10" i="24"/>
  <c r="K10" i="24"/>
  <c r="J10" i="24"/>
  <c r="I10" i="24"/>
  <c r="M9" i="24"/>
  <c r="L9" i="24"/>
  <c r="K9" i="24"/>
  <c r="J9" i="24"/>
  <c r="I9" i="24"/>
  <c r="M8" i="24"/>
  <c r="L8" i="24"/>
  <c r="K8" i="24"/>
  <c r="J8" i="24"/>
  <c r="I8" i="24"/>
  <c r="M7" i="24"/>
  <c r="L7" i="24"/>
  <c r="K7" i="24"/>
  <c r="J7" i="24"/>
  <c r="I7" i="24"/>
  <c r="M6" i="24"/>
  <c r="L6" i="24"/>
  <c r="K6" i="24"/>
  <c r="J6" i="24"/>
  <c r="I6" i="24"/>
  <c r="M5" i="24"/>
  <c r="L5" i="24"/>
  <c r="K5" i="24"/>
  <c r="J5" i="24"/>
  <c r="I5" i="24"/>
  <c r="K46" i="24" l="1"/>
  <c r="M35" i="24"/>
  <c r="L35" i="24"/>
  <c r="K35" i="24"/>
  <c r="M20" i="24"/>
  <c r="L20" i="24"/>
  <c r="K20" i="24"/>
  <c r="J20" i="24"/>
  <c r="I20" i="24"/>
  <c r="M17" i="24"/>
  <c r="L17" i="24"/>
  <c r="K17" i="24"/>
  <c r="J17" i="24"/>
  <c r="I17" i="24"/>
  <c r="F4" i="24"/>
  <c r="M4" i="24" s="1"/>
  <c r="E4" i="24"/>
  <c r="L4" i="24" s="1"/>
  <c r="D4" i="24"/>
  <c r="K4" i="24" s="1"/>
  <c r="J4" i="24"/>
  <c r="I4" i="24"/>
  <c r="J35" i="24" l="1"/>
  <c r="I35" i="24"/>
  <c r="I28" i="24"/>
  <c r="J3" i="24"/>
  <c r="M28" i="24"/>
  <c r="D3" i="24"/>
  <c r="K3" i="24" s="1"/>
  <c r="I3" i="24"/>
  <c r="J28" i="24"/>
  <c r="K28" i="24"/>
  <c r="L28" i="24"/>
  <c r="E3" i="24"/>
  <c r="L3" i="24" s="1"/>
  <c r="F3" i="24"/>
  <c r="M3" i="24" s="1"/>
  <c r="K27" i="24"/>
  <c r="L27" i="24" l="1"/>
  <c r="L46" i="24"/>
  <c r="I27" i="24"/>
  <c r="I46" i="24"/>
  <c r="J27" i="24"/>
  <c r="J46" i="24"/>
  <c r="M27" i="24"/>
  <c r="M46" i="24"/>
  <c r="D49" i="24"/>
  <c r="E49" i="24"/>
  <c r="L49" i="24" l="1"/>
  <c r="K49" i="24"/>
  <c r="C49" i="24"/>
  <c r="F49" i="24"/>
  <c r="B49" i="24"/>
  <c r="M49" i="24" l="1"/>
  <c r="I49" i="24"/>
  <c r="J49" i="24"/>
  <c r="F13" i="15" l="1"/>
  <c r="E11" i="15"/>
  <c r="E6" i="15" l="1"/>
  <c r="F7" i="15" l="1"/>
  <c r="F18" i="15" s="1"/>
  <c r="F12" i="15" l="1"/>
  <c r="F19" i="15" s="1"/>
  <c r="E13" i="15" l="1"/>
  <c r="D11" i="15"/>
  <c r="D6" i="15" l="1"/>
  <c r="E7" i="15" l="1"/>
  <c r="E18" i="15" l="1"/>
  <c r="E12" i="15"/>
  <c r="E19" i="15" s="1"/>
  <c r="D13" i="15" l="1"/>
  <c r="C6" i="15" l="1"/>
  <c r="D7" i="15" l="1"/>
  <c r="D18" i="15" s="1"/>
  <c r="D12" i="15" l="1"/>
  <c r="D19" i="15" s="1"/>
  <c r="B6" i="15" l="1"/>
  <c r="C7" i="15" l="1"/>
</calcChain>
</file>

<file path=xl/sharedStrings.xml><?xml version="1.0" encoding="utf-8"?>
<sst xmlns="http://schemas.openxmlformats.org/spreadsheetml/2006/main" count="2391" uniqueCount="1366">
  <si>
    <t>2. Cyklická zložka</t>
  </si>
  <si>
    <t>-</t>
  </si>
  <si>
    <t xml:space="preserve">3. Jednorazové efekty </t>
  </si>
  <si>
    <t>Zdroj: RRZ</t>
  </si>
  <si>
    <t>CELKOVO</t>
  </si>
  <si>
    <t>5. Zmena štrukturálneho salda (Δ4)/ Fiškálny kompakt</t>
  </si>
  <si>
    <t xml:space="preserve"> Zdroj: MF SR</t>
  </si>
  <si>
    <t>1. Saldo verejnej správy</t>
  </si>
  <si>
    <t>4. Štrukturálne saldo (1-2-3)</t>
  </si>
  <si>
    <t>6. Saldo verejnej správy v NPC scenári</t>
  </si>
  <si>
    <t>RRZ</t>
  </si>
  <si>
    <t>Zdroj: metodika RRZ</t>
  </si>
  <si>
    <t>HDP</t>
  </si>
  <si>
    <t>imputácia  DPH z PPP projektu</t>
  </si>
  <si>
    <t>Príjmy spolu</t>
  </si>
  <si>
    <t>Daňové príjmy</t>
  </si>
  <si>
    <t>Dane z produkcie a dovozu</t>
  </si>
  <si>
    <t xml:space="preserve"> - Daň z pridanej hodnoty (spolu so zdrojom EÚ)</t>
  </si>
  <si>
    <t xml:space="preserve"> - Spotrebné dane</t>
  </si>
  <si>
    <t xml:space="preserve"> - Dovozné clo</t>
  </si>
  <si>
    <t xml:space="preserve"> - Dane z majetku a iné</t>
  </si>
  <si>
    <t>Bežné dane z dôchodkov, majetku</t>
  </si>
  <si>
    <t xml:space="preserve"> - Daň z príjmov fyzických osôb</t>
  </si>
  <si>
    <t xml:space="preserve"> - Daň z príjmov právnických osôb</t>
  </si>
  <si>
    <t xml:space="preserve"> - Daň z príjmov vyberaná zrážkou - rozp. klasif.</t>
  </si>
  <si>
    <t xml:space="preserve"> - Daň z príjmov - emisie</t>
  </si>
  <si>
    <t>Dane z kapitálu</t>
  </si>
  <si>
    <t>Príspevky na sociálne zabezpečenie</t>
  </si>
  <si>
    <t>Skutočné príspevky na sociálne zabezpečenie spolu</t>
  </si>
  <si>
    <t>Imputované príspevky na sociálne zabezpečenie</t>
  </si>
  <si>
    <t xml:space="preserve">Nedaňové príjmy </t>
  </si>
  <si>
    <t>Tržby</t>
  </si>
  <si>
    <t>Dôchodky z majetku, z ktorých</t>
  </si>
  <si>
    <t xml:space="preserve"> - Dividendy</t>
  </si>
  <si>
    <t xml:space="preserve"> - Úroky</t>
  </si>
  <si>
    <t>Granty a transfery</t>
  </si>
  <si>
    <t>z toho: z EÚ</t>
  </si>
  <si>
    <t>Ostatné bežné transfery</t>
  </si>
  <si>
    <t>Kapitálové transfery</t>
  </si>
  <si>
    <t>Výdavky spolu</t>
  </si>
  <si>
    <t>Bežné výdavky</t>
  </si>
  <si>
    <t>Kompenzácie zamestnancov</t>
  </si>
  <si>
    <t>Medzispotreba</t>
  </si>
  <si>
    <t>Dane</t>
  </si>
  <si>
    <t>Subvencie</t>
  </si>
  <si>
    <t>Dôchodky z majetku</t>
  </si>
  <si>
    <t xml:space="preserve"> - Úrokové náklady</t>
  </si>
  <si>
    <t>Celkové sociálne transfery</t>
  </si>
  <si>
    <t xml:space="preserve"> - Sociálne dávky okrem naturálnych soc. transferov</t>
  </si>
  <si>
    <t xml:space="preserve"> - Aktívne opatrenia trhu práce</t>
  </si>
  <si>
    <t xml:space="preserve"> - Nemocenské dávky</t>
  </si>
  <si>
    <t xml:space="preserve"> - Dávky v nezamestnanosti</t>
  </si>
  <si>
    <t xml:space="preserve"> - Štátne sociálne dávky a podpora</t>
  </si>
  <si>
    <t>Kapitálové výdavky</t>
  </si>
  <si>
    <t>Kapitálové investície</t>
  </si>
  <si>
    <t>Čisté pôžičky poskytnuté / prijaté</t>
  </si>
  <si>
    <t xml:space="preserve"> - Naturálne sociálne transfery (zdrav. zariadenia)</t>
  </si>
  <si>
    <t xml:space="preserve"> - Dôchodkové dávky </t>
  </si>
  <si>
    <t>z toho: Odvody do rozpočtu EÚ</t>
  </si>
  <si>
    <t>Zdroj: MF SR, RRZ</t>
  </si>
  <si>
    <t>vratky domácnostiam za spotrebu plynu</t>
  </si>
  <si>
    <t>produkčná medzera</t>
  </si>
  <si>
    <t>štrukturálne saldo</t>
  </si>
  <si>
    <t>Príjmy z rozpočtu EÚ (VpMP)</t>
  </si>
  <si>
    <t xml:space="preserve">1. Saldo verejnej správy </t>
  </si>
  <si>
    <r>
      <t xml:space="preserve">2. Cyklická zložka </t>
    </r>
    <r>
      <rPr>
        <sz val="9"/>
        <color rgb="FF13B5EA"/>
        <rFont val="Constantia"/>
        <family val="1"/>
        <charset val="238"/>
      </rPr>
      <t>(MF SR)</t>
    </r>
  </si>
  <si>
    <r>
      <t xml:space="preserve">3. Jednorazové efekty </t>
    </r>
    <r>
      <rPr>
        <sz val="9"/>
        <color rgb="FF13B5EA"/>
        <rFont val="Constantia"/>
        <family val="1"/>
        <charset val="238"/>
      </rPr>
      <t>(MF SR)</t>
    </r>
  </si>
  <si>
    <t>Zmena štrukturálneho salda (∆4)</t>
  </si>
  <si>
    <t>p.m. požadovaná konsolidácia podľa EK</t>
  </si>
  <si>
    <t>EOSA</t>
  </si>
  <si>
    <t>MH Invest</t>
  </si>
  <si>
    <t xml:space="preserve"> - Platené poistné za skupiny osôb ustanovené zákonom</t>
  </si>
  <si>
    <t>celkovo</t>
  </si>
  <si>
    <t>2017R</t>
  </si>
  <si>
    <t>2019R</t>
  </si>
  <si>
    <t>2018R</t>
  </si>
  <si>
    <t>A. Štátny rozpočet</t>
  </si>
  <si>
    <t xml:space="preserve">    Obce </t>
  </si>
  <si>
    <t xml:space="preserve">    Vyššie územné celky</t>
  </si>
  <si>
    <t xml:space="preserve">    Sociálna poisťovňa </t>
  </si>
  <si>
    <t xml:space="preserve">    Verejné zdravotné poistenie</t>
  </si>
  <si>
    <t xml:space="preserve">    Národný jadrový fond </t>
  </si>
  <si>
    <t xml:space="preserve">    Environmentálny fond </t>
  </si>
  <si>
    <t xml:space="preserve">    Štátny fond rozvoja bývania</t>
  </si>
  <si>
    <t xml:space="preserve">    Úrad pre dohľad nad ZS</t>
  </si>
  <si>
    <t xml:space="preserve">    Slovenský pozemkový fond</t>
  </si>
  <si>
    <t xml:space="preserve">    Slovenská konsolidačná, a. s.</t>
  </si>
  <si>
    <t xml:space="preserve">    Verejné vysoké školy</t>
  </si>
  <si>
    <t xml:space="preserve">    Úrad pre dohľad nad výkonom auditu</t>
  </si>
  <si>
    <t xml:space="preserve">    Audiovizuálny fond </t>
  </si>
  <si>
    <t xml:space="preserve">Rozpočet verejnej správy spolu </t>
  </si>
  <si>
    <t>Zdroj: MF SR</t>
  </si>
  <si>
    <t>Daňové opatrenia</t>
  </si>
  <si>
    <t>Investície</t>
  </si>
  <si>
    <t>Výdavky na tovary a služby</t>
  </si>
  <si>
    <t>Nedaňové a iné príjmy</t>
  </si>
  <si>
    <t>Mzdy</t>
  </si>
  <si>
    <t>RVS 2017-2019</t>
  </si>
  <si>
    <t>NPC (MF SR)</t>
  </si>
  <si>
    <t>vysvetlené</t>
  </si>
  <si>
    <t>nevysvetlené</t>
  </si>
  <si>
    <t>Bežné transfery</t>
  </si>
  <si>
    <t>saldo VS</t>
  </si>
  <si>
    <t>Celkové riziká (3+4-1-2)</t>
  </si>
  <si>
    <t>Príjmy z rozpočtu EÚ (RRZ)</t>
  </si>
  <si>
    <t>NPC (výdavková opatrenia)</t>
  </si>
  <si>
    <t>celkový vplyv</t>
  </si>
  <si>
    <t>vplyv výdavkových opatrení</t>
  </si>
  <si>
    <t>7. Štrukturálne saldo v NPC scenári</t>
  </si>
  <si>
    <t xml:space="preserve">8. Zmena štrukturálneho salda v NPC scenári </t>
  </si>
  <si>
    <t>9. Veľkosť opatrení (1-6)</t>
  </si>
  <si>
    <t>2020R</t>
  </si>
  <si>
    <t>PS 2017-2020</t>
  </si>
  <si>
    <t>MTO</t>
  </si>
  <si>
    <t>pokuta PMÚ</t>
  </si>
  <si>
    <t>2017O</t>
  </si>
  <si>
    <t>Tab 1: Ciele v oblasti salda  a dlhu verejnej správy (ESA2010, % HDP)</t>
  </si>
  <si>
    <t>Tab 3: Potreba opatrení na splnenie cieľa (ESA2010, % HDP)</t>
  </si>
  <si>
    <t>B. Ostatné subjekty rozpočtu verejnej správy spolu</t>
  </si>
  <si>
    <t xml:space="preserve">    Dopravné podniky miest (BA, BB, ZA, KE)</t>
  </si>
  <si>
    <t xml:space="preserve">    TASR</t>
  </si>
  <si>
    <t>Kancelária rady pre rozpočtovú zodpovednosť</t>
  </si>
  <si>
    <t>Železnice SR</t>
  </si>
  <si>
    <t xml:space="preserve">    Železničná spoločnosť Slovensko</t>
  </si>
  <si>
    <t>EXIMBANKA SR</t>
  </si>
  <si>
    <t>Fond na podporu vzdelávania</t>
  </si>
  <si>
    <t>Recyklačný fond</t>
  </si>
  <si>
    <t>Fond na podporu umenia</t>
  </si>
  <si>
    <t>MH Invest II.</t>
  </si>
  <si>
    <t>JAVYS</t>
  </si>
  <si>
    <t xml:space="preserve">Podiel rozpočtu verejnej správy v % na HDP </t>
  </si>
  <si>
    <t>HDP v  b. c. v mil. EUR</t>
  </si>
  <si>
    <t>Príspevkové organizácie spolu</t>
  </si>
  <si>
    <t xml:space="preserve"> - PPP projekty</t>
  </si>
  <si>
    <t>4. zmena prognózy dlhu voči RVS 2017-2019 (4-2)</t>
  </si>
  <si>
    <t>NRVS 2018-2020</t>
  </si>
  <si>
    <t>MMF (okt 2017)</t>
  </si>
  <si>
    <t>OECD (jún 2017)</t>
  </si>
  <si>
    <t>MF SR(DBP)</t>
  </si>
  <si>
    <t>Opatrenia na splnenie cieľa</t>
  </si>
  <si>
    <t>1. Rozpočet VS na roky 2017-2019</t>
  </si>
  <si>
    <t>2. Návrh rozpočtu VS na roky 2018-2020</t>
  </si>
  <si>
    <r>
      <t xml:space="preserve">4. Saldo VS podľa NPC </t>
    </r>
    <r>
      <rPr>
        <sz val="9"/>
        <color rgb="FF13B5EA"/>
        <rFont val="Constantia"/>
        <family val="1"/>
        <charset val="238"/>
      </rPr>
      <t>(MF SR)</t>
    </r>
  </si>
  <si>
    <t>3. Fiškálny rámec podľa MF SR (cieľ)</t>
  </si>
  <si>
    <t>5. Opatrenie na dosiahnutie NRVS (2-4)</t>
  </si>
  <si>
    <t>6. Opatrenie na dosiahnutie cieľa (3-4)</t>
  </si>
  <si>
    <r>
      <t xml:space="preserve"> </t>
    </r>
    <r>
      <rPr>
        <i/>
        <sz val="9"/>
        <rFont val="Constantia"/>
        <family val="1"/>
        <charset val="238"/>
      </rPr>
      <t xml:space="preserve">  (potreba opatrení na dosiahnutie NRVS  v mil. eur)</t>
    </r>
  </si>
  <si>
    <t>NPC (príjmové opatrenia)</t>
  </si>
  <si>
    <t>vplyv príjmových opatrení</t>
  </si>
  <si>
    <t>Fiškálny rámec (cieľ)</t>
  </si>
  <si>
    <t>1. Hrubý dlh VS (RVS 2017-2019)</t>
  </si>
  <si>
    <t>2. Fiškálny rámec VS (PS 2017-2020)</t>
  </si>
  <si>
    <t>3. Návrh rozpočtu VS na roky 2018-2020</t>
  </si>
  <si>
    <t>4. Fiškálny rámec VS - ciele</t>
  </si>
  <si>
    <t>5. zmena salda VS voči RVS 2017-2019 (3-1)</t>
  </si>
  <si>
    <t>Fiškálny rámec (ciele)</t>
  </si>
  <si>
    <t>Cyklická zložka</t>
  </si>
  <si>
    <t>EDP</t>
  </si>
  <si>
    <t>3. Hrubý dlh VS (NRVS 2018-2020)</t>
  </si>
  <si>
    <t>2. Hrubý dlh VS (PS 2017-2020)</t>
  </si>
  <si>
    <t>Príjmy z rozpočtu EÚ (NRVS 2018-2020)</t>
  </si>
  <si>
    <t xml:space="preserve"> p.m.1  zmena salda voči PS (3-2)</t>
  </si>
  <si>
    <t xml:space="preserve"> p.m.2  zmena cieľa voči PS (4-2)</t>
  </si>
  <si>
    <t>p.m.3 zmena prognózy dlhu voči PS (3-2)</t>
  </si>
  <si>
    <t>Tab 2: Štrukturálne saldo podľa MF SR (ESA2010, % HDP) </t>
  </si>
  <si>
    <t>revízia HDP</t>
  </si>
  <si>
    <t>medziročná zmena (6)</t>
  </si>
  <si>
    <t>1999*</t>
  </si>
  <si>
    <t>OG rvs nov2017</t>
  </si>
  <si>
    <t>časové rozlíšenie príjmov z DPH</t>
  </si>
  <si>
    <t xml:space="preserve">   MH Manažment, a. s.</t>
  </si>
  <si>
    <t>Ústav pamäti národa</t>
  </si>
  <si>
    <t xml:space="preserve">Komisári </t>
  </si>
  <si>
    <t>Národný rezolučný fond</t>
  </si>
  <si>
    <t>Slovenské národné stredisko pre ľud. Práva</t>
  </si>
  <si>
    <t>Národná diaľničná spoločnosť</t>
  </si>
  <si>
    <t xml:space="preserve"> - </t>
  </si>
  <si>
    <t xml:space="preserve"> - Opatrenie bez vplyvu na dlhodobú udržateľnosť</t>
  </si>
  <si>
    <t>Jednorazové efekty</t>
  </si>
  <si>
    <t>Štrukturálne saldo (pr.os)</t>
  </si>
  <si>
    <t>Saldo VS (pr.os)</t>
  </si>
  <si>
    <t>EK (jeseň 2017)</t>
  </si>
  <si>
    <t>1. Saldo obcí (NRVS 2018-2020)</t>
  </si>
  <si>
    <t>2. Saldo VÚC (NRVS 2018-2020)</t>
  </si>
  <si>
    <t>3. Saldo obcí (odhad RRZ)</t>
  </si>
  <si>
    <t>4. Saldo VÚC (odhad RRZ)</t>
  </si>
  <si>
    <t>obce</t>
  </si>
  <si>
    <t>verejná správa</t>
  </si>
  <si>
    <t xml:space="preserve">rozpočet </t>
  </si>
  <si>
    <t xml:space="preserve">skutočnosť </t>
  </si>
  <si>
    <t>esa (mil. eur)</t>
  </si>
  <si>
    <t>správny poplatok pre on-line hazard</t>
  </si>
  <si>
    <t>10. Konsolidačné úsilie vlády (5-8)</t>
  </si>
  <si>
    <t>11. Iné faktory</t>
  </si>
  <si>
    <t>14. Konsolidačné úsilie vlády po zohľadnení opatrení s vplyvom na iné faktory (10-12)</t>
  </si>
  <si>
    <t>12. Opatrenia vlády s vplyvom na iné faktory*</t>
  </si>
  <si>
    <t>13. Zmena štrukturálneho salda po zohľadnení iných faktorov (5-11)</t>
  </si>
  <si>
    <t xml:space="preserve">* Zahŕňa vplyv zvýšenia odvodu finančných inštitúcií, posun v termíne dostavby 3. a 4. bloku jadrovej elektrárne Mochovce a zmenu úrokových nákladov vplyvom konsolidácie.                     </t>
  </si>
  <si>
    <t>Tab 11: Zmena štrukturálneho salda VS v rokoch 2016 až 2020 podľa RRZ (ESA2010, %HDP)</t>
  </si>
  <si>
    <t>6. zmena cieľa voči RVS 2017-2019 (4-1)</t>
  </si>
  <si>
    <t>6. Štrukturálne saldo za predpokladu splnenia cieľa</t>
  </si>
  <si>
    <t>7. Konsolidácia za predpokladu splnenia cieľa (∆6)</t>
  </si>
  <si>
    <t>Graf 1: Porovnanie rozpočtových cieľov – saldo rozpočtu (% HDP)</t>
  </si>
  <si>
    <t>Graf 3: Vplyv revízie HDP na saldo VS (% HDP)</t>
  </si>
  <si>
    <t>Graf 4 : Vplyv revízie HDP na dlh VS (% HDP)</t>
  </si>
  <si>
    <r>
      <t xml:space="preserve"> </t>
    </r>
    <r>
      <rPr>
        <i/>
        <sz val="9"/>
        <color rgb="FF13B5EA"/>
        <rFont val="Constantia"/>
        <family val="1"/>
        <charset val="238"/>
      </rPr>
      <t xml:space="preserve">  (potreba opatrení na dosiahnutie cieľa  v mil. eur)</t>
    </r>
  </si>
  <si>
    <r>
      <t>Graf 5: Porovnanie NRVS 2018-2020 voči NPC scenáru*</t>
    </r>
    <r>
      <rPr>
        <sz val="9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</si>
  <si>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r>
      <t>Graf 6: Opatrenia na splnenie ropočtovaného salda v NRVS 2018-2020*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</si>
  <si>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* nezohľadňuje nešpecifikované opatrenia vo výške 0,2 % HDP v roku 2019 a 0,3 % HDP v roku 2020</t>
  </si>
  <si>
    <t>Graf 7: Opatrenia na dosiahnutie rozpočtových cieľov - porovnanie voči scenáru nezmenených politík podľa návrhu rozpočtu verejnej správy na roky 2018-2020 (% HDP)</t>
  </si>
  <si>
    <t>prvé zverejnenie</t>
  </si>
  <si>
    <t>aktualizácia po 3 rokoch</t>
  </si>
  <si>
    <t>rozdiel v cieli</t>
  </si>
  <si>
    <t>skutočnosť</t>
  </si>
  <si>
    <t>eurostat</t>
  </si>
  <si>
    <t>os</t>
  </si>
  <si>
    <r>
      <t>Graf 26: Revízia rozpočtových cieľov trojročného rozpočtu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</si>
  <si>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 xml:space="preserve">Graf 34: Saldo VS v rokoch 2015 až 2020*  (ESA2010, % HDP) </t>
  </si>
  <si>
    <t>Graf 35: Štrukturálne saldo VS v rokoch 2015 až 2020* (ESA2010, % HDP)</t>
  </si>
  <si>
    <t>Graf 36: Štrukturálne saldo v rokoch 1999 až 2020 podľa RRZ (ESA2010, % HDP)</t>
  </si>
  <si>
    <t xml:space="preserve">1. Celkové výdavky </t>
  </si>
  <si>
    <t xml:space="preserve">2. Úrokové náklady </t>
  </si>
  <si>
    <t>3. Výdavky na EÚ programy plne kryté príjmami z fondov EÚ</t>
  </si>
  <si>
    <t xml:space="preserve"> - z toho: kapitálové výdavky na EÚ programy</t>
  </si>
  <si>
    <t>4. Tvorba hrubého fixného kapitálu (bez EÚ výdavkov)</t>
  </si>
  <si>
    <t>5. Tvorba hrubého fixného kapitálu (bez EÚ výdavkov, priemer za t-3 až t)</t>
  </si>
  <si>
    <t>6. Cyklické výdavky (nezamestnanosť, dôchodky)</t>
  </si>
  <si>
    <t>7. Jednorázové výdavky</t>
  </si>
  <si>
    <t>8. Primárny výdavkový agregát (1-2-3+4-5-6-7)</t>
  </si>
  <si>
    <r>
      <t>9. Medziročná zmena primárneho výdavkového agregátu (8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-8</t>
    </r>
    <r>
      <rPr>
        <vertAlign val="subscript"/>
        <sz val="9"/>
        <color indexed="8"/>
        <rFont val="Constantia"/>
        <family val="1"/>
        <charset val="238"/>
      </rPr>
      <t>t-1</t>
    </r>
    <r>
      <rPr>
        <sz val="9"/>
        <color indexed="8"/>
        <rFont val="Constantia"/>
        <family val="1"/>
        <charset val="238"/>
      </rPr>
      <t>)</t>
    </r>
  </si>
  <si>
    <t>10. Zmena v príjmoch z titulu diskrečných opatrení a metodiky vykazovania národných účtov</t>
  </si>
  <si>
    <r>
      <t>11. Nominálny rast agregátu výdavkov očisteného o zmenu príjmov ((9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-10</t>
    </r>
    <r>
      <rPr>
        <vertAlign val="subscript"/>
        <sz val="9"/>
        <color indexed="8"/>
        <rFont val="Constantia"/>
        <family val="1"/>
        <charset val="238"/>
      </rPr>
      <t>t</t>
    </r>
    <r>
      <rPr>
        <sz val="9"/>
        <color indexed="8"/>
        <rFont val="Constantia"/>
        <family val="1"/>
        <charset val="238"/>
      </rPr>
      <t>)/8</t>
    </r>
    <r>
      <rPr>
        <vertAlign val="subscript"/>
        <sz val="9"/>
        <color indexed="8"/>
        <rFont val="Constantia"/>
        <family val="1"/>
        <charset val="238"/>
      </rPr>
      <t>t-1</t>
    </r>
    <r>
      <rPr>
        <sz val="9"/>
        <color indexed="8"/>
        <rFont val="Constantia"/>
        <family val="1"/>
        <charset val="238"/>
      </rPr>
      <t>)</t>
    </r>
  </si>
  <si>
    <t>12. Medziročná zmena deflátora HDP</t>
  </si>
  <si>
    <t>13. Reálny medziročný rast agregátu výdavkov očisteného o zmenu príjmov (11-12)</t>
  </si>
  <si>
    <t>14. Miera potenciálneho rastu HDP</t>
  </si>
  <si>
    <t>Zdroj: RRZ, Eurostat, MF SR</t>
  </si>
  <si>
    <t>15.vplyv odchýlky na saldo v danom roku (14t-13t)*8t-1/HDPt</t>
  </si>
  <si>
    <t>p.m. THFK celkové</t>
  </si>
  <si>
    <t>Tab 12: Výdavkové pravidlo (ESA2010, mil. eur)</t>
  </si>
  <si>
    <t xml:space="preserve">Fiškálny impulz </t>
  </si>
  <si>
    <t xml:space="preserve">Graf 37: Fiškálny impulz v rokoch 2016-2020 (% HDP) </t>
  </si>
  <si>
    <r>
      <t>Graf 38: Predpokladané čerpanie EÚ príjmov v rokoch 2017-2020</t>
    </r>
    <r>
      <rPr>
        <b/>
        <sz val="11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</si>
  <si>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 xml:space="preserve">EC </t>
  </si>
  <si>
    <t>MF SR - (sept2017,VpMP)</t>
  </si>
  <si>
    <t>NBS - P3Q2017</t>
  </si>
  <si>
    <t>SHPQ (sept2017,VpMP)</t>
  </si>
  <si>
    <t xml:space="preserve">MVKF (mvkf_1) </t>
  </si>
  <si>
    <t>PCA_f</t>
  </si>
  <si>
    <t>OG PS2017</t>
  </si>
  <si>
    <t>OG SR2017</t>
  </si>
  <si>
    <t>OG MTO dec2016</t>
  </si>
  <si>
    <t>BIS</t>
  </si>
  <si>
    <t>cyklická zložka</t>
  </si>
  <si>
    <t>DPPO</t>
  </si>
  <si>
    <t>DPFO</t>
  </si>
  <si>
    <t>Odvody</t>
  </si>
  <si>
    <t>Nepriame dane</t>
  </si>
  <si>
    <t>Dávky v nezamestnanosti</t>
  </si>
  <si>
    <t>Dôchodky</t>
  </si>
  <si>
    <t>príjmová cyklická zložka</t>
  </si>
  <si>
    <t>výdavková cyklická zložka</t>
  </si>
  <si>
    <t>Graf 42: Odhadnutá produkčná medzera a cyklická zložka RRZ v rokoch 1999-2020 (% pot. HDP)</t>
  </si>
  <si>
    <t>Graf 43: Rozklad cyklickej zložky RRZ v rokoch 1999-2020 (% pot. HDP)</t>
  </si>
  <si>
    <t xml:space="preserve">Graf 40: Použité odhady produkčnej medzery vo výslednom odhade RRZ (% pot. HDP) </t>
  </si>
  <si>
    <t>Graf 41: Vývoj odhadov produkčnej medzery  RRZ v čase (% pot. HDP)</t>
  </si>
  <si>
    <t>rok</t>
  </si>
  <si>
    <t>priemer</t>
  </si>
  <si>
    <t>Dopyt/stav objednávok</t>
  </si>
  <si>
    <t>Obmedzujúce faktory: nedostatok zamestnancov</t>
  </si>
  <si>
    <t>Využitie výrobných kapacít v %</t>
  </si>
  <si>
    <t>Podnikateľská situácia/podnikateľské aktivity</t>
  </si>
  <si>
    <t>World trade volume</t>
  </si>
  <si>
    <t>1Q97</t>
  </si>
  <si>
    <t xml:space="preserve">Graf 44: Použité vstupy do PCA analýzy </t>
  </si>
  <si>
    <t>Graf 47: Vybraný výsledok konjunkturálneho prieskumu v stavebníctve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</si>
  <si>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</si>
  <si>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</si>
  <si>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</si>
  <si>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</si>
  <si>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</si>
  <si>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</si>
  <si>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</si>
  <si>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</si>
  <si>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</si>
  <si>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</si>
  <si>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</si>
  <si>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</si>
  <si>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</si>
  <si>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</si>
  <si>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</si>
  <si>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</si>
  <si>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</si>
  <si>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 xml:space="preserve">Graf 46: Vybraný výsledok konjunkturálneho prieskumu v stavebníctve </t>
  </si>
  <si>
    <t>Graf 45: Vybraný výsledok konjunkturálneho prieskumu v obchode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</si>
  <si>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</si>
  <si>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</si>
  <si>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</si>
  <si>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</si>
  <si>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</si>
  <si>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</si>
  <si>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</si>
  <si>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</si>
  <si>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</si>
  <si>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</si>
  <si>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</si>
  <si>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</si>
  <si>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</si>
  <si>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</si>
  <si>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</si>
  <si>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</si>
  <si>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</si>
  <si>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Graf 48: Vybraný výsledok konjunkturálneho prieskumu v priemysle</t>
  </si>
  <si>
    <t>Graf 49: Vybraný výsledok konjunkturálneho prieskumu v priemysle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</si>
  <si>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</si>
  <si>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</si>
  <si>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</si>
  <si>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</si>
  <si>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</si>
  <si>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</si>
  <si>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</si>
  <si>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</si>
  <si>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</si>
  <si>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</si>
  <si>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</si>
  <si>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</si>
  <si>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</si>
  <si>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</si>
  <si>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</si>
  <si>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</si>
  <si>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</si>
  <si>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</si>
  <si>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</si>
  <si>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</si>
  <si>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</si>
  <si>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</si>
  <si>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</si>
  <si>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</si>
  <si>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</si>
  <si>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</si>
  <si>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</si>
  <si>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</si>
  <si>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</si>
  <si>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</si>
  <si>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</si>
  <si>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</si>
  <si>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</si>
  <si>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</si>
  <si>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</si>
  <si>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</si>
  <si>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</si>
  <si>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</si>
  <si>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</si>
  <si>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</si>
  <si>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</si>
  <si>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</si>
  <si>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</si>
  <si>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</si>
  <si>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</si>
  <si>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Graf 54: Hospodárenie obcí v rokoch 2008-2016 oproti rozpočtu (ESA95/2010, mil. eur)</t>
  </si>
  <si>
    <t>Graf 55: Hospodárenie obcí a verejnej správy v rokoch 2008-2016 (ESA95/2010, mil. eur)</t>
  </si>
  <si>
    <t>Tab 25: Odhad rizík v samosprávach (ESA2010, mil. eur)</t>
  </si>
  <si>
    <t>vysporiadanie zariadení cyklotrónového centra</t>
  </si>
  <si>
    <t>Tab 37: Jednorazové vplyvy v rokoch 2016-2020  (ESA2010, % HDP)</t>
  </si>
  <si>
    <r>
      <t>Tab 38: Bilancia príjmov a výdavkov verejnej správy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v mil. eur)</t>
    </r>
  </si>
  <si>
    <t>Tab 39: Bilancia príjmov a výdavkov verejnej správy (ESA2010, % HDP)</t>
  </si>
  <si>
    <r>
      <t>Tab 40: Hospodárenie subjektov verejnej správy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tis. eur)</t>
    </r>
  </si>
  <si>
    <t>DBP 2018 (VpMP)</t>
  </si>
  <si>
    <r>
      <t>Tab 36: Porovnanie skutočného vývoja položiek voči rozpočtu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mil. eur)</t>
    </r>
  </si>
  <si>
    <t>2. Saldo samospráv (a+b-c)</t>
  </si>
  <si>
    <t xml:space="preserve"> a) rozp. subjekty samospráv (RO, PO obce, RO, PO VÚC)</t>
  </si>
  <si>
    <t xml:space="preserve"> b) nerozp. subjekty samospráv (NOO, DP, nemocnice)</t>
  </si>
  <si>
    <t xml:space="preserve"> c) vplyv transferov na prenesený výkon kompetencií zo ŠR</t>
  </si>
  <si>
    <t>3. Saldo ostatných subjektov VS (1-2)</t>
  </si>
  <si>
    <t>Daňové príjmy a odvody (vrátane legislatívnych zmien)</t>
  </si>
  <si>
    <t>Vybrané nedaňové príjmy</t>
  </si>
  <si>
    <t xml:space="preserve"> - dividendy</t>
  </si>
  <si>
    <t xml:space="preserve"> - kapitálové príjmy (bez samospráv)</t>
  </si>
  <si>
    <t xml:space="preserve"> - administratívne poplatky štátneho rozpočtu (221)</t>
  </si>
  <si>
    <t xml:space="preserve"> - z odvodu z hazardných hier (štátny rozpočet)</t>
  </si>
  <si>
    <t xml:space="preserve"> - z predaja telekomunikačných licencií</t>
  </si>
  <si>
    <t>Korekcie k čerpaniu EU fondov</t>
  </si>
  <si>
    <t>Poskytovanie úverov z fondov EÚ (iba spolufin.)</t>
  </si>
  <si>
    <t>Vybrané výdavky (vplyv na saldo)</t>
  </si>
  <si>
    <t xml:space="preserve"> - spolufinancovanie zo ŠR</t>
  </si>
  <si>
    <t xml:space="preserve"> - GAP (bez SSC)</t>
  </si>
  <si>
    <t xml:space="preserve"> - odvody do rozpočtu EÚ</t>
  </si>
  <si>
    <t xml:space="preserve">        - úrokové náklady ŠR znížené o emisnú prémiu</t>
  </si>
  <si>
    <t>Hotovostné výdavky ŠR</t>
  </si>
  <si>
    <t xml:space="preserve"> - hrubé mzdy</t>
  </si>
  <si>
    <t xml:space="preserve"> - medzispotreba</t>
  </si>
  <si>
    <t xml:space="preserve"> - dotácie</t>
  </si>
  <si>
    <t xml:space="preserve">    - obstaranie kapitálových aktív</t>
  </si>
  <si>
    <t>Pohľadávky a záväzky ŠR (+ŠFA, MRÚ)</t>
  </si>
  <si>
    <t>Výdavky zdravotníctva</t>
  </si>
  <si>
    <t>Hospodárenie nemocníc</t>
  </si>
  <si>
    <t>Sociálna oblasť</t>
  </si>
  <si>
    <t>Saldo NDS</t>
  </si>
  <si>
    <t>Saldo ŽSR</t>
  </si>
  <si>
    <t>Saldo ŽSSK</t>
  </si>
  <si>
    <t>Vývoj ostatných príjmov a výdavkov</t>
  </si>
  <si>
    <t>4. Neočakávané vplyvy v rozpočte</t>
  </si>
  <si>
    <t>5. Ostatné rozpočtované položky (1-4)</t>
  </si>
  <si>
    <r>
      <t>A. Rozpočtované saldo</t>
    </r>
    <r>
      <rPr>
        <sz val="9"/>
        <color rgb="FF13B5EA"/>
        <rFont val="Constantia"/>
        <family val="1"/>
        <charset val="238"/>
      </rPr>
      <t>*</t>
    </r>
  </si>
  <si>
    <t>B. Hypotetické saldo, saldo upravené o neočakávané vplyvy (A+4)</t>
  </si>
  <si>
    <r>
      <t>C. Skutočné saldo</t>
    </r>
    <r>
      <rPr>
        <sz val="9"/>
        <color rgb="FF13B5EA"/>
        <rFont val="Constantia"/>
        <family val="1"/>
        <charset val="238"/>
      </rPr>
      <t>*</t>
    </r>
  </si>
  <si>
    <t>* V roku 2018 sa za rozpočtované saldo považuje saldo rozpočtu verejnej správy na roky 2017 až 2019 a za skutočné saldo návrh rozpočtu verejnej správy na roky 2018 až 2020.</t>
  </si>
  <si>
    <t>Zdroj: RRZ, ŠÚSR, MF SR</t>
  </si>
  <si>
    <t>Tab 41: Príjmy podľa odhadu RRZ (ESA2010, mil. eur)</t>
  </si>
  <si>
    <t>2015 S</t>
  </si>
  <si>
    <t>2016 S</t>
  </si>
  <si>
    <t>2017 O</t>
  </si>
  <si>
    <t>2018 O</t>
  </si>
  <si>
    <t>2019 O</t>
  </si>
  <si>
    <t>2020 O</t>
  </si>
  <si>
    <t>Celkové príjmy</t>
  </si>
  <si>
    <t xml:space="preserve"> - EÚ príjmy</t>
  </si>
  <si>
    <t xml:space="preserve"> - Poistné platené štátom + SP</t>
  </si>
  <si>
    <t xml:space="preserve"> - imputované poistné</t>
  </si>
  <si>
    <t>Upravené príjmy</t>
  </si>
  <si>
    <t>Dane z výroby a dovozov</t>
  </si>
  <si>
    <t xml:space="preserve"> - daň z pridanej hodnoty</t>
  </si>
  <si>
    <t xml:space="preserve"> - spotrebné dane</t>
  </si>
  <si>
    <t xml:space="preserve"> - daň z nehnuteľností 67/100</t>
  </si>
  <si>
    <t xml:space="preserve"> - daň z motorových vozidiel</t>
  </si>
  <si>
    <t xml:space="preserve"> - úhrada za služby verejnosti 15/100</t>
  </si>
  <si>
    <t xml:space="preserve"> - osobitný odvod vybraných fin.inštitúcií</t>
  </si>
  <si>
    <t xml:space="preserve"> - odvod z hazardných hier do štátneho rozpočtu</t>
  </si>
  <si>
    <t xml:space="preserve"> - dane za špecifické služby</t>
  </si>
  <si>
    <t xml:space="preserve"> - príjmy z emisných kvót</t>
  </si>
  <si>
    <t xml:space="preserve"> - príspevok do Fondu ochrany vkladov (FOV)</t>
  </si>
  <si>
    <t xml:space="preserve"> - príspevok do Národného rezolučného fondu</t>
  </si>
  <si>
    <t xml:space="preserve"> - príspevok do Agentúry pre núdzové zásoby ropy a ropné výrobky</t>
  </si>
  <si>
    <t xml:space="preserve"> - ostatné</t>
  </si>
  <si>
    <t>Bežné dane z príjmu, majetku, atď.</t>
  </si>
  <si>
    <t xml:space="preserve"> - daň z príjmov fyzických osôb</t>
  </si>
  <si>
    <t xml:space="preserve"> - daň z príjmov právnickej osoby</t>
  </si>
  <si>
    <t xml:space="preserve"> - daň z príjmov vyberaná zrážkou</t>
  </si>
  <si>
    <t xml:space="preserve"> - daň z nehnuteľností 33/100</t>
  </si>
  <si>
    <t xml:space="preserve"> - úhrada za služby verejnosti 85/100</t>
  </si>
  <si>
    <t xml:space="preserve"> - osobitný odvod z podnikania v reg. odvetviach</t>
  </si>
  <si>
    <t>Kapitálové dane</t>
  </si>
  <si>
    <t>Sociálne príspevky</t>
  </si>
  <si>
    <t xml:space="preserve"> - Sociálne poistenie EAO + dlžné </t>
  </si>
  <si>
    <t xml:space="preserve"> - Zdravotné poistenie EAO + dlžné</t>
  </si>
  <si>
    <t xml:space="preserve"> - ozbrojené zložky</t>
  </si>
  <si>
    <t>Príjmy z majetku</t>
  </si>
  <si>
    <t xml:space="preserve"> - úroky</t>
  </si>
  <si>
    <t xml:space="preserve"> - NDS, ŽSR, ŽSSK</t>
  </si>
  <si>
    <t xml:space="preserve"> - nemocnice</t>
  </si>
  <si>
    <t>Bežné a kapitálové transfery</t>
  </si>
  <si>
    <t>Zdroj: ŠÚ SR, MF SR, RRZ</t>
  </si>
  <si>
    <t>Tab 42: Výdavky podľa odhadu RRZ (ESA2010, mil. eur)</t>
  </si>
  <si>
    <t>Celkové výdavky</t>
  </si>
  <si>
    <t xml:space="preserve"> - EÚ výdavky</t>
  </si>
  <si>
    <t xml:space="preserve"> - Spolufinancovanie</t>
  </si>
  <si>
    <t xml:space="preserve"> - Platené úroky</t>
  </si>
  <si>
    <t xml:space="preserve"> - Imputované poistné (kompenzácie)</t>
  </si>
  <si>
    <t xml:space="preserve"> - Odvody do rozpočtu EÚ</t>
  </si>
  <si>
    <t>Upravené výdavky</t>
  </si>
  <si>
    <t>Prevádzkové</t>
  </si>
  <si>
    <t>Dané legislatívou</t>
  </si>
  <si>
    <t>Sociálne transfery</t>
  </si>
  <si>
    <t>Aktívne opatrenia trhu práce</t>
  </si>
  <si>
    <t>Nemocenské dávky</t>
  </si>
  <si>
    <t>Dôchodkové dávky zo starobného a invalidného poistenia</t>
  </si>
  <si>
    <t>Štátne sociálne dávky a podpora</t>
  </si>
  <si>
    <t>Dôchodkový systém ozbrojených zložiek</t>
  </si>
  <si>
    <t>Daňový bonus a zamestnanecká prémia</t>
  </si>
  <si>
    <t>Imputované sociálne transfery</t>
  </si>
  <si>
    <t>2% z daní na verejnoprospešný účel</t>
  </si>
  <si>
    <t>Príspevok do Fondu ochrany vkladov</t>
  </si>
  <si>
    <t>Príspevok do Národného rezolučného fondu</t>
  </si>
  <si>
    <t>Ostatné bežné</t>
  </si>
  <si>
    <t>Ostatné sociálne transfery</t>
  </si>
  <si>
    <t>Naturálne sociálne transfery</t>
  </si>
  <si>
    <t>Kapitálové transfery a ostatné</t>
  </si>
  <si>
    <t>Saldo VS</t>
  </si>
  <si>
    <t>Zdroj: ŠÚSR, MF SR, RRZ</t>
  </si>
  <si>
    <t>Graf 28: Vplyv neočakávaných vplyvov a ostatných položiek na saldo rozpočtu (% HDP, ESA2010)</t>
  </si>
  <si>
    <t xml:space="preserve">Neočakávané vplyvy </t>
  </si>
  <si>
    <t>Ostatné položky</t>
  </si>
  <si>
    <t>Zmena salda VS</t>
  </si>
  <si>
    <t>Zdroj: ŠÚSR, MF SR, RRZ prepočty</t>
  </si>
  <si>
    <t>Graf 29: Potenciálne saldo rozpočtu po zohľadnení nerozpočtovaných vplyvov (% HDP, ESA2010)</t>
  </si>
  <si>
    <t>Saldo po zohľadnení neočakávaných vplyvov</t>
  </si>
  <si>
    <t>Skutočné saldo</t>
  </si>
  <si>
    <t>Rozpočtované saldo</t>
  </si>
  <si>
    <t>Graf 20: Historické odchýlky prognóz VpDP(%)</t>
  </si>
  <si>
    <t>prognóza VpDP (ESA2010, mil. eur)</t>
  </si>
  <si>
    <t>skutočnosť (ESA2010, mil. eur)</t>
  </si>
  <si>
    <t>odchýlka prognózy (%)</t>
  </si>
  <si>
    <t>produkčná medzera (%)</t>
  </si>
  <si>
    <t>Graf 21: 2 percentná odchýlka prognózy 2018 až 2020 a jej pokrytie rezervou</t>
  </si>
  <si>
    <t>prognóza daňových príjmov verejnej správy (ESA2010, mil. eur) - VpDP sept 2017</t>
  </si>
  <si>
    <t>HDP (mil. Eur) - VpMP sept. 2017</t>
  </si>
  <si>
    <t>2% odchýlka prognózy (mil. Eur)</t>
  </si>
  <si>
    <t>2% odchýlka prognózy (% HDP)</t>
  </si>
  <si>
    <t>rezerva na zhoršenie daňových a nedaňových príjmov (mil. eur)</t>
  </si>
  <si>
    <t>rezerva na zhoršenie daňových a nedaňových príjmov (% HDP)</t>
  </si>
  <si>
    <t>nekrytá neistota (mil. Eur)</t>
  </si>
  <si>
    <t>nekrytá neistota (% HDP)</t>
  </si>
  <si>
    <t>fiškálny rámec (ciele)</t>
  </si>
  <si>
    <t>NRVS 2018 - 2020</t>
  </si>
  <si>
    <t>NPC - 2017</t>
  </si>
  <si>
    <t>GAP (% HDP)</t>
  </si>
  <si>
    <t>Graf 39: Ukazovateľ dlhodobej udržateľnosti v prípade naplnenia rozpočtu resp. dosiahnutia cieľov fiškálneho rámca</t>
  </si>
  <si>
    <t xml:space="preserve">Zoznam tabuliek a grafov použitých v materiáli: </t>
  </si>
  <si>
    <t>Tab 6: Riziká v rokoch 2017 až 2020 (ESA2010, mil. eur)</t>
  </si>
  <si>
    <t>Riziká spolu:</t>
  </si>
  <si>
    <t xml:space="preserve"> - v % HDP</t>
  </si>
  <si>
    <t>1. Nadhodnotenie nedaňových príjmov:</t>
  </si>
  <si>
    <t xml:space="preserve"> - príjmy z dividend (SPP, VSE)</t>
  </si>
  <si>
    <t xml:space="preserve"> - príjmy z predaja majetku ŠR</t>
  </si>
  <si>
    <t xml:space="preserve"> - príjmy z predaja emisných povoleniek</t>
  </si>
  <si>
    <t xml:space="preserve"> - zvýšenie príjmov Agentúry pre núdzové zásoby ropy</t>
  </si>
  <si>
    <t>2. Korekcie voči fondom EÚ</t>
  </si>
  <si>
    <t>3. Podhodnotenie výdavkov štátneho rozpočtu</t>
  </si>
  <si>
    <t xml:space="preserve"> - mzdové výdavky ŠR (vrátane školstva)</t>
  </si>
  <si>
    <t xml:space="preserve"> - sociálny balíček</t>
  </si>
  <si>
    <t xml:space="preserve"> - vianočný príspevok</t>
  </si>
  <si>
    <t xml:space="preserve"> - príprava cestnej infraštruktúry - strategický park Nitra</t>
  </si>
  <si>
    <t xml:space="preserve"> - investičná pomoc pre JLR</t>
  </si>
  <si>
    <t xml:space="preserve"> - ostatné kapitálové výdavky</t>
  </si>
  <si>
    <t>4. Podhodnotenie výdavkov v zdravotníctve</t>
  </si>
  <si>
    <t xml:space="preserve"> - výdavky na zdravotnú starostlivosť a hospodárenie nemocníc</t>
  </si>
  <si>
    <t xml:space="preserve"> - splátky záväzkov voči akcionárom súkromných zdravotných poisťovní</t>
  </si>
  <si>
    <t>5. Vplyv vyšších výdavkov samospráv</t>
  </si>
  <si>
    <t>6. Podhodnotenie výdavkov ostatných subjektov VS</t>
  </si>
  <si>
    <t xml:space="preserve"> - výdavky správneho fondu Sociálnej poisťovne</t>
  </si>
  <si>
    <t xml:space="preserve"> - výdavky na dávky v nezamestnanosti</t>
  </si>
  <si>
    <t xml:space="preserve"> - výdavky ŽSSK (tovary a služby)</t>
  </si>
  <si>
    <t xml:space="preserve"> - výdavky Agentúry pre núdzové zásoby ropy</t>
  </si>
  <si>
    <t>7. Daňové príjmy</t>
  </si>
  <si>
    <t>8. Vysporiadanie zariadení cyklotrónového centra</t>
  </si>
  <si>
    <t>9. Príjmové opatrenia bez legislatívnej podoby</t>
  </si>
  <si>
    <t>bez kvantifikácie</t>
  </si>
  <si>
    <t>10. Výdavky v rezorte obrany podliehajúce utajeniu</t>
  </si>
  <si>
    <t>11. Rekapitalizácia dlhodobo stratových štátnych podnikov</t>
  </si>
  <si>
    <t>Pozn.: znamienka vyjadrujú vplyv na saldo VS</t>
  </si>
  <si>
    <t>* Ide o riziká voči odhadu vlády na rok 2017.</t>
  </si>
  <si>
    <t>Tab 7: Zdroje krytia rizík v rokoch 2017 až 2020 (ESA2010, mil. eur)</t>
  </si>
  <si>
    <t>2017*</t>
  </si>
  <si>
    <t>Zdroje krytia rizík:</t>
  </si>
  <si>
    <t>1. Úspora na spolufinancovaní</t>
  </si>
  <si>
    <t>2. Úspory na sociálnych dávkach</t>
  </si>
  <si>
    <t>3. Krytie rizík z rezerv:</t>
  </si>
  <si>
    <t xml:space="preserve"> - rezerva na riešenie vplyvov nových zákonných úprav</t>
  </si>
  <si>
    <t xml:space="preserve"> - rezerva na mzdy a poistné</t>
  </si>
  <si>
    <t xml:space="preserve"> - rezerva na prostriedky EÚ a odvody EÚ</t>
  </si>
  <si>
    <t xml:space="preserve"> - rezerva na významné investície</t>
  </si>
  <si>
    <t xml:space="preserve"> - rezerva na rok 2017</t>
  </si>
  <si>
    <t xml:space="preserve"> - rezerva na zhoršenie daňových a nedaňových príjmov</t>
  </si>
  <si>
    <t>4. Úspora na odvode do rozpočtu EÚ</t>
  </si>
  <si>
    <t>5. Vplyv oddlženia v sektore zdravotníctva</t>
  </si>
  <si>
    <t xml:space="preserve">* Ide o zdroje krytia rizík voči odhadu vlády na rok 2017 </t>
  </si>
  <si>
    <t>Tab 8: Riziká spojené s dosiahnutím rozpočtových cieľov (ESA2010, mil. eur)</t>
  </si>
  <si>
    <r>
      <t>1. Rozpočtové ciele</t>
    </r>
    <r>
      <rPr>
        <sz val="9"/>
        <color rgb="FF13B5EA"/>
        <rFont val="Constantia"/>
        <family val="1"/>
        <charset val="238"/>
      </rPr>
      <t>*</t>
    </r>
  </si>
  <si>
    <t>2. Fiškálny rámec NRVS 2018-2020</t>
  </si>
  <si>
    <t>3. Veľkosť kvantifikovaných rizík</t>
  </si>
  <si>
    <t>4. Veľkosť možných zdrojov krytia rizík</t>
  </si>
  <si>
    <t>5. Saldo VS po zohľadnení rizík RRZ (2+3+4)</t>
  </si>
  <si>
    <r>
      <t>6. Potreba dodatočných opatrení (2-5)</t>
    </r>
    <r>
      <rPr>
        <sz val="9"/>
        <color rgb="FF13B5EA"/>
        <rFont val="Constantia"/>
        <family val="1"/>
        <charset val="238"/>
      </rPr>
      <t>**</t>
    </r>
  </si>
  <si>
    <t>* V roku 2017 ide o cieľ schválený v Rozpočte verejnej správy na roky 2017 až 2019.</t>
  </si>
  <si>
    <t>** Po zohľadnení vplyvu revízie HDP na prognózu.</t>
  </si>
  <si>
    <t>HDP - VpMP</t>
  </si>
  <si>
    <t>HDP - revidované</t>
  </si>
  <si>
    <t>Tab 9: Predpoklady vývoja hrubého dlhu verejnej správy (mil. eur)</t>
  </si>
  <si>
    <t>1. Prognóza hrubého dlhu VS</t>
  </si>
  <si>
    <t>2. Dodatočná zmena dlhu:</t>
  </si>
  <si>
    <t xml:space="preserve"> - chýbajúce opatrenia (podľa vlády) na splnenie cieľov</t>
  </si>
  <si>
    <t xml:space="preserve"> - úprava prognózy o nezrovnalosti</t>
  </si>
  <si>
    <r>
      <t xml:space="preserve"> - riziká a zdroje ich krytia s vplyvom na saldo VS</t>
    </r>
    <r>
      <rPr>
        <sz val="9"/>
        <color rgb="FF13B5EA"/>
        <rFont val="Constantia"/>
        <family val="1"/>
        <charset val="238"/>
      </rPr>
      <t>*</t>
    </r>
  </si>
  <si>
    <t xml:space="preserve"> - oddlžovanie v zdravotníctve</t>
  </si>
  <si>
    <t xml:space="preserve"> - dodatočné hotovostné úrokové náklady</t>
  </si>
  <si>
    <t xml:space="preserve">3. Hrubý dlh VS po zohľadnení rizík </t>
  </si>
  <si>
    <t xml:space="preserve"> - vplyv revízie HDP (p.b.)</t>
  </si>
  <si>
    <t xml:space="preserve"> - hrubý dlh v % HDP po zohľadnení rizík</t>
  </si>
  <si>
    <t>p.m. Výnos 10-ročného štátneho dlhopisu (VpMP, sep. 2017)</t>
  </si>
  <si>
    <t>* Na účely odhadu vplyvu na hrubý dlh sa zohľadnili hotovostné vplyvy rizík (nebrali sa do úvahy akrualizačné položky príjmov z predaja emisných kvót a zohľadnili sa príjmy z dividend z mimoriadneho zisku).</t>
  </si>
  <si>
    <t>Revidované HDP</t>
  </si>
  <si>
    <t>Tab 10: Veľkosť opatrení v návrhu rozpočtu (% HDP)</t>
  </si>
  <si>
    <t>1. NPC saldo VS</t>
  </si>
  <si>
    <t>2. Návrh rozpočtu VS</t>
  </si>
  <si>
    <t>3. Veľkosť opatrení (2-1)</t>
  </si>
  <si>
    <t xml:space="preserve">    - z toho: riziká identifikované RRZ</t>
  </si>
  <si>
    <t>Pozn.: v roku 2017 ide o porovnanie odhadu RRZ s odhadom vlády, odhad roku 2017 bol východiskom zostavenia NPC sccenára.                                                                                        Zdroj: RRZ, MF SR</t>
  </si>
  <si>
    <t>Tab 18: Prehľad rizík a rezerv rozpočtu na rok 2017 (mil. eur)</t>
  </si>
  <si>
    <t>Riziká rozpočtu s vplyvom na saldo</t>
  </si>
  <si>
    <t>December 2016</t>
  </si>
  <si>
    <t>Máj 2017</t>
  </si>
  <si>
    <t>November 2017</t>
  </si>
  <si>
    <t>Suma rizík:</t>
  </si>
  <si>
    <t xml:space="preserve"> - príjmy z predaja emisných kvót</t>
  </si>
  <si>
    <t xml:space="preserve"> - príjmy Agentúry pre núdzové zásoby ropy</t>
  </si>
  <si>
    <t xml:space="preserve"> - príjmy z administratívnych poplatkov</t>
  </si>
  <si>
    <t xml:space="preserve"> - zvýšenie platov v štátnej správe a školstve</t>
  </si>
  <si>
    <t xml:space="preserve"> - výdavky na tovary a služby</t>
  </si>
  <si>
    <t xml:space="preserve"> - ostatné bežné výdavky</t>
  </si>
  <si>
    <t xml:space="preserve"> - kapitálové výdavky (vrátane rezervy na významné investície)</t>
  </si>
  <si>
    <t>9. Vplyv čerpania EÚ fondov na saldo subjektov mimo štátneho rozpočtu</t>
  </si>
  <si>
    <t>12. Posun rekonštrukcie Slovenskej národnej galérie</t>
  </si>
  <si>
    <t>Krytie rizík</t>
  </si>
  <si>
    <t>Suma zdrojov krytia rizík:</t>
  </si>
  <si>
    <t>2. Krytie rizík z rezerv</t>
  </si>
  <si>
    <t>3. Úspory na sociálnych dávkach</t>
  </si>
  <si>
    <t>4. Úspory na odvode do rozpočtu EÚ</t>
  </si>
  <si>
    <t>5. Úspora na úrokových nákladoch</t>
  </si>
  <si>
    <t>Zdroj: RRZ, MF SR</t>
  </si>
  <si>
    <r>
      <t>Tab 19: Dividendy v rokoch 2017 až 2020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mil. eur)</t>
    </r>
  </si>
  <si>
    <t>2018 N</t>
  </si>
  <si>
    <t>2019 N</t>
  </si>
  <si>
    <t>2020 N</t>
  </si>
  <si>
    <t>RVS </t>
  </si>
  <si>
    <t>RRZ </t>
  </si>
  <si>
    <t>Slovenský plynárenský priemysel, a.s.</t>
  </si>
  <si>
    <t>Príjmy z dividend:</t>
  </si>
  <si>
    <t xml:space="preserve">    - riadne dividendy</t>
  </si>
  <si>
    <t xml:space="preserve">    - mimoriadne dividendy</t>
  </si>
  <si>
    <r>
      <t>Východoslovenská energetika Holding, a.s.</t>
    </r>
    <r>
      <rPr>
        <b/>
        <sz val="9"/>
        <color theme="1"/>
        <rFont val="Constantia"/>
        <family val="1"/>
        <charset val="238"/>
      </rPr>
      <t> </t>
    </r>
  </si>
  <si>
    <t>Suma riadnych dividend podľa ESA2010</t>
  </si>
  <si>
    <t>Riziko voči návrhu rozpočtu (RRZ-RVS)</t>
  </si>
  <si>
    <t>O – odhad, N – návrh rozpočtu</t>
  </si>
  <si>
    <t>Tab 20: Odhad príjmov z emisných kvót v rokoch 2017 až 2020</t>
  </si>
  <si>
    <t>Rok</t>
  </si>
  <si>
    <t>Pridelené kvóty</t>
  </si>
  <si>
    <t>Aukcionované kvóty</t>
  </si>
  <si>
    <t>Spotrebované kvóty</t>
  </si>
  <si>
    <t>Priem. cena aukcií</t>
  </si>
  <si>
    <t>Priem. cena spotrebovaných kvót</t>
  </si>
  <si>
    <t>Ročný daňový príjem</t>
  </si>
  <si>
    <t>Stav pohľadávok/záväzkov</t>
  </si>
  <si>
    <t>Stav aktívnych kvót</t>
  </si>
  <si>
    <t>k 1.1.</t>
  </si>
  <si>
    <t>k 31.12.</t>
  </si>
  <si>
    <t>mil. jedn.</t>
  </si>
  <si>
    <t>mil. eur</t>
  </si>
  <si>
    <t>eur/t CO2</t>
  </si>
  <si>
    <t>3=2*8</t>
  </si>
  <si>
    <t>5=4*8</t>
  </si>
  <si>
    <t>7=6*8</t>
  </si>
  <si>
    <t>9=11/13</t>
  </si>
  <si>
    <t>10=6*9</t>
  </si>
  <si>
    <t>12=11+5-10</t>
  </si>
  <si>
    <t>14=13+2+4-6</t>
  </si>
  <si>
    <t>Zdroj: RRZ, ŠÚ SR</t>
  </si>
  <si>
    <t>Tab 21: Odhad rizika z príjmov z emisných kvót v porovnaní s návrhom rozpočtu (mil. eur)</t>
  </si>
  <si>
    <t>1. Návrh rozpočtu verejnej správy na roky 2017 až 2020</t>
  </si>
  <si>
    <t>2. Odhad RRZ</t>
  </si>
  <si>
    <t>3. Rozdiel (riziko výpadku príjmov)</t>
  </si>
  <si>
    <t>Tab 22: Vývoj výdavkov na zdravotnú starostlivosť a hospodárenie nemocníc (mil. eur)</t>
  </si>
  <si>
    <t>Výdavky zdravotného poistenia</t>
  </si>
  <si>
    <t>Zmena výdavkov zdravotného poistenia (%)</t>
  </si>
  <si>
    <r>
      <t>Hospodárenie nemocníc</t>
    </r>
    <r>
      <rPr>
        <sz val="9"/>
        <color rgb="FF13B5EA"/>
        <rFont val="Constantia"/>
        <family val="1"/>
        <charset val="238"/>
      </rPr>
      <t>*</t>
    </r>
  </si>
  <si>
    <t>* v roku 2011 bez oddlženia vo výške 350 mil. eur</t>
  </si>
  <si>
    <t>Zdroj: MF SR, ŠÚ SR</t>
  </si>
  <si>
    <r>
      <t>Tab 23: Vývoj nerozdelených ziskov súkromných zdravotných poisťovní</t>
    </r>
    <r>
      <rPr>
        <b/>
        <sz val="10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</si>
  <si>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2009</t>
  </si>
  <si>
    <t>2010</t>
  </si>
  <si>
    <t>2011</t>
  </si>
  <si>
    <t>2012</t>
  </si>
  <si>
    <t>2013</t>
  </si>
  <si>
    <t>2014</t>
  </si>
  <si>
    <t>2015</t>
  </si>
  <si>
    <t>2016</t>
  </si>
  <si>
    <t>Zdravotná poisťovňa Dôvera</t>
  </si>
  <si>
    <t>Záväzky voči akcionárom a nerozdelený zisk k 1.1.</t>
  </si>
  <si>
    <t>Vyplatenie nerozdeleného zisku</t>
  </si>
  <si>
    <t>Vytvorený zisk/strata</t>
  </si>
  <si>
    <t>Splátky záväzkov voči akcionárom z úverov</t>
  </si>
  <si>
    <r>
      <t>Splátky záväzkov voči akcionárom formou dividend</t>
    </r>
    <r>
      <rPr>
        <sz val="9"/>
        <color rgb="FF13B5EA"/>
        <rFont val="Constantia"/>
        <family val="1"/>
      </rPr>
      <t>*</t>
    </r>
  </si>
  <si>
    <r>
      <t>Zníženie rezervného fondu</t>
    </r>
    <r>
      <rPr>
        <sz val="9"/>
        <color rgb="FF13B5EA"/>
        <rFont val="Constantia"/>
        <family val="1"/>
      </rPr>
      <t>*</t>
    </r>
  </si>
  <si>
    <t>Ostatné zmeny</t>
  </si>
  <si>
    <t>Záväzky voči akcionárom a nerozdelený zisk k 31.12.</t>
  </si>
  <si>
    <r>
      <t xml:space="preserve"> - splátky úverov</t>
    </r>
    <r>
      <rPr>
        <sz val="9"/>
        <color rgb="FF13B5EA"/>
        <rFont val="Constantia"/>
        <family val="1"/>
        <charset val="238"/>
      </rPr>
      <t>*</t>
    </r>
  </si>
  <si>
    <t>Zdravotná poisťovňa Union</t>
  </si>
  <si>
    <r>
      <t>Nerozdelený zisk/strata k 1.1.</t>
    </r>
    <r>
      <rPr>
        <b/>
        <sz val="9"/>
        <color rgb="FF13B5EA"/>
        <rFont val="Constantia"/>
        <family val="1"/>
      </rPr>
      <t>**</t>
    </r>
  </si>
  <si>
    <t>Úhrada nerozdeleného zisku zo základného imania</t>
  </si>
  <si>
    <r>
      <t>Úhrada dividendy akcionárom</t>
    </r>
    <r>
      <rPr>
        <sz val="9"/>
        <color rgb="FF13B5EA"/>
        <rFont val="Constantia"/>
        <family val="1"/>
      </rPr>
      <t>*</t>
    </r>
  </si>
  <si>
    <t>Zvýšenie zákonného rezervného fondu zo zisku</t>
  </si>
  <si>
    <r>
      <t>Nerozdelený zisk/strata k 31.12.</t>
    </r>
    <r>
      <rPr>
        <b/>
        <sz val="9"/>
        <color rgb="FF13B5EA"/>
        <rFont val="Constantia"/>
        <family val="1"/>
      </rPr>
      <t>**</t>
    </r>
  </si>
  <si>
    <t>* vplyv na saldo VS</t>
  </si>
  <si>
    <t>Zdroj: ÚDZS, výročné správy ZP Dôvera, výročné správy ZP Union</t>
  </si>
  <si>
    <t>** vlastné imanie znížené o základné imanie a zákonný rezervný fond</t>
  </si>
  <si>
    <t>Tab 24: Odhad rizika voči návrhu rozpočtu (mil. eur)</t>
  </si>
  <si>
    <t>Návrh rozpočtu verejnej správy na roky 2018 až 2020</t>
  </si>
  <si>
    <t>Rozpočtované rezervy</t>
  </si>
  <si>
    <t>Splátky nerozdeleného zisku</t>
  </si>
  <si>
    <t>Odhad RRZ</t>
  </si>
  <si>
    <r>
      <t>Vplyv novely 363/2011</t>
    </r>
    <r>
      <rPr>
        <sz val="9"/>
        <color rgb="FF13B5EA"/>
        <rFont val="Constantia"/>
        <family val="1"/>
        <charset val="238"/>
      </rPr>
      <t>**</t>
    </r>
  </si>
  <si>
    <t>Rozdiely (riziká):</t>
  </si>
  <si>
    <t xml:space="preserve"> - výdavky ZP a hospodárenie</t>
  </si>
  <si>
    <t xml:space="preserve"> - nerozdelený zisk</t>
  </si>
  <si>
    <t>Zdroje krytia (rezerva)</t>
  </si>
  <si>
    <t>* Rozpočet na rok 2017 uvažoval s výdavkami zdravotného poistenia vo výške 4 234 mil. eur, splátkami nerozdeleného zisku vo výške 23 mil. eur a deficitom nemocníc rátane rezerv vo výške 75 mil. eur. Riziko voči rozpočtu predstavuje 173 mil. eur.</t>
  </si>
  <si>
    <t>** Ide o zákon o rozsahu a podmienkach úhrady liekov, zdravotníckych pomôcok a dietetických potravín na základe verejného zdravotného poistenia.</t>
  </si>
  <si>
    <t>Tab 26: Riziká v mzdových výdavkoch štátneho rozpočtu (mil. eur)</t>
  </si>
  <si>
    <t>1. Štátny rozpočet - návrh rozpočtu (bez rezerv, bez školstva)</t>
  </si>
  <si>
    <t>2. Štátny rozpočet - odhad RRZ (vrátane školstva)</t>
  </si>
  <si>
    <t>3. Veľkosť rizík - vplyv na saldo (2-1)</t>
  </si>
  <si>
    <t>Tab 27: Riziká vo výdavkoch štátneho rozpočtu na tovary a služby (mil. eur)</t>
  </si>
  <si>
    <t>1. Návrh rozpočtu (bez výdavkov na rezervy)</t>
  </si>
  <si>
    <t>prognózovaná miera inflácie (%)</t>
  </si>
  <si>
    <t>Zdroj: MF SR, RRZ, ŠÚ SR</t>
  </si>
  <si>
    <t>Ide o výdavky štátneho rozpočtu a mimorozpočtových účtov na položke ekonomickej klasifikácie 630 bez rozpočtovaných rezerv, výdavkov financovaných z EÚ fondov a spolufinancovania.</t>
  </si>
  <si>
    <t>Tab 28: Odhad rizika pri kapitálových výdavkoch štátneho rozpočtu (mil. eur, bez obrany*)</t>
  </si>
  <si>
    <t>1. Návrh rozpočtu</t>
  </si>
  <si>
    <t>3. Veľkosť rizík (1-2)</t>
  </si>
  <si>
    <t>* klasifikácia COFOG 02</t>
  </si>
  <si>
    <t>Tab 29: Prehľad zmien v porovnaní s odhadom MF SR na rok 2017</t>
  </si>
  <si>
    <t>položka ESA</t>
  </si>
  <si>
    <t>riziká</t>
  </si>
  <si>
    <t>metodika</t>
  </si>
  <si>
    <t>spolu</t>
  </si>
  <si>
    <t>(% HDP)</t>
  </si>
  <si>
    <t>Príjmy VS</t>
  </si>
  <si>
    <t>D.2 R, D.5 R, D.91 R, D.6 R</t>
  </si>
  <si>
    <t>P.11+P.12+P.131</t>
  </si>
  <si>
    <t>D.4 R</t>
  </si>
  <si>
    <t>D.7 R</t>
  </si>
  <si>
    <t>Výdavky VS</t>
  </si>
  <si>
    <t>D.1 P</t>
  </si>
  <si>
    <t>P.2</t>
  </si>
  <si>
    <t>Sociálne platby</t>
  </si>
  <si>
    <t>D.62 P</t>
  </si>
  <si>
    <t>Dotácie</t>
  </si>
  <si>
    <t>D.3 P</t>
  </si>
  <si>
    <t xml:space="preserve">Úrokové výdavky </t>
  </si>
  <si>
    <t>D.41 P</t>
  </si>
  <si>
    <t>D.7 P, D.29 P, D.51 P, NP</t>
  </si>
  <si>
    <t xml:space="preserve">Tvorba hrubého fixného kapitálu </t>
  </si>
  <si>
    <t>P.51 G</t>
  </si>
  <si>
    <t>D.9 P</t>
  </si>
  <si>
    <t>Tab 30: Zoznam jednorazových vplyvov v NPC scenári (mil. eur)</t>
  </si>
  <si>
    <t>ESA</t>
  </si>
  <si>
    <t>Výdavky spojené s predsedníctvom</t>
  </si>
  <si>
    <t>D.1 PAY</t>
  </si>
  <si>
    <t>Poistné platené štátom na zdravotné poistenie</t>
  </si>
  <si>
    <t>D.6 REC</t>
  </si>
  <si>
    <t>D.62 PAY</t>
  </si>
  <si>
    <t>Imputácia DPH z PPP projektu</t>
  </si>
  <si>
    <t>D.9 PAY</t>
  </si>
  <si>
    <t>Cyklotrónové centrum</t>
  </si>
  <si>
    <t>Spolu</t>
  </si>
  <si>
    <t>Tab 30: Zoznam jednorazových vplyvov v NPC scenári (% HDP)</t>
  </si>
  <si>
    <t>Výdavky spojené s predsedníctvom SR v EÚ</t>
  </si>
  <si>
    <t>Spolu (vplyv na saldo VS)</t>
  </si>
  <si>
    <t>Tab 31: Predpoklady čerpania fondov EÚ v NPC scenári RRZ (% HDP)</t>
  </si>
  <si>
    <t>Rozdelenie podľa fondov a programových období</t>
  </si>
  <si>
    <t xml:space="preserve"> - štrukturálne fondy a Kohézny fond</t>
  </si>
  <si>
    <t xml:space="preserve"> - poľnohospodárske fondy</t>
  </si>
  <si>
    <t>Rozdelenie podľa konečného príjemcu</t>
  </si>
  <si>
    <t xml:space="preserve"> - verejná správa</t>
  </si>
  <si>
    <t xml:space="preserve"> - subjekty mimo verejnej správy</t>
  </si>
  <si>
    <t>Výdavky na spolufinancovanie</t>
  </si>
  <si>
    <t>Tab 32: Porovnanie NPC scenára vývoja verejných financií (mil. eur)</t>
  </si>
  <si>
    <t>2017 O (upr.)*</t>
  </si>
  <si>
    <t>2018 NPC</t>
  </si>
  <si>
    <t>2019 NPC</t>
  </si>
  <si>
    <t>2020 NPC</t>
  </si>
  <si>
    <t>Rozdiel**</t>
  </si>
  <si>
    <t>2018 NRVS</t>
  </si>
  <si>
    <t>Príjmy z EÚ fondov</t>
  </si>
  <si>
    <t>Ostatné prijaté transfery</t>
  </si>
  <si>
    <t>Sociálne platby (bez výdavkov na zdravotníctvo)</t>
  </si>
  <si>
    <t>Výdavky na zdravotníctvo</t>
  </si>
  <si>
    <t>Bežné transfery a ostatné výdavky</t>
  </si>
  <si>
    <t>Primárne saldo VS</t>
  </si>
  <si>
    <t>Hrubý dlh VS</t>
  </si>
  <si>
    <t>Tab 32: Porovnanie NPC scenára vývoja verejných financií RRZ (% HDP)</t>
  </si>
  <si>
    <t>Bežné dane z príjmu, majetku</t>
  </si>
  <si>
    <t>Sociálne platby (bez výd. na zdravot.)</t>
  </si>
  <si>
    <t>* upravené o jednorazové vplyvy</t>
  </si>
  <si>
    <t xml:space="preserve">** rozdiely voči návrhu rozpočtu sú očistené o nerozpočtované položky </t>
  </si>
  <si>
    <t>Tab 33: Príspevky k medziročnej zmene salda v NPC scenári (perc. body)</t>
  </si>
  <si>
    <t>kumulatívne</t>
  </si>
  <si>
    <t>Medziročná zmena salda v NPC scenári</t>
  </si>
  <si>
    <t>Nedaňové príjmy</t>
  </si>
  <si>
    <t>Prev. výdavky</t>
  </si>
  <si>
    <t>Dotácie a ost. transfery</t>
  </si>
  <si>
    <t xml:space="preserve">Úroky </t>
  </si>
  <si>
    <t>Ostatné</t>
  </si>
  <si>
    <t>Saldo VS v NPC scenári</t>
  </si>
  <si>
    <t>Tab 34: Zmeny v hotovosti bez vplyvu na čisté bohatstvo (mil. eur)</t>
  </si>
  <si>
    <t>1. Jednorazové hotovostné vplyvy na saldo VS</t>
  </si>
  <si>
    <t xml:space="preserve"> - zvýšenie nezdaniteľnej časti základu dane DPFO</t>
  </si>
  <si>
    <t xml:space="preserve"> - príjmy Sociálnej poisťovne z oddlženia zdravotníctva </t>
  </si>
  <si>
    <t xml:space="preserve"> - príjmy z predaja telekomunikačných licencií</t>
  </si>
  <si>
    <t xml:space="preserve"> - náklady spojené so suchom/povodňami</t>
  </si>
  <si>
    <t xml:space="preserve"> - mimoriadny odvod v bankovom sektore</t>
  </si>
  <si>
    <t xml:space="preserve"> - dividendy nad rámec zisku z riadnej činnosti</t>
  </si>
  <si>
    <t xml:space="preserve"> - doplatok dôchodkov ozbrojeným zložkám</t>
  </si>
  <si>
    <t xml:space="preserve"> - pokuta Protimonopolného úradu SR</t>
  </si>
  <si>
    <t xml:space="preserve"> - prepočet odvodu do rozpočtu EÚ</t>
  </si>
  <si>
    <t xml:space="preserve"> - splátka NFV Vodohospodárska výstavba</t>
  </si>
  <si>
    <t xml:space="preserve">    - vratky domácnostiam za spotrebu plynu</t>
  </si>
  <si>
    <t>2. Ostatné jednorazové vplyvy (bez vplyvu na saldo)</t>
  </si>
  <si>
    <t xml:space="preserve"> - jednorazový vplyv otvorenia II. piliera dôchodkového systému</t>
  </si>
  <si>
    <t xml:space="preserve"> - privatizácia/odkúpenie podielov</t>
  </si>
  <si>
    <t xml:space="preserve"> - splátka NFV od Vodohospodárskej výstavby</t>
  </si>
  <si>
    <t xml:space="preserve"> - splátka NFV od spoločnosti Cargo</t>
  </si>
  <si>
    <t xml:space="preserve">    - osobitný odvod z podnikania v regulovaných odvetviach</t>
  </si>
  <si>
    <t xml:space="preserve">    - samozdanenie DPH na colniciach</t>
  </si>
  <si>
    <t>3. Vplyvy čerpania a preplácania EÚ fondov</t>
  </si>
  <si>
    <t xml:space="preserve"> - zahrnuté v rozpočte</t>
  </si>
  <si>
    <t xml:space="preserve"> - korekcie k EÚ fondom</t>
  </si>
  <si>
    <t xml:space="preserve"> - nezahrnuté v rozpočte (preddavky)</t>
  </si>
  <si>
    <t>4. Zmeny v hotovosti bez vplyvu na čisté bohatstvo (1+2+3)</t>
  </si>
  <si>
    <t>Pozn.: (+) zvyšuje a (-) znižuje hotovosť na účtoch verejnej správy</t>
  </si>
  <si>
    <t>Zdroj: RRZ, MF SR, ŠÚ SR</t>
  </si>
  <si>
    <t>Tab 35: Prehľad vývoja dlhu do roku 2020 (medziročné zmeny, % HDP)</t>
  </si>
  <si>
    <t>1. Hrubý dlh</t>
  </si>
  <si>
    <t>2. Likvidné finančné aktíva</t>
  </si>
  <si>
    <t>3. Čistý dlh (1-2)</t>
  </si>
  <si>
    <t>4. Hotovosť neovplyvňujúca čisté bohatstvo</t>
  </si>
  <si>
    <t>5. Dlh bez jednorazových vplyvov (3-4)</t>
  </si>
  <si>
    <t xml:space="preserve"> - vplyv EFSF</t>
  </si>
  <si>
    <t xml:space="preserve"> - ostatné vplyvy</t>
  </si>
  <si>
    <t>Hrubý dlh</t>
  </si>
  <si>
    <t>Dlh bez jednorazových vplyvov</t>
  </si>
  <si>
    <t>Čistý dlh</t>
  </si>
  <si>
    <t>Zmeny v prognóze hrubého dlhu (% HDP)</t>
  </si>
  <si>
    <t>Graf 2: Zmeny v prognóze hrubého dlhu (% HDP)</t>
  </si>
  <si>
    <t>Prognóza dlhu RVS 2017-2019</t>
  </si>
  <si>
    <t>Dlh</t>
  </si>
  <si>
    <t>Dlh v % HDP</t>
  </si>
  <si>
    <t>Nominálny HDP</t>
  </si>
  <si>
    <t>Prognóza dlhu NRVS 2018-2020</t>
  </si>
  <si>
    <t>Chýbajúce opatrenia</t>
  </si>
  <si>
    <t>Dlh v % HDP - vplyv chýbajúcich opatrení</t>
  </si>
  <si>
    <t>Zmena prognózy NRVS 2018-2020</t>
  </si>
  <si>
    <t>Dlh po zmenách v hotovosti</t>
  </si>
  <si>
    <t>Príspevky k medziročnej zmene salda v NPC scenári (perc. body)</t>
  </si>
  <si>
    <t>Graf 22: Príspevky k medziročnej zmene salda v NPC scenári (perc. body)</t>
  </si>
  <si>
    <t>Opatrenia 2018</t>
  </si>
  <si>
    <t>Graf 23: Vplyvy opatrení zapracovaných v návrhu rozpočtu v roku 2018 (% HDP)</t>
  </si>
  <si>
    <t>% HDP</t>
  </si>
  <si>
    <t>Celkové zmeny</t>
  </si>
  <si>
    <t>Starobné dôchodky</t>
  </si>
  <si>
    <t>Spolufinancovanie</t>
  </si>
  <si>
    <t>Zdravotníctvo</t>
  </si>
  <si>
    <t>Dividendy</t>
  </si>
  <si>
    <t>Emisné kvóty</t>
  </si>
  <si>
    <t xml:space="preserve">Pozn.: (+) zlepšuje saldo, (-) zhoršuje saldo VS   </t>
  </si>
  <si>
    <t xml:space="preserve"> Zdroj: RRZ</t>
  </si>
  <si>
    <t>Porovnanie prognózy dlhu MF SR s NPC scenárom RRZ (% HDP)</t>
  </si>
  <si>
    <r>
      <t>Graf 24: Porovnanie prognózy dlhu MF SR s NPC scenárom RRZ</t>
    </r>
    <r>
      <rPr>
        <sz val="9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</si>
  <si>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Dlh VS - prognóza MF SR</t>
  </si>
  <si>
    <t>Dlh VS - NPC scenár.</t>
  </si>
  <si>
    <r>
      <t>Zdroj:</t>
    </r>
    <r>
      <rPr>
        <i/>
        <sz val="8"/>
        <color rgb="FF13B5EA"/>
        <rFont val="Constantia"/>
        <family val="1"/>
        <charset val="238"/>
      </rPr>
      <t xml:space="preserve"> </t>
    </r>
    <r>
      <rPr>
        <i/>
        <sz val="8"/>
        <color rgb="FF00B0F0"/>
        <rFont val="Constantia"/>
        <family val="1"/>
        <charset val="238"/>
      </rPr>
      <t>MF SR, RRZ</t>
    </r>
  </si>
  <si>
    <t>HDP VpMP</t>
  </si>
  <si>
    <t>HDP NPC scenár</t>
  </si>
  <si>
    <t>Príspevky k zmene dlhu v prognóze MF SR (p. b.)</t>
  </si>
  <si>
    <r>
      <t>Graf 25: Príspevky k zmene dlhu v prognóze MF SR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(p. b.)</t>
    </r>
  </si>
  <si>
    <t>kumul</t>
  </si>
  <si>
    <t>Dlh v NPC scenári</t>
  </si>
  <si>
    <t>Opatrenia v salde (NRVS)</t>
  </si>
  <si>
    <t>Ostatné vplyvy</t>
  </si>
  <si>
    <t>Prognóza MF SR</t>
  </si>
  <si>
    <t>Zmena rozpočtových cieľov (% HDP)</t>
  </si>
  <si>
    <t>Graf 27: Zmena rozpočtových cieľov a prognózy daňových príjmov (% HDP)</t>
  </si>
  <si>
    <t>PS (t-3)</t>
  </si>
  <si>
    <t>RVS (t-3)</t>
  </si>
  <si>
    <t>PS (t-2)</t>
  </si>
  <si>
    <t>RVS (t-2)</t>
  </si>
  <si>
    <t>PS (t-1)</t>
  </si>
  <si>
    <t>RVS (t-1)</t>
  </si>
  <si>
    <t>Zmeny cieľov</t>
  </si>
  <si>
    <t>Zmeny oproti skutočnosti</t>
  </si>
  <si>
    <t>Zmena prognózy daňových príjmov (% HDP)</t>
  </si>
  <si>
    <t>Porovnanie zmien v salde na rok 2018 (NRVS 2018-20 oproti RVS 2017-19)</t>
  </si>
  <si>
    <t>Graf 30: Rozpočet na rok 2018 – príspevky k zmene deficitu súčasného návrhu rozpočtu na rok 2018 v porovnaní s rozpočtom na rok 2018</t>
  </si>
  <si>
    <t>v rámci rozpočtu na roky 2017 až 2019</t>
  </si>
  <si>
    <t>Nové opatrenia vlády</t>
  </si>
  <si>
    <t>Zmeny v sociálnej oblasti</t>
  </si>
  <si>
    <t>Ministerstvo dopravy a výstavby</t>
  </si>
  <si>
    <t>Zvyšovanie miezd</t>
  </si>
  <si>
    <t>Ostatné opatrenia</t>
  </si>
  <si>
    <t>Aktualizácia odhadov</t>
  </si>
  <si>
    <t>Výdavky samospráv</t>
  </si>
  <si>
    <t>Úrokové náklady</t>
  </si>
  <si>
    <t>Pozitíva</t>
  </si>
  <si>
    <t>Spolufinancovanie EÚ fondov</t>
  </si>
  <si>
    <t>Úspora sociálnych dávok</t>
  </si>
  <si>
    <t>Legislatívne zmeny v daniach a nedaňových príjmoch</t>
  </si>
  <si>
    <t>Zhoršenie cieľa</t>
  </si>
  <si>
    <t>Pozn.: položka Ostatné (-198 mil. eur) obsahuje aj Rezervu na zhoršenie daňových a nedaňových príjmov vo výške 140 mil. eur.</t>
  </si>
  <si>
    <t>Zdroj:  MF SR, RRZ</t>
  </si>
  <si>
    <t>Zmeny kapitálových výdavkov (NRVS 2018-20 oproti RVS 2017-19)</t>
  </si>
  <si>
    <t>Graf 31: Zmena kapitálových výdavkov štátneho rozpočtu v roku 2018 (mil. eur)</t>
  </si>
  <si>
    <t>Obrana</t>
  </si>
  <si>
    <t>Verejný poriadok a bezpečnosť</t>
  </si>
  <si>
    <t>Distribučné siete a skladovanie</t>
  </si>
  <si>
    <t>Cestná infraštruktúra</t>
  </si>
  <si>
    <t>Rezerva na významné investície</t>
  </si>
  <si>
    <t>Doprava nešpecifikovaná</t>
  </si>
  <si>
    <t>Pozn.: ide o kapitálové výdavky štátneho rozpočtu (EKRK 710 a 720) bez EÚ fondov, spolufinancovania a metodických úprav.</t>
  </si>
  <si>
    <t>Hrubý dlh VS (% HDP)</t>
  </si>
  <si>
    <r>
      <t>Graf 32: Vývoj hrubého dlhu VS</t>
    </r>
    <r>
      <rPr>
        <sz val="10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</si>
  <si>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2020</t>
  </si>
  <si>
    <t>Skutočnosť</t>
  </si>
  <si>
    <t>Odhad vlády</t>
  </si>
  <si>
    <t>Prehľad vývoja dlhu do roku 2020 (medziročné zmeny, % HDP)</t>
  </si>
  <si>
    <r>
      <t>Graf 33: Medziročná zmena dlhu</t>
    </r>
    <r>
      <rPr>
        <sz val="10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</si>
  <si>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Kapitálové výdavky štátneho rozpočtu</t>
  </si>
  <si>
    <r>
      <t>Graf 56: Riziká v kapitálových výdavkoch</t>
    </r>
    <r>
      <rPr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</si>
  <si>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Kapitálové výdavky (bez obrany)</t>
  </si>
  <si>
    <t>Priemer (2008-2016, bez obrany)</t>
  </si>
  <si>
    <t>Riziká</t>
  </si>
  <si>
    <t>Návrh RVS 2018-2020</t>
  </si>
  <si>
    <t>RRZ NPC</t>
  </si>
  <si>
    <t>Rozdiely</t>
  </si>
  <si>
    <t>Rozdiely v roku 2018 na porovnateľnej báze</t>
  </si>
  <si>
    <t>(v metodike ESA 2010, v mil. eur)</t>
  </si>
  <si>
    <t>ESA kódy</t>
  </si>
  <si>
    <t>2017 OS</t>
  </si>
  <si>
    <t>2017 úpravy</t>
  </si>
  <si>
    <t>2017 OS báza</t>
  </si>
  <si>
    <t>2018 NPC - 2017 OS bez OO</t>
  </si>
  <si>
    <t>2018 N (upr)</t>
  </si>
  <si>
    <t>rozdiely</t>
  </si>
  <si>
    <t>v % HDP</t>
  </si>
  <si>
    <t>one-offs</t>
  </si>
  <si>
    <t>TR</t>
  </si>
  <si>
    <t>D.2R</t>
  </si>
  <si>
    <t xml:space="preserve"> - osobitný odvod vybraných finančných inštitúcií</t>
  </si>
  <si>
    <t xml:space="preserve"> - odvod z hazardných hier (iba ŠR)</t>
  </si>
  <si>
    <t xml:space="preserve"> - imputovaný príspevok do Fondu ochrany vkladov (FOV)</t>
  </si>
  <si>
    <t xml:space="preserve"> - poplatok za udržiavanie ropných zásob (EOSA)</t>
  </si>
  <si>
    <t xml:space="preserve"> - odvod časti poistného z neživotného poistenia</t>
  </si>
  <si>
    <t xml:space="preserve"> - administratívne poplatky (221)</t>
  </si>
  <si>
    <t>D.5R</t>
  </si>
  <si>
    <t xml:space="preserve"> - osobitný odvod z podnikania v regulovaných odvetviach</t>
  </si>
  <si>
    <t>D.91R</t>
  </si>
  <si>
    <t>D.61R</t>
  </si>
  <si>
    <t xml:space="preserve"> - Zdravotné poistenie štát</t>
  </si>
  <si>
    <t xml:space="preserve"> - Sociálne poistenie štát + SP</t>
  </si>
  <si>
    <t xml:space="preserve"> - mimorozpočtové účty (ozbrojené zložky)</t>
  </si>
  <si>
    <t>D.4R</t>
  </si>
  <si>
    <t xml:space="preserve"> - EFSF (prijaté úroky)</t>
  </si>
  <si>
    <t xml:space="preserve"> - FISIM (prijaté úroky)</t>
  </si>
  <si>
    <t xml:space="preserve"> - zdravotnícke zariadenia</t>
  </si>
  <si>
    <t xml:space="preserve"> - ostatné miestne organizácie</t>
  </si>
  <si>
    <t xml:space="preserve"> - VVŠ nerozpočtované</t>
  </si>
  <si>
    <t xml:space="preserve"> - ostatné dividendy</t>
  </si>
  <si>
    <t xml:space="preserve"> - ostatné úroky</t>
  </si>
  <si>
    <t xml:space="preserve"> - iné príjmy</t>
  </si>
  <si>
    <t>P11+P12 +P131</t>
  </si>
  <si>
    <t xml:space="preserve"> - imputované príjmy z vedy a výskumu</t>
  </si>
  <si>
    <t xml:space="preserve"> - imputované výdavky na likvidáciu JZ</t>
  </si>
  <si>
    <t xml:space="preserve"> - MH Invest</t>
  </si>
  <si>
    <t xml:space="preserve"> - mimorozpočtové účty</t>
  </si>
  <si>
    <t xml:space="preserve">Iné </t>
  </si>
  <si>
    <t>D.7R+D.9R</t>
  </si>
  <si>
    <t xml:space="preserve"> - EU fondy</t>
  </si>
  <si>
    <t xml:space="preserve"> - príspevky od prevádzkovateľov jadrových zariadení</t>
  </si>
  <si>
    <t xml:space="preserve"> - zahraničné kapitálové granty (CEF, 332001 a 332002)</t>
  </si>
  <si>
    <t xml:space="preserve"> - vratky (292017)</t>
  </si>
  <si>
    <t xml:space="preserve"> - iné iné nedaňové príjmy (292027)</t>
  </si>
  <si>
    <t>TE</t>
  </si>
  <si>
    <t>D.1P</t>
  </si>
  <si>
    <t xml:space="preserve"> - spolufinancovanie</t>
  </si>
  <si>
    <t xml:space="preserve"> - presunuté z D.7 do kompenzácií</t>
  </si>
  <si>
    <t xml:space="preserve"> - EFSF</t>
  </si>
  <si>
    <t xml:space="preserve"> - FISIM</t>
  </si>
  <si>
    <t xml:space="preserve"> - imputované výdavky na vedu a výskum</t>
  </si>
  <si>
    <t xml:space="preserve"> - platba za dostupnosť PPP projektu</t>
  </si>
  <si>
    <t xml:space="preserve"> - výdavky ŠR na obranu (cofog 02)</t>
  </si>
  <si>
    <t xml:space="preserve"> - jednorazové výdavky ŠR na školstvo a dopravu</t>
  </si>
  <si>
    <t xml:space="preserve"> - príspevkové organizácie štátu</t>
  </si>
  <si>
    <t xml:space="preserve"> - NDS</t>
  </si>
  <si>
    <t xml:space="preserve"> - rezerva na hospodárenie nemocníc</t>
  </si>
  <si>
    <t xml:space="preserve"> - rezerva na nové zákonné úpravy</t>
  </si>
  <si>
    <t xml:space="preserve"> - rezerva na rýchlejšiu realizáciu EÚ fondov a korekcie</t>
  </si>
  <si>
    <t>D.62P+D.631P</t>
  </si>
  <si>
    <t xml:space="preserve"> - starobné a invalidné dôchodky SP</t>
  </si>
  <si>
    <t xml:space="preserve"> - nemocenské SP</t>
  </si>
  <si>
    <t xml:space="preserve"> - dávky úrazového poistenia</t>
  </si>
  <si>
    <t xml:space="preserve"> - dávky v nezamestnanosti</t>
  </si>
  <si>
    <t xml:space="preserve"> - výdavky zdravotného poistenia</t>
  </si>
  <si>
    <t xml:space="preserve"> - vybrané sociálne dávky (DHN, ZŤP, podpora rodiny, vianočný príspevok)</t>
  </si>
  <si>
    <t xml:space="preserve"> - štátom platené poistné + SP - sociálne poistenie</t>
  </si>
  <si>
    <t xml:space="preserve"> - štátom platené poistné - zdravotné poistenie</t>
  </si>
  <si>
    <t xml:space="preserve"> - dávky platené VS ako zamestnávateľ (imputované poistné)</t>
  </si>
  <si>
    <t xml:space="preserve"> - daňový bonus a zamestnanecká prémia</t>
  </si>
  <si>
    <t xml:space="preserve"> - príspevok za spotrebu plynu</t>
  </si>
  <si>
    <t xml:space="preserve"> - transfer na osobitný účet</t>
  </si>
  <si>
    <t xml:space="preserve"> - ostatné (jednotlivcovi, štipendiá, aktívne opatrenia trhu práce)</t>
  </si>
  <si>
    <t>Úrokové výdavky</t>
  </si>
  <si>
    <t>D.41P</t>
  </si>
  <si>
    <t xml:space="preserve">D.3P </t>
  </si>
  <si>
    <t xml:space="preserve"> - imputovaný transfer do Fondu ochrany vkladov</t>
  </si>
  <si>
    <t xml:space="preserve"> - samosprávy</t>
  </si>
  <si>
    <t>Tvorba hrubého fixného kapitálu</t>
  </si>
  <si>
    <t>P.51</t>
  </si>
  <si>
    <t xml:space="preserve"> - OPII vlastné zdroje mimo spolufinancovania</t>
  </si>
  <si>
    <t xml:space="preserve"> - one-off (MDV)</t>
  </si>
  <si>
    <t xml:space="preserve"> - SSC - priemyselný park Nitra</t>
  </si>
  <si>
    <t xml:space="preserve"> - zahraničné kapitálové granty (CEF)</t>
  </si>
  <si>
    <t>D.9P</t>
  </si>
  <si>
    <t xml:space="preserve"> - akrualizácia DPH z PPP projektu</t>
  </si>
  <si>
    <t xml:space="preserve"> - korekcie voči EÚ</t>
  </si>
  <si>
    <t xml:space="preserve"> - výstavba štadióna</t>
  </si>
  <si>
    <t>Iné</t>
  </si>
  <si>
    <t>D.2P+(D.4-D.41)+D.5P+D.7+P.52+P.53+K.2+D.8</t>
  </si>
  <si>
    <t xml:space="preserve"> - odvod do rozpočtu EÚ</t>
  </si>
  <si>
    <t xml:space="preserve"> - 2% z daní</t>
  </si>
  <si>
    <t xml:space="preserve"> - platené dane (D.29+D.5)</t>
  </si>
  <si>
    <t xml:space="preserve"> - zmena stavu zásob (P.5M)</t>
  </si>
  <si>
    <t xml:space="preserve"> - voľby</t>
  </si>
  <si>
    <t xml:space="preserve"> - hotovostné korekcie</t>
  </si>
  <si>
    <t xml:space="preserve"> - transfer do Fondu ochrany vkladov</t>
  </si>
  <si>
    <t xml:space="preserve"> - Fond na podporu kultúry národnostných menšín</t>
  </si>
  <si>
    <t>B.9</t>
  </si>
  <si>
    <t>Primárne saldo</t>
  </si>
  <si>
    <t>Spotreba verejnej správy</t>
  </si>
  <si>
    <t xml:space="preserve"> - kompenzácie zamestnancov</t>
  </si>
  <si>
    <t xml:space="preserve"> - dane</t>
  </si>
  <si>
    <t xml:space="preserve"> - naturálne sociálne transfery</t>
  </si>
  <si>
    <t xml:space="preserve"> - spotreba fixného kapitálu</t>
  </si>
  <si>
    <t xml:space="preserve"> - tržby</t>
  </si>
  <si>
    <t>EU fondy celkom</t>
  </si>
  <si>
    <t xml:space="preserve"> - z toho v sektore VS</t>
  </si>
  <si>
    <t>Spolufinancovanie celkom</t>
  </si>
  <si>
    <t>Ciele NRVS 2015-2017</t>
  </si>
  <si>
    <t>Chýba na splnenie cieľa</t>
  </si>
  <si>
    <t>Príjmy z EÚ fondov v sektore VS</t>
  </si>
  <si>
    <t>Rozdelenie výdavkov na EÚ fondy (v sektore VS):</t>
  </si>
  <si>
    <t xml:space="preserve"> - tvorba hrubého fixného kapitálu</t>
  </si>
  <si>
    <t>Výdavky na EÚ fondy (mimo sektora VS):</t>
  </si>
  <si>
    <t xml:space="preserve"> - bežné výdavky </t>
  </si>
  <si>
    <t xml:space="preserve"> - kapitálové výdavky</t>
  </si>
  <si>
    <t>Rozdelenie spolufinancovania:</t>
  </si>
  <si>
    <t xml:space="preserve"> - sociálne platby</t>
  </si>
  <si>
    <t xml:space="preserve"> - kapitálové transfery</t>
  </si>
  <si>
    <t xml:space="preserve"> - bežné transfery</t>
  </si>
  <si>
    <t>Tab 4: Prognóza VpMP a medzinárodných inštitúcií</t>
  </si>
  <si>
    <t>HDP reálny rast v %, Slovensko</t>
  </si>
  <si>
    <t>Skut.</t>
  </si>
  <si>
    <t>Prognóza</t>
  </si>
  <si>
    <t>Rozdiel oproti minulému roku</t>
  </si>
  <si>
    <t xml:space="preserve">Inštitúcia </t>
  </si>
  <si>
    <t>VpMP (september 2017 v. 2016)</t>
  </si>
  <si>
    <t>medián členov VpMP</t>
  </si>
  <si>
    <t>MMF (október 2017 v. 2016)</t>
  </si>
  <si>
    <t>EK (nov. 2017 v. nov. 2016)</t>
  </si>
  <si>
    <t>OECD (jún 2017 v. nov. 2016)</t>
  </si>
  <si>
    <t>HDP reálny rast v %, eurozóna</t>
  </si>
  <si>
    <t>Zdroj: MF SR, MMF, OECD, EK (AMECO), RRZ</t>
  </si>
  <si>
    <t>Tab 5: Porovnanie vychýlenosti prognóz hlavných indikátorov VpMP</t>
  </si>
  <si>
    <t>Ukazovateľ (v %)</t>
  </si>
  <si>
    <t>2010-2016</t>
  </si>
  <si>
    <t>ABS VpMP</t>
  </si>
  <si>
    <t>ABS 50% čl.</t>
  </si>
  <si>
    <t>BIAS*</t>
  </si>
  <si>
    <t>HDP, reálny rast</t>
  </si>
  <si>
    <t>Spotreba domácností, reálny rast</t>
  </si>
  <si>
    <t>Spotreba verejnej správy, reálny rast</t>
  </si>
  <si>
    <t>Fixné investície, reálny rast</t>
  </si>
  <si>
    <t>Export tovarov a služieb, reálny rast</t>
  </si>
  <si>
    <t>Import tovarov a služieb, reálny rast</t>
  </si>
  <si>
    <t>Zamestnanosť, rast</t>
  </si>
  <si>
    <t>Reálna mzda, rast</t>
  </si>
  <si>
    <t>Miera nezamestnanosti, p.b.</t>
  </si>
  <si>
    <t>Index spotrebiteľských cien, rast</t>
  </si>
  <si>
    <t>* ABS - priemerná absolútna chyba v percentuálnach bodoch (p.b.), BIAS - priemerná vychýlenosť prognózy v p.b.</t>
  </si>
  <si>
    <t>Tab 14: Prognózy Výboru pre makroekonomické prognózy</t>
  </si>
  <si>
    <t>Revízia*</t>
  </si>
  <si>
    <t>Prognóza (september 2017)</t>
  </si>
  <si>
    <t>Rozdiel (september 2016)</t>
  </si>
  <si>
    <r>
      <t>HDP, reálny rast</t>
    </r>
    <r>
      <rPr>
        <sz val="9"/>
        <color rgb="FF00B0F0"/>
        <rFont val="Constantia"/>
        <family val="1"/>
        <charset val="238"/>
      </rPr>
      <t>*</t>
    </r>
  </si>
  <si>
    <t>Inflácia, priemerná ročná; CPI</t>
  </si>
  <si>
    <t>Nominálna mzda, rast</t>
  </si>
  <si>
    <t>Zamestnanosť (ESA), rast</t>
  </si>
  <si>
    <t>Miera nezamestnanosti (VZPS)</t>
  </si>
  <si>
    <r>
      <t>Spotreba domácností, reálny rast</t>
    </r>
    <r>
      <rPr>
        <sz val="9"/>
        <color rgb="FF00B0F0"/>
        <rFont val="Constantia"/>
        <family val="1"/>
        <charset val="238"/>
      </rPr>
      <t>*</t>
    </r>
  </si>
  <si>
    <r>
      <t>Investície, reálny rast</t>
    </r>
    <r>
      <rPr>
        <sz val="9"/>
        <color rgb="FF00B0F0"/>
        <rFont val="Constantia"/>
        <family val="1"/>
        <charset val="238"/>
      </rPr>
      <t>*</t>
    </r>
  </si>
  <si>
    <r>
      <t>Export tovarov a služieb, reálny rast</t>
    </r>
    <r>
      <rPr>
        <sz val="9"/>
        <color rgb="FF00B0F0"/>
        <rFont val="Constantia"/>
        <family val="1"/>
        <charset val="238"/>
      </rPr>
      <t>*</t>
    </r>
  </si>
  <si>
    <r>
      <t>Vážené základne pre rozpočtové príjmy</t>
    </r>
    <r>
      <rPr>
        <sz val="9"/>
        <color rgb="FF00B0F0"/>
        <rFont val="Constantia"/>
        <family val="1"/>
        <charset val="238"/>
      </rPr>
      <t>*</t>
    </r>
  </si>
  <si>
    <t xml:space="preserve"> * Revízia údajov ŠÚ SR k 30.9.2017</t>
  </si>
  <si>
    <t>Tab 15: Veľkosť a transmisné kanály opatrení (% HDP), RRZ scenár po zohľadnení rizík voči RRZ NPC</t>
  </si>
  <si>
    <t>Opatrenia s vplyvom na HDP voči NPC(%), +/- (vplyv na saldo)</t>
  </si>
  <si>
    <t>Vládna spotreba</t>
  </si>
  <si>
    <t>Medzispotreba vlády</t>
  </si>
  <si>
    <t>Trhová produkcia</t>
  </si>
  <si>
    <t>Vládne investície</t>
  </si>
  <si>
    <t>Jadrové investície</t>
  </si>
  <si>
    <t>Hrubý disponibilný dôchodok</t>
  </si>
  <si>
    <t>Veľkosť opatrení s vplyvom na HDP</t>
  </si>
  <si>
    <t>Tab 16: Vyčíslenie fiškálnych scenárov a rozdiel voči VpMP</t>
  </si>
  <si>
    <t>Ukazovateľ (rast v %)</t>
  </si>
  <si>
    <t>NPC (RRZ)</t>
  </si>
  <si>
    <t>NPC+riziká RRZ</t>
  </si>
  <si>
    <t>Rozdiel voči VpMP (NPC/+riziká)</t>
  </si>
  <si>
    <t>Spotrebiteľská inflácia</t>
  </si>
  <si>
    <t>Zamestnanosť (výkazníctvo)</t>
  </si>
  <si>
    <t>Nominálna mzda</t>
  </si>
  <si>
    <t>Reálna spotreba domácností</t>
  </si>
  <si>
    <t>Fixné investície</t>
  </si>
  <si>
    <t>Dovoz</t>
  </si>
  <si>
    <t>Reálne HDP</t>
  </si>
  <si>
    <t>Nominálne HDP</t>
  </si>
  <si>
    <r>
      <t>Tab</t>
    </r>
    <r>
      <rPr>
        <b/>
        <sz val="10"/>
        <color rgb="FF13B5EB"/>
        <rFont val="Constantia"/>
        <family val="1"/>
        <charset val="238"/>
      </rPr>
      <t xml:space="preserve"> 17: Riziká prognózy rastu základní rozhodujúcich pre rozpočtové príjmy</t>
    </r>
  </si>
  <si>
    <t>Prognóza (september 2017) + intervaly spoľahlivosti v scenároch</t>
  </si>
  <si>
    <t>Vážené základne pre rozpočtové príjmy (VpMp)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</si>
  <si>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40 % pravdepodobnosť</t>
    </r>
  </si>
  <si>
    <t>5,0-5,3</t>
  </si>
  <si>
    <t>5,0-6,0</t>
  </si>
  <si>
    <t>4,6-6,8</t>
  </si>
  <si>
    <t>4,5-7,6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</si>
  <si>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60 % pravdepodobnosť</t>
    </r>
  </si>
  <si>
    <t>4,9-5,5</t>
  </si>
  <si>
    <t>4,7-6,4</t>
  </si>
  <si>
    <t>3,9-7,7</t>
  </si>
  <si>
    <t>3,4-8,9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</si>
  <si>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80 % pravdepodobnosť</t>
    </r>
  </si>
  <si>
    <t>4,7-5,7</t>
  </si>
  <si>
    <t>4,3-6,9</t>
  </si>
  <si>
    <t>3,0-8,9</t>
  </si>
  <si>
    <t>2,1-10,7</t>
  </si>
  <si>
    <t>Graf 8: Prognózy rastu HDP eurozóny (%)</t>
  </si>
  <si>
    <t>oecd_y_ea_2012_6</t>
  </si>
  <si>
    <t>imf_y_ea_2012_10</t>
  </si>
  <si>
    <t>oecd_y_ea_2012_11</t>
  </si>
  <si>
    <t>imf_y_ea_2013_4</t>
  </si>
  <si>
    <t>oecd_y_ea_2013_6</t>
  </si>
  <si>
    <t>imf_y_ea_2013_10</t>
  </si>
  <si>
    <t>oecd_y_ea_2013_11</t>
  </si>
  <si>
    <t>imf_y_ea_2014_4</t>
  </si>
  <si>
    <t>oecd_y_ea_2014_6</t>
  </si>
  <si>
    <t>imf_y_ea_2014_10</t>
  </si>
  <si>
    <t>oecd_y_ea_2014_11</t>
  </si>
  <si>
    <t>imf_y_ea_2015_4</t>
  </si>
  <si>
    <t>oecd_y_ea_2015_6</t>
  </si>
  <si>
    <t>imf_y_ea_2015_10</t>
  </si>
  <si>
    <t>oecd_y_ea_2015_11</t>
  </si>
  <si>
    <t>imf_y_ea_2016_4</t>
  </si>
  <si>
    <t>oecd_y_ea_2016_6</t>
  </si>
  <si>
    <t>imf_y_ea_2016_10</t>
  </si>
  <si>
    <t>oecd_y_ea_2016_11</t>
  </si>
  <si>
    <t>imf_y_ea_2017_4</t>
  </si>
  <si>
    <t>prognózy OECD</t>
  </si>
  <si>
    <t>prognózy MMF</t>
  </si>
  <si>
    <t>rast HDP eurozóny</t>
  </si>
  <si>
    <t>Zdroj: OECD, MMF, Eurostat</t>
  </si>
  <si>
    <t>Graf 9: Odhady produkčnej medzery (% HDP, metóda EK, produkčná funkcia)</t>
  </si>
  <si>
    <t>Eurozóna</t>
  </si>
  <si>
    <t>Slovensko (met. RRZ)</t>
  </si>
  <si>
    <t>Slovensko (met. EK)</t>
  </si>
  <si>
    <t>Česko</t>
  </si>
  <si>
    <t>Maďarsko</t>
  </si>
  <si>
    <t>Poľsko</t>
  </si>
  <si>
    <t>Nemecko</t>
  </si>
  <si>
    <t>Zdroj: EK, RRZ</t>
  </si>
  <si>
    <t>Spotreba domácností</t>
  </si>
  <si>
    <t>Verejná správa</t>
  </si>
  <si>
    <t>rast HDP</t>
  </si>
  <si>
    <t>Hrubé investície</t>
  </si>
  <si>
    <t>Čistý export</t>
  </si>
  <si>
    <t>rast HDP (bez autom. priem.)</t>
  </si>
  <si>
    <t>* Odhad príspevkov investícií a export automobilového priemyslu podľa Programu stability na roky 2017-2020 (apríl 2017)</t>
  </si>
  <si>
    <t>Graf 12: Odhady produkčnej medzery (% HDP)</t>
  </si>
  <si>
    <t xml:space="preserve"> (pf method, EK)</t>
  </si>
  <si>
    <t>Produkčná medzera, RRZ</t>
  </si>
  <si>
    <t>Produkčná medzera, VpMP</t>
  </si>
  <si>
    <t>Zdroj: MF SR, RRZ</t>
  </si>
  <si>
    <t>Graf 13: Indikátory trhu práce (%)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</si>
  <si>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</si>
  <si>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</si>
  <si>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</si>
  <si>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</si>
  <si>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</si>
  <si>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</si>
  <si>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</si>
  <si>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</si>
  <si>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</si>
  <si>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</si>
  <si>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</si>
  <si>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</si>
  <si>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</si>
  <si>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</si>
  <si>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</si>
  <si>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</si>
  <si>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</si>
  <si>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</si>
  <si>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</si>
  <si>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</si>
  <si>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</si>
  <si>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</si>
  <si>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</si>
  <si>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</si>
  <si>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</si>
  <si>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</si>
  <si>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</si>
  <si>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</si>
  <si>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</si>
  <si>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</si>
  <si>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</si>
  <si>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</si>
  <si>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</si>
  <si>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</si>
  <si>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</si>
  <si>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</si>
  <si>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</si>
  <si>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</si>
  <si>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</si>
  <si>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</si>
  <si>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</si>
  <si>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</si>
  <si>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</si>
  <si>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</si>
  <si>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</si>
  <si>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</si>
  <si>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</si>
  <si>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</si>
  <si>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</si>
  <si>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</si>
  <si>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</si>
  <si>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</si>
  <si>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</si>
  <si>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</si>
  <si>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</si>
  <si>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</si>
  <si>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</si>
  <si>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</si>
  <si>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</si>
  <si>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Miera voľných pracovných miest</t>
  </si>
  <si>
    <t>Miera nezamestnanosti (z celk. počtu nezamestnaných)</t>
  </si>
  <si>
    <t>Nedostatok zamestnancov v odvetviach (pravá os)</t>
  </si>
  <si>
    <t>Zdroj: ŠÚ SR, RRZ</t>
  </si>
  <si>
    <t>Graf 14: Príspevky k potenciálnemu rastu HDP (%)</t>
  </si>
  <si>
    <t>Potenciány rast HDP (%)</t>
  </si>
  <si>
    <t>Produktivita faktorov</t>
  </si>
  <si>
    <t>Zásoba kapitálu</t>
  </si>
  <si>
    <t xml:space="preserve"> Práca</t>
  </si>
  <si>
    <t>2016F</t>
  </si>
  <si>
    <t>2017F</t>
  </si>
  <si>
    <t>2018F</t>
  </si>
  <si>
    <t>2019F</t>
  </si>
  <si>
    <t>2020F</t>
  </si>
  <si>
    <t>Zdroj: MF SR</t>
  </si>
  <si>
    <t>Graf 15: Fiškálny scenáre a vplyv na rast HDP (%)</t>
  </si>
  <si>
    <t>Oficiálna prognóza VpMP</t>
  </si>
  <si>
    <t>Fiškálne scenáre návrhu rozpočtu (min)</t>
  </si>
  <si>
    <t>Fiškálne scenáre návrhu rozpočtu</t>
  </si>
  <si>
    <t>RRZ scenár po zohľadnení rizík</t>
  </si>
  <si>
    <t>scenár NPC Návrhu rozpočtu</t>
  </si>
  <si>
    <t xml:space="preserve">    fiškálny scenár Návrhu rozpočtu</t>
  </si>
  <si>
    <t>Zdroj: MF SR, dopočty RRZ</t>
  </si>
  <si>
    <t>Graf 16: Absolútne odchýlky jesenných prognóz HDP na aktuálny rok (členovia VpMP, prognóza na rok t v čase t)</t>
  </si>
  <si>
    <t>medián</t>
  </si>
  <si>
    <t>min-max</t>
  </si>
  <si>
    <t>min</t>
  </si>
  <si>
    <t>Graf 17: Riziká prognózy rastu HDP VpMP na základe historických odchýlok</t>
  </si>
  <si>
    <t>Min</t>
  </si>
  <si>
    <t>d80</t>
  </si>
  <si>
    <t>d60</t>
  </si>
  <si>
    <t>d40</t>
  </si>
  <si>
    <t>d20</t>
  </si>
  <si>
    <t>h20</t>
  </si>
  <si>
    <t>h40</t>
  </si>
  <si>
    <t>h60</t>
  </si>
  <si>
    <t>Max</t>
  </si>
  <si>
    <t>Prognóza VpMP (september 2017)</t>
  </si>
  <si>
    <t>Graf 18: Porovnanie prognóz rastu HDP na obdobie t+1 (%)</t>
  </si>
  <si>
    <t>medián členov</t>
  </si>
  <si>
    <t>dol.percentil</t>
  </si>
  <si>
    <t>50% členov</t>
  </si>
  <si>
    <t>VpMP</t>
  </si>
  <si>
    <t>Graf 19: Porovnanie prognóz rastu konečnej spotreby verejnej správy na obdobie t+1 (%)</t>
  </si>
  <si>
    <t>Graf 50: Makroekonomické riziko vplývajúce na saldo verejnej správy</t>
  </si>
  <si>
    <t>Graf 51: Makroekonomické riziko vplývajúce na dlh verejnej správy</t>
  </si>
  <si>
    <t>Graf 52: Daňové základne</t>
  </si>
  <si>
    <t>d40-h40</t>
  </si>
  <si>
    <t>VpDP (sept. 2017)</t>
  </si>
  <si>
    <t>Graf 53: Daňové príjmy</t>
  </si>
  <si>
    <t>Tab 13: Vypracovanie makroekonomických a daňových prognóz výbormi v roku 2017</t>
  </si>
  <si>
    <t xml:space="preserve">1. </t>
  </si>
  <si>
    <t xml:space="preserve">2. </t>
  </si>
  <si>
    <t>3.</t>
  </si>
  <si>
    <t>Povinný termín do 15.2.</t>
  </si>
  <si>
    <t>Povinný termín do 30.6.</t>
  </si>
  <si>
    <t>Výbor pre makroekonomické prognózy</t>
  </si>
  <si>
    <t>zasadnutie VpMP</t>
  </si>
  <si>
    <t>zverejnenie prognóz</t>
  </si>
  <si>
    <t>Výbor pre daňové prognózy</t>
  </si>
  <si>
    <t>zasadnutie VpDP</t>
  </si>
  <si>
    <t>Tab 1: Ciele v oblasti salda  a dlhu verejnej správy</t>
  </si>
  <si>
    <t>Tab 2: Štrukturálne saldo podľa MF SR</t>
  </si>
  <si>
    <t>Tab 3: Potreba opatrení na splnenie cieľa</t>
  </si>
  <si>
    <t>Tab 7: Zdroje krytia rizík v rokoch 2017 až 2020</t>
  </si>
  <si>
    <t>Tab 6: Riziká v rokoch 2017 až 2020</t>
  </si>
  <si>
    <t>Tab 8: Riziká spojené s dosiahnutím rozpočtových cieľov</t>
  </si>
  <si>
    <t>Tab 9: Predpoklady vývoja hrubého dlhu verejnej správy</t>
  </si>
  <si>
    <t>Tab 10: Veľkosť opatrení v návrhu rozpočtu</t>
  </si>
  <si>
    <t>Tab 11: Zmena štrukturálneho salda VS v rokoch 2016 až 2020 podľa RRZ</t>
  </si>
  <si>
    <t>Tab 12: Výdavkové pravidlo</t>
  </si>
  <si>
    <t>Tab 17: Riziká prognózy rastu základní rozhodujúcich pre rozpočtové príjmy</t>
  </si>
  <si>
    <t>Tab 18: Prehľad rizík a rezerv rozpočtu na rok 2017</t>
  </si>
  <si>
    <t>Tab 19: Dividendy v rokoch 2017 až 2020</t>
  </si>
  <si>
    <t>Tab 21: Odhad rizika z príjmov z emisných kvót v porovnaní s návrhom rozpočtu</t>
  </si>
  <si>
    <t>Tab 22: Vývoj výdavkov na zdravotnú starostlivosť a hospodárenie nemocníc</t>
  </si>
  <si>
    <t>Tab 23: Vývoj nerozdelených ziskov súkromných zdravotných poisťovní</t>
  </si>
  <si>
    <t>Tab 24: Odhad rizika voči návrhu rozpočtu</t>
  </si>
  <si>
    <t>Tab 25: Odhad rizík v samosprávach</t>
  </si>
  <si>
    <t>Tab 26: Riziká v mzdových výdavkoch štátneho rozpočtu</t>
  </si>
  <si>
    <t>Tab 27: Riziká vo výdavkoch štátneho rozpočtu na tovary a služby</t>
  </si>
  <si>
    <t>Tab 28: Odhad rizika pri kapitálových výdavkoch štátneho rozpočtu</t>
  </si>
  <si>
    <t>Tab 30: Zoznam jednorazových vplyvov v NPC scenári</t>
  </si>
  <si>
    <t>Tab 31: Predpoklady čerpania fondov EÚ v NPC scenári RRZ</t>
  </si>
  <si>
    <t>Tab 32: Porovnanie NPC scenára vývoja verejných financií</t>
  </si>
  <si>
    <t>Tab 33: Príspevky k medziročnej zmene salda v NPC scenári</t>
  </si>
  <si>
    <t>Tab 34: Zmeny v hotovosti bez vplyvu na čisté bohatstvo</t>
  </si>
  <si>
    <t>Tab 35: Prehľad vývoja dlhu do roku 2020</t>
  </si>
  <si>
    <t>Tab 36: Porovnanie skutočného vývoja položiek voči rozpočtu</t>
  </si>
  <si>
    <t>Tab 37: Jednorazové vplyvy v rokoch 2016-2020</t>
  </si>
  <si>
    <t>Tab 38: Bilancia príjmov a výdavkov verejnej správy (ESA2010, v mil. eur)</t>
  </si>
  <si>
    <t>Tab 40: Hospodárenie subjektov verejnej správy</t>
  </si>
  <si>
    <t>Tab 41: Príjmy podľa odhadu RRZ</t>
  </si>
  <si>
    <t xml:space="preserve">Tab 42: Výdavky podľa odhadu RRZ </t>
  </si>
  <si>
    <t>Graf 1: Porovnanie rozpočtových cieľov – saldo rozpočtu</t>
  </si>
  <si>
    <t>Graf 2: Zmeny v prognóze hrubého dlhu</t>
  </si>
  <si>
    <t>Graf 3: Vplyv revízie HDP na saldo VS</t>
  </si>
  <si>
    <t>Graf 4 : Vplyv revízie HDP na dlh VS</t>
  </si>
  <si>
    <t>Graf 5: Porovnanie NRVS 2018-2020 voči NPC scenáru</t>
  </si>
  <si>
    <t>Graf 6: Opatrenia na splnenie ropočtovaného salda v NRVS 2018-2020</t>
  </si>
  <si>
    <t>Graf 7: Opatrenia na dosiahnutie rozpočtových cieľov - porovnanie voči scenáru nezmenených politík podľa návrhu rozpočtu verejnej správy na roky 2018-2020</t>
  </si>
  <si>
    <t>Graf 8: Prognózy rastu HDP eurozóny</t>
  </si>
  <si>
    <t>Graf 9: Odhady produkčnej medzery</t>
  </si>
  <si>
    <t>Graf 10 a Graf 11: Príspevky k rastu HDP (%) - investície, čistý export, konečná spotreba domácností a verejnej správy</t>
  </si>
  <si>
    <t>Graf 13: Indikátory trhu práce</t>
  </si>
  <si>
    <t>Graf 14: Príspevky k potenciálnemu rastu HDP</t>
  </si>
  <si>
    <t>Graf 12: Odhady produkčnej medzery</t>
  </si>
  <si>
    <t>Graf 15: Fiškálny scenáre a vplyv na rast HDP</t>
  </si>
  <si>
    <t>Graf 16: Absolútne odchýlky jesenných prognóz HDP na aktuálny rok</t>
  </si>
  <si>
    <t>Graf 18: Porovnanie prognóz rastu HDP na obdobie t+1</t>
  </si>
  <si>
    <t>Graf 19: Porovnanie prognóz rastu konečnej spotreby verejnej správy na obdobie t+1</t>
  </si>
  <si>
    <t>Graf 20: Historické odchýlky prognóz VpDP</t>
  </si>
  <si>
    <t>Graf 22: Príspevky k medziročnej zmene salda v NPC scenári</t>
  </si>
  <si>
    <t>Graf 24: Porovnanie prognózy dlhu MF SR s NPC scenárom RRZ</t>
  </si>
  <si>
    <t>Graf 23: Vplyvy opatrení zapracovaných v návrhu rozpočtu v roku 2018</t>
  </si>
  <si>
    <t>Graf 25: Príspevky k zmene dlhu v prognóze MF SR</t>
  </si>
  <si>
    <t>Graf 26: Revízia rozpočtových cieľov trojročného rozpočtu</t>
  </si>
  <si>
    <t>Graf 28: Vplyv neočakávaných vplyvov a ostatných položiek na saldo rozpočtu</t>
  </si>
  <si>
    <t>Graf 27: Zmena rozpočtových cieľov a prognózy daňových príjmov</t>
  </si>
  <si>
    <t>Graf 29: Potenciálne saldo rozpočtu po zohľadnení nerozpočtovaných vplyvov</t>
  </si>
  <si>
    <t>Graf 31: Zmena kapitálových výdavkov štátneho rozpočtu v roku 2018</t>
  </si>
  <si>
    <t>Graf 32: Vývoj hrubého dlhu VS</t>
  </si>
  <si>
    <t>Graf 33: Medziročná zmena dlhu</t>
  </si>
  <si>
    <t>Graf 35: Štrukturálne saldo VS v rokoch 2015 až 2020</t>
  </si>
  <si>
    <t>Graf 34: Saldo VS v rokoch 2015 až 2020</t>
  </si>
  <si>
    <t>Graf 36: Štrukturálne saldo v rokoch 1999 až 2020 podľa RRZ</t>
  </si>
  <si>
    <t>Graf 38: Predpokladané čerpanie EÚ príjmov v rokoch 2017-2020</t>
  </si>
  <si>
    <t>Graf 37: Fiškálny impulz v rokoch 2016-2020</t>
  </si>
  <si>
    <t>Graf 41: Vývoj odhadov produkčnej medzery  RRZ v čase</t>
  </si>
  <si>
    <t>Graf 40: Použité odhady produkčnej medzery vo výslednom odhade RRZ</t>
  </si>
  <si>
    <t>Graf 42: Odhadnutá produkčná medzera a cyklická zložka RRZ v rokoch 1999-2020</t>
  </si>
  <si>
    <t>Graf 43: Rozklad cyklickej zložky RRZ v rokoch 1999-2020</t>
  </si>
  <si>
    <t>Graf 54: Hospodárenie obcí v rokoch 2008-2016 oproti rozpočtu</t>
  </si>
  <si>
    <t>Graf 55: Hospodárenie obcí a verejnej správy v rokoch 2008-2016</t>
  </si>
  <si>
    <t>Graf 56: Riziká v kapitálových výdavkoch</t>
  </si>
  <si>
    <t>NPC</t>
  </si>
  <si>
    <t>Hodnotenie Návrhu rozpočtu verejnej správy na roky 2018 až 2020 (november 2017)</t>
  </si>
  <si>
    <t xml:space="preserve"> - ostatné bežné výdavky (tovary a služby, transfery)</t>
  </si>
  <si>
    <t>Zdravotnícke zariadenia</t>
  </si>
  <si>
    <t xml:space="preserve">    Rozhlas a televízia Slovenska</t>
  </si>
  <si>
    <t>Fond na podporu kultúry národ. menšín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</si>
</sst>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2">
    <numFmt numFmtId="43" formatCode="_-* #,##0.00\ _€_-;\-* #,##0.00\ _€_-;_-* &quot;-&quot;??\ _€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[$-409]mmm\-yy;@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#,##0.0;\-#,##0.0;;"/>
    <numFmt numFmtId="175" formatCode="_(&quot;$&quot;* #,##0.00_);_(&quot;$&quot;* \(#,##0.00\);_(&quot;$&quot;* &quot;-&quot;??_);_(@_)"/>
    <numFmt numFmtId="176" formatCode="#,##0\ &quot;SIT&quot;;\-#,##0\ &quot;SIT&quot;"/>
    <numFmt numFmtId="177" formatCode="_-* #,##0.00\ _S_k_-;\-* #,##0.00\ _S_k_-;_-* &quot;-&quot;??\ _S_k_-;_-@_-"/>
    <numFmt numFmtId="178" formatCode="_-[$€-2]* #,##0.00_-;\-[$€-2]* #,##0.00_-;_-[$€-2]* &quot;-&quot;??_-"/>
    <numFmt numFmtId="179" formatCode="General_)"/>
    <numFmt numFmtId="180" formatCode="_-* #,##0\ _F_t_-;\-* #,##0\ _F_t_-;_-* &quot;-&quot;\ _F_t_-;_-@_-"/>
    <numFmt numFmtId="181" formatCode="_-* #,##0.00\ _F_t_-;\-* #,##0.00\ _F_t_-;_-* &quot;-&quot;??\ _F_t_-;_-@_-"/>
    <numFmt numFmtId="182" formatCode="#,##0\ &quot;Kč&quot;;\-#,##0\ &quot;Kč&quot;"/>
    <numFmt numFmtId="183" formatCode="_-* #,##0.00\ &quot;Kč&quot;_-;\-* #,##0.00\ &quot;Kč&quot;_-;_-* &quot;-&quot;??\ &quot;Kč&quot;_-;_-@_-"/>
    <numFmt numFmtId="184" formatCode="&quot;$&quot;#,##0_);\(&quot;$&quot;#,##0\)"/>
    <numFmt numFmtId="185" formatCode="_(&quot;$&quot;* #,##0_);_(&quot;$&quot;* \(#,##0\);_(&quot;$&quot;* &quot;-&quot;_);_(@_)"/>
    <numFmt numFmtId="186" formatCode="ddd\ d\-mmm\-yy"/>
    <numFmt numFmtId="187" formatCode="0.00_)"/>
    <numFmt numFmtId="188" formatCode="_-* #,##0\ &quot;Ft&quot;_-;\-* #,##0\ &quot;Ft&quot;_-;_-* &quot;-&quot;\ &quot;Ft&quot;_-;_-@_-"/>
    <numFmt numFmtId="189" formatCode="_-* #,##0.00\ &quot;Ft&quot;_-;\-* #,##0.00\ &quot;Ft&quot;_-;_-* &quot;-&quot;??\ &quot;Ft&quot;_-;_-@_-"/>
    <numFmt numFmtId="190" formatCode="[Black]#,##0.0;[Black]\-#,##0.0;;"/>
    <numFmt numFmtId="191" formatCode="[Black][&gt;0.05]#,##0.0;[Black][&lt;-0.05]\-#,##0.0;;"/>
    <numFmt numFmtId="192" formatCode="[Black][&gt;0.5]#,##0;[Black][&lt;-0.5]\-#,##0;;"/>
    <numFmt numFmtId="193" formatCode="#,##0_)"/>
    <numFmt numFmtId="194" formatCode="#\ ###\ ##0;&quot;-&quot;#\ ###\ ##0"/>
    <numFmt numFmtId="195" formatCode="\(\$#,###\)"/>
    <numFmt numFmtId="196" formatCode="_-&quot;€&quot;\ * #,##0_-;_-&quot;€&quot;\ * #,##0\-;_-&quot;€&quot;\ * &quot;-&quot;_-;_-@_-"/>
    <numFmt numFmtId="197" formatCode="_-&quot;€&quot;\ * #,##0.00_-;_-&quot;€&quot;\ * #,##0.00\-;_-&quot;€&quot;\ * &quot;-&quot;??_-;_-@_-"/>
    <numFmt numFmtId="198" formatCode="General\ \ \ \ \ \ "/>
    <numFmt numFmtId="199" formatCode="0.0\ \ \ \ \ \ \ \ "/>
    <numFmt numFmtId="200" formatCode="mmmm\ yyyy"/>
    <numFmt numFmtId="201" formatCode="#,##0.00000"/>
    <numFmt numFmtId="202" formatCode="_-* #,##0.00\ _S_k_-;\-* #,##0.00\ _S_k_-;_-* \-??\ _S_k_-;_-@_-"/>
    <numFmt numFmtId="203" formatCode="#,##0.000"/>
    <numFmt numFmtId="204" formatCode="#\ ###\ ##0_-;\-#\ ###\ ##0_-;_-0_-;_-@_ "/>
    <numFmt numFmtId="205" formatCode="#\ ##0_-;\-#\ ##0_-;_-0_-;_-@_ "/>
    <numFmt numFmtId="206" formatCode="0.000"/>
    <numFmt numFmtId="207" formatCode="0.0%"/>
    <numFmt numFmtId="208" formatCode="#,##0.0000"/>
    <numFmt numFmtId="209" formatCode="0.0000000"/>
    <numFmt numFmtId="210" formatCode="#,##0_ ;[Red]\-#,##0\ "/>
    <numFmt numFmtId="211" formatCode="0_ ;[Red]\-0\ "/>
    <numFmt numFmtId="212" formatCode="#,##0.0_ ;[Red]\-#,##0.0\ "/>
    <numFmt numFmtId="213" formatCode="#,##0.0\|"/>
    <numFmt numFmtId="214" formatCode="mm\-yy"/>
  </numFmts>
  <fonts count="325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onstantia"/>
      <family val="2"/>
      <charset val="238"/>
    </font>
    <font>
      <sz val="10"/>
      <color theme="1"/>
      <name val="Constantia"/>
      <family val="2"/>
      <charset val="238"/>
    </font>
    <font>
      <sz val="10"/>
      <color theme="1"/>
      <name val="Constant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9"/>
      <color rgb="FF13B5EA"/>
      <name val="Constantia"/>
      <family val="1"/>
      <charset val="238"/>
    </font>
    <font>
      <sz val="9"/>
      <name val="Constantia"/>
      <family val="1"/>
      <charset val="238"/>
    </font>
    <font>
      <b/>
      <sz val="9"/>
      <name val="Constantia"/>
      <family val="1"/>
      <charset val="238"/>
    </font>
    <font>
      <i/>
      <sz val="9"/>
      <name val="Constantia"/>
      <family val="1"/>
      <charset val="238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0"/>
      <name val="Arial CE"/>
      <family val="2"/>
      <charset val="238"/>
    </font>
    <font>
      <sz val="12"/>
      <name val="Times New Roman"/>
      <family val="1"/>
    </font>
    <font>
      <sz val="10"/>
      <name val="times new roman"/>
      <family val="1"/>
      <charset val="238"/>
    </font>
    <font>
      <b/>
      <sz val="9"/>
      <name val="Arial"/>
      <family val="2"/>
    </font>
    <font>
      <sz val="9"/>
      <name val="Tms Rmn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sz val="1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Arial CE"/>
      <family val="2"/>
      <charset val="238"/>
    </font>
    <font>
      <sz val="14"/>
      <name val="Helv"/>
    </font>
    <font>
      <sz val="11"/>
      <color indexed="17"/>
      <name val="Calibri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b/>
      <sz val="10"/>
      <name val="Arial"/>
      <family val="2"/>
    </font>
    <font>
      <sz val="10"/>
      <name val="Arial Cyr"/>
      <charset val="204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sz val="10"/>
      <name val="Arial CE"/>
      <family val="2"/>
      <charset val="238"/>
    </font>
    <font>
      <sz val="10"/>
      <color indexed="8"/>
      <name val="MS Sans Serif"/>
      <family val="2"/>
    </font>
    <font>
      <sz val="9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2"/>
      <name val="Tms Rmn"/>
    </font>
    <font>
      <sz val="10"/>
      <name val="Tms Rmn"/>
    </font>
    <font>
      <sz val="10"/>
      <color indexed="8"/>
      <name val="Arial Narrow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  <charset val="238"/>
    </font>
    <font>
      <sz val="11"/>
      <name val="Arial"/>
      <family val="2"/>
    </font>
    <font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i/>
      <sz val="10"/>
      <name val="Helv"/>
    </font>
    <font>
      <b/>
      <sz val="11"/>
      <color indexed="18"/>
      <name val="Arial"/>
      <family val="2"/>
    </font>
    <font>
      <b/>
      <sz val="10"/>
      <color indexed="8"/>
      <name val="Arial"/>
      <family val="2"/>
    </font>
    <font>
      <b/>
      <i/>
      <sz val="11"/>
      <color indexed="1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9"/>
      <name val="MS Sans Serif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indexed="20"/>
      <name val="Calibri"/>
      <family val="2"/>
    </font>
    <font>
      <sz val="6.5"/>
      <name val="Univers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1"/>
      <color indexed="9"/>
      <name val="Calibri"/>
      <family val="2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8.5"/>
      <name val="MS Sans Serif"/>
      <family val="2"/>
    </font>
    <font>
      <b/>
      <sz val="10"/>
      <color rgb="FF13B5EA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Constantia"/>
      <family val="1"/>
      <charset val="238"/>
    </font>
    <font>
      <sz val="10"/>
      <color theme="1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9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i/>
      <sz val="9"/>
      <color theme="1"/>
      <name val="Constantia"/>
      <family val="1"/>
      <charset val="238"/>
    </font>
    <font>
      <sz val="10"/>
      <name val="Constantia"/>
      <family val="1"/>
      <charset val="238"/>
    </font>
    <font>
      <sz val="11"/>
      <color theme="1"/>
      <name val="Arial Narrow"/>
      <family val="2"/>
      <charset val="238"/>
    </font>
    <font>
      <i/>
      <sz val="8"/>
      <color rgb="FF13B5EA"/>
      <name val="Constantia"/>
      <family val="1"/>
      <charset val="238"/>
    </font>
    <font>
      <b/>
      <sz val="9"/>
      <color theme="0"/>
      <name val="Constantia"/>
      <family val="1"/>
      <charset val="238"/>
    </font>
    <font>
      <b/>
      <sz val="9"/>
      <color theme="1"/>
      <name val="Constantia"/>
      <family val="1"/>
      <charset val="238"/>
    </font>
    <font>
      <sz val="10"/>
      <color rgb="FFFF0000"/>
      <name val="Constantia"/>
      <family val="1"/>
      <charset val="238"/>
    </font>
    <font>
      <sz val="9"/>
      <color rgb="FFFFFFFF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9"/>
      <color rgb="FF000000"/>
      <name val="Constantia"/>
      <family val="1"/>
      <charset val="238"/>
    </font>
    <font>
      <sz val="11"/>
      <name val="Arial"/>
      <family val="2"/>
      <charset val="238"/>
    </font>
    <font>
      <sz val="11"/>
      <color theme="1"/>
      <name val="Constantia"/>
      <family val="1"/>
      <charset val="238"/>
    </font>
    <font>
      <i/>
      <sz val="8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sz val="10"/>
      <color rgb="FF13B5EA"/>
      <name val="Arial"/>
      <family val="2"/>
      <charset val="238"/>
    </font>
    <font>
      <b/>
      <sz val="10"/>
      <name val="Constantia"/>
      <family val="1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sz val="11"/>
      <name val="Times New Roman"/>
      <family val="1"/>
      <charset val="238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0"/>
      <name val="MS Sans Serif"/>
      <family val="2"/>
    </font>
    <font>
      <b/>
      <sz val="9"/>
      <color indexed="8"/>
      <name val="Constantia"/>
      <family val="1"/>
      <charset val="238"/>
    </font>
    <font>
      <sz val="9"/>
      <color indexed="8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sz val="8"/>
      <color theme="1"/>
      <name val="Constantia"/>
      <family val="1"/>
      <charset val="238"/>
    </font>
    <font>
      <i/>
      <sz val="10"/>
      <name val="Arial"/>
      <family val="2"/>
      <charset val="238"/>
    </font>
    <font>
      <sz val="9"/>
      <name val="Calibri"/>
      <family val="2"/>
      <charset val="238"/>
    </font>
    <font>
      <b/>
      <sz val="10"/>
      <color rgb="FFFF0000"/>
      <name val="Constantia"/>
      <family val="1"/>
      <charset val="238"/>
    </font>
    <font>
      <sz val="8"/>
      <name val="Verdana"/>
      <family val="2"/>
    </font>
    <font>
      <b/>
      <sz val="8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vertAlign val="superscript"/>
      <sz val="10"/>
      <name val="Verdana"/>
      <family val="2"/>
    </font>
    <font>
      <b/>
      <sz val="9"/>
      <color indexed="10"/>
      <name val="Courier New"/>
      <family val="3"/>
    </font>
    <font>
      <i/>
      <sz val="10"/>
      <color rgb="FF13B5EA"/>
      <name val="Constantia"/>
      <family val="1"/>
      <charset val="238"/>
    </font>
    <font>
      <sz val="11"/>
      <name val="Calibri"/>
      <family val="2"/>
      <charset val="238"/>
    </font>
    <font>
      <b/>
      <sz val="15"/>
      <color theme="3"/>
      <name val="Constantia"/>
      <family val="2"/>
      <charset val="238"/>
    </font>
    <font>
      <b/>
      <sz val="13"/>
      <color theme="3"/>
      <name val="Constantia"/>
      <family val="2"/>
      <charset val="238"/>
    </font>
    <font>
      <b/>
      <sz val="11"/>
      <color theme="3"/>
      <name val="Constantia"/>
      <family val="2"/>
      <charset val="238"/>
    </font>
    <font>
      <sz val="10"/>
      <color rgb="FF9C0006"/>
      <name val="Constantia"/>
      <family val="2"/>
      <charset val="238"/>
    </font>
    <font>
      <sz val="10"/>
      <color rgb="FF9C6500"/>
      <name val="Constantia"/>
      <family val="2"/>
      <charset val="238"/>
    </font>
    <font>
      <sz val="10"/>
      <color rgb="FF3F3F76"/>
      <name val="Constantia"/>
      <family val="2"/>
      <charset val="238"/>
    </font>
    <font>
      <b/>
      <sz val="10"/>
      <color rgb="FF3F3F3F"/>
      <name val="Constantia"/>
      <family val="2"/>
      <charset val="238"/>
    </font>
    <font>
      <b/>
      <sz val="10"/>
      <color rgb="FFFA7D00"/>
      <name val="Constantia"/>
      <family val="2"/>
      <charset val="238"/>
    </font>
    <font>
      <sz val="10"/>
      <color rgb="FFFA7D00"/>
      <name val="Constantia"/>
      <family val="2"/>
      <charset val="238"/>
    </font>
    <font>
      <b/>
      <sz val="10"/>
      <color theme="0"/>
      <name val="Constantia"/>
      <family val="2"/>
      <charset val="238"/>
    </font>
    <font>
      <i/>
      <sz val="10"/>
      <color rgb="FF7F7F7F"/>
      <name val="Constantia"/>
      <family val="2"/>
      <charset val="238"/>
    </font>
    <font>
      <sz val="10"/>
      <color theme="0"/>
      <name val="Constantia"/>
      <family val="2"/>
      <charset val="238"/>
    </font>
    <font>
      <sz val="10"/>
      <color rgb="FF006100"/>
      <name val="Constantia"/>
      <family val="2"/>
      <charset val="238"/>
    </font>
    <font>
      <sz val="10"/>
      <color rgb="FFFF0000"/>
      <name val="Constantia"/>
      <family val="2"/>
      <charset val="238"/>
    </font>
    <font>
      <b/>
      <sz val="10"/>
      <color theme="1"/>
      <name val="Constantia"/>
      <family val="2"/>
      <charset val="238"/>
    </font>
    <font>
      <sz val="10"/>
      <color theme="1"/>
      <name val="Arial"/>
      <family val="2"/>
    </font>
    <font>
      <sz val="7.5"/>
      <name val="Century Schoolbook"/>
      <family val="1"/>
    </font>
    <font>
      <sz val="9"/>
      <name val="Times"/>
      <family val="1"/>
    </font>
    <font>
      <sz val="10"/>
      <name val="Times"/>
      <family val="1"/>
    </font>
    <font>
      <i/>
      <sz val="8"/>
      <name val="Tms Rmn"/>
    </font>
    <font>
      <b/>
      <sz val="8"/>
      <name val="Tms Rmn"/>
    </font>
    <font>
      <u/>
      <sz val="9"/>
      <color theme="10"/>
      <name val="Times"/>
      <family val="1"/>
    </font>
    <font>
      <sz val="9"/>
      <color theme="1"/>
      <name val="Times New Roman"/>
      <family val="2"/>
    </font>
    <font>
      <b/>
      <sz val="8.5"/>
      <name val="Arial"/>
      <family val="2"/>
    </font>
    <font>
      <sz val="10"/>
      <color theme="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theme="1"/>
      <name val="Calibri"/>
      <family val="2"/>
      <charset val="238"/>
    </font>
    <font>
      <sz val="12"/>
      <name val="Garamond"/>
      <family val="1"/>
      <charset val="238"/>
    </font>
    <font>
      <sz val="11"/>
      <color indexed="60"/>
      <name val="Calibri"/>
      <family val="2"/>
    </font>
    <font>
      <b/>
      <sz val="10"/>
      <color theme="1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0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9"/>
      <color rgb="FF00B0F0"/>
      <name val="Constantia"/>
      <family val="1"/>
      <charset val="238"/>
    </font>
    <font>
      <sz val="8"/>
      <name val="Arial"/>
      <family val="2"/>
      <charset val="238"/>
    </font>
    <font>
      <sz val="9"/>
      <color theme="1"/>
      <name val="Calibri"/>
      <family val="2"/>
      <scheme val="minor"/>
    </font>
    <font>
      <b/>
      <sz val="10"/>
      <color theme="1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b/>
      <sz val="14"/>
      <name val="Arial Narrow"/>
      <family val="2"/>
      <charset val="238"/>
    </font>
    <font>
      <b/>
      <sz val="10"/>
      <name val="Arial Narrow"/>
      <family val="2"/>
    </font>
    <font>
      <u/>
      <sz val="10"/>
      <color theme="10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Constantia"/>
      <family val="1"/>
      <charset val="238"/>
    </font>
    <font>
      <sz val="10"/>
      <color rgb="FF9C5700"/>
      <name val="Constantia"/>
      <family val="2"/>
      <charset val="238"/>
    </font>
    <font>
      <i/>
      <sz val="9"/>
      <color rgb="FFFF0000"/>
      <name val="Constantia"/>
      <family val="1"/>
      <charset val="238"/>
    </font>
    <font>
      <vertAlign val="superscript"/>
      <sz val="9"/>
      <name val="Constantia"/>
      <family val="1"/>
      <charset val="238"/>
    </font>
    <font>
      <sz val="8"/>
      <name val="Constantia"/>
      <family val="1"/>
      <charset val="238"/>
    </font>
    <font>
      <sz val="10"/>
      <color rgb="FF000000"/>
      <name val="Constantia"/>
      <family val="1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rgb="FF13B5EA"/>
      <name val="Arial"/>
      <family val="2"/>
      <charset val="238"/>
    </font>
    <font>
      <sz val="11"/>
      <color theme="0"/>
      <name val="Constantia"/>
      <family val="1"/>
      <charset val="238"/>
    </font>
    <font>
      <b/>
      <sz val="8"/>
      <color theme="1"/>
      <name val="Constantia"/>
      <family val="1"/>
      <charset val="238"/>
    </font>
    <font>
      <vertAlign val="subscript"/>
      <sz val="9"/>
      <color indexed="8"/>
      <name val="Constantia"/>
      <family val="1"/>
      <charset val="238"/>
    </font>
    <font>
      <sz val="11"/>
      <color rgb="FFFF0000"/>
      <name val="Constantia"/>
      <family val="1"/>
      <charset val="238"/>
    </font>
    <font>
      <i/>
      <sz val="8"/>
      <color rgb="FF000000"/>
      <name val="Constantia"/>
      <family val="1"/>
      <charset val="238"/>
    </font>
    <font>
      <sz val="9"/>
      <color rgb="FF454545"/>
      <name val="Arial"/>
      <family val="2"/>
      <charset val="238"/>
    </font>
    <font>
      <b/>
      <i/>
      <sz val="9"/>
      <color rgb="FF000000"/>
      <name val="Constantia"/>
      <family val="1"/>
      <charset val="238"/>
    </font>
    <font>
      <sz val="9"/>
      <color rgb="FF3F3F76"/>
      <name val="Constantia"/>
      <family val="1"/>
      <charset val="238"/>
    </font>
    <font>
      <sz val="11"/>
      <color rgb="FF0061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color rgb="FFFFFFFF"/>
      <name val="Constantia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rgb="FF00B0F0"/>
      <name val="Constantia"/>
      <family val="1"/>
      <charset val="238"/>
    </font>
    <font>
      <sz val="11"/>
      <name val="Constantia"/>
      <family val="1"/>
      <charset val="238"/>
    </font>
    <font>
      <sz val="10"/>
      <color rgb="FF00B0F0"/>
      <name val="Constantia"/>
      <family val="1"/>
      <charset val="238"/>
    </font>
    <font>
      <b/>
      <sz val="16"/>
      <color rgb="FF13B5EA"/>
      <name val="Constantia"/>
      <family val="1"/>
      <charset val="238"/>
    </font>
    <font>
      <sz val="9"/>
      <color theme="1"/>
      <name val="Constantia"/>
      <family val="1"/>
    </font>
    <font>
      <b/>
      <sz val="10"/>
      <color rgb="FF13B5EA"/>
      <name val="Constantia"/>
      <family val="1"/>
    </font>
    <font>
      <b/>
      <sz val="9"/>
      <color theme="0"/>
      <name val="Constantia"/>
      <family val="1"/>
    </font>
    <font>
      <b/>
      <sz val="9"/>
      <color theme="1"/>
      <name val="Constantia"/>
      <family val="1"/>
    </font>
    <font>
      <i/>
      <sz val="8"/>
      <color rgb="FF13B5EA"/>
      <name val="Constantia"/>
      <family val="1"/>
    </font>
    <font>
      <sz val="9"/>
      <color theme="1"/>
      <name val="Calibri"/>
      <family val="2"/>
      <charset val="238"/>
      <scheme val="minor"/>
    </font>
    <font>
      <i/>
      <sz val="8"/>
      <color rgb="FF00B0F0"/>
      <name val="Constantia"/>
      <family val="1"/>
      <charset val="238"/>
    </font>
    <font>
      <i/>
      <vertAlign val="superscript"/>
      <sz val="8"/>
      <color rgb="FF00B0F0"/>
      <name val="Constantia"/>
      <family val="1"/>
      <charset val="238"/>
    </font>
    <font>
      <i/>
      <vertAlign val="superscript"/>
      <sz val="12"/>
      <color rgb="FF00B0F0"/>
      <name val="Constantia"/>
      <family val="1"/>
      <charset val="238"/>
    </font>
    <font>
      <b/>
      <sz val="8"/>
      <color rgb="FF13B5EA"/>
      <name val="Constantia"/>
      <family val="1"/>
      <charset val="238"/>
    </font>
    <font>
      <sz val="9"/>
      <color theme="0"/>
      <name val="Constantia"/>
      <family val="1"/>
    </font>
    <font>
      <sz val="8"/>
      <color theme="0"/>
      <name val="Constantia"/>
      <family val="1"/>
    </font>
    <font>
      <sz val="9"/>
      <name val="Constantia"/>
      <family val="1"/>
    </font>
    <font>
      <b/>
      <sz val="9"/>
      <name val="Constantia"/>
      <family val="1"/>
    </font>
    <font>
      <b/>
      <sz val="10"/>
      <color rgb="FF13B5EA"/>
      <name val="Times New Roman"/>
      <family val="1"/>
      <charset val="238"/>
    </font>
    <font>
      <sz val="9"/>
      <color rgb="FF13B5EA"/>
      <name val="Constantia"/>
      <family val="1"/>
    </font>
    <font>
      <b/>
      <sz val="9"/>
      <color rgb="FF13B5EA"/>
      <name val="Constantia"/>
      <family val="1"/>
    </font>
    <font>
      <b/>
      <sz val="9"/>
      <color theme="1"/>
      <name val="Calibri"/>
      <family val="2"/>
      <charset val="238"/>
      <scheme val="minor"/>
    </font>
    <font>
      <b/>
      <sz val="10"/>
      <color rgb="FFFFFFFF"/>
      <name val="Constantia"/>
      <family val="1"/>
    </font>
    <font>
      <b/>
      <sz val="9"/>
      <color rgb="FFFFFFFF"/>
      <name val="Constantia"/>
      <family val="1"/>
    </font>
    <font>
      <b/>
      <sz val="9"/>
      <color rgb="FF000000"/>
      <name val="Constantia"/>
      <family val="1"/>
    </font>
    <font>
      <sz val="9"/>
      <color rgb="FF000000"/>
      <name val="Constantia"/>
      <family val="1"/>
    </font>
    <font>
      <sz val="10"/>
      <color theme="1"/>
      <name val="Times New Roman"/>
      <family val="1"/>
    </font>
    <font>
      <sz val="9"/>
      <color theme="0"/>
      <name val="Constantia"/>
      <family val="1"/>
      <charset val="238"/>
    </font>
    <font>
      <i/>
      <sz val="8"/>
      <color theme="1"/>
      <name val="Calibri"/>
      <family val="2"/>
      <charset val="238"/>
      <scheme val="minor"/>
    </font>
    <font>
      <sz val="6"/>
      <color rgb="FF13B5EA"/>
      <name val="Constantia"/>
      <family val="1"/>
      <charset val="238"/>
    </font>
    <font>
      <sz val="10"/>
      <color theme="0"/>
      <name val="Constantia"/>
      <family val="1"/>
      <charset val="238"/>
    </font>
    <font>
      <b/>
      <sz val="10"/>
      <color rgb="FF000000"/>
      <name val="Constantia"/>
      <family val="1"/>
      <charset val="238"/>
    </font>
    <font>
      <sz val="10"/>
      <name val="Arial"/>
      <family val="2"/>
      <charset val="238"/>
    </font>
    <font>
      <i/>
      <sz val="9"/>
      <color rgb="FF000000"/>
      <name val="Constantia"/>
      <family val="1"/>
      <charset val="238"/>
    </font>
    <font>
      <b/>
      <sz val="10"/>
      <color rgb="FF13B5EB"/>
      <name val="Constantia"/>
      <family val="1"/>
      <charset val="238"/>
    </font>
    <font>
      <b/>
      <sz val="10"/>
      <color rgb="FFFFFFFF"/>
      <name val="Constantia"/>
      <family val="1"/>
      <charset val="238"/>
    </font>
    <font>
      <sz val="10"/>
      <color rgb="FFFFFFFF"/>
      <name val="Constantia"/>
      <family val="1"/>
      <charset val="238"/>
    </font>
    <font>
      <i/>
      <sz val="10"/>
      <color rgb="FF00B0F0"/>
      <name val="Constantia"/>
      <family val="1"/>
      <charset val="238"/>
    </font>
    <font>
      <u/>
      <sz val="10"/>
      <name val="Arial"/>
      <family val="2"/>
      <charset val="238"/>
    </font>
    <font>
      <sz val="9"/>
      <color rgb="FF00B0F0"/>
      <name val="Constantia"/>
      <family val="1"/>
      <charset val="238"/>
    </font>
    <font>
      <i/>
      <sz val="9"/>
      <color rgb="FF00B0F0"/>
      <name val="Constantia"/>
      <family val="1"/>
      <charset val="238"/>
    </font>
    <font>
      <i/>
      <sz val="8"/>
      <color theme="1"/>
      <name val="Constantia"/>
      <family val="1"/>
      <charset val="238"/>
    </font>
    <font>
      <sz val="7"/>
      <color rgb="FF000000"/>
      <name val="Times New Roman"/>
      <family val="1"/>
      <charset val="238"/>
    </font>
    <font>
      <i/>
      <sz val="10"/>
      <color theme="1"/>
      <name val="Constantia"/>
      <family val="1"/>
      <charset val="238"/>
    </font>
    <font>
      <sz val="8"/>
      <color rgb="FF13B5EA"/>
      <name val="Constantia"/>
      <family val="1"/>
      <charset val="238"/>
    </font>
    <font>
      <b/>
      <i/>
      <sz val="9"/>
      <color rgb="FFFFFFFF"/>
      <name val="Constantia"/>
      <family val="1"/>
      <charset val="238"/>
    </font>
  </fonts>
  <fills count="84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5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3B5EB"/>
        <bgColor indexed="64"/>
      </patternFill>
    </fill>
  </fills>
  <borders count="1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 style="thin">
        <color rgb="FF13B5EA"/>
      </left>
      <right style="medium">
        <color rgb="FF13B5EA"/>
      </right>
      <top style="thin">
        <color rgb="FF13B5EA"/>
      </top>
      <bottom/>
      <diagonal/>
    </border>
    <border>
      <left/>
      <right style="medium">
        <color rgb="FF13B5EA"/>
      </right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/>
      <right style="thin">
        <color rgb="FF13B5EA"/>
      </right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 style="thin">
        <color rgb="FF13B5EA"/>
      </top>
      <bottom/>
      <diagonal/>
    </border>
    <border>
      <left style="thin">
        <color rgb="FF13B5EA"/>
      </left>
      <right/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 style="thin">
        <color rgb="FF13B5EA"/>
      </bottom>
      <diagonal/>
    </border>
    <border>
      <left/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 style="medium">
        <color rgb="FF13B5EA"/>
      </left>
      <right style="thin">
        <color theme="0"/>
      </right>
      <top/>
      <bottom/>
      <diagonal/>
    </border>
    <border>
      <left style="medium">
        <color rgb="FF13B5EA"/>
      </left>
      <right style="medium">
        <color rgb="FF13B5EA"/>
      </right>
      <top/>
      <bottom/>
      <diagonal/>
    </border>
    <border>
      <left style="medium">
        <color rgb="FF13B5EA"/>
      </left>
      <right/>
      <top/>
      <bottom/>
      <diagonal/>
    </border>
    <border>
      <left/>
      <right style="medium">
        <color rgb="FF13B5EA"/>
      </right>
      <top/>
      <bottom/>
      <diagonal/>
    </border>
    <border>
      <left style="thin">
        <color rgb="FF13B5EA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13B5EA"/>
      </right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13B5EA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13B5EA"/>
      </right>
      <top style="thin">
        <color theme="0"/>
      </top>
      <bottom/>
      <diagonal/>
    </border>
    <border>
      <left style="thin">
        <color rgb="FF13B5EA"/>
      </left>
      <right/>
      <top style="thin">
        <color theme="0"/>
      </top>
      <bottom/>
      <diagonal/>
    </border>
    <border>
      <left style="thin">
        <color rgb="FF13B5EA"/>
      </left>
      <right style="thin">
        <color rgb="FF13B5EA"/>
      </right>
      <top style="thin">
        <color theme="0"/>
      </top>
      <bottom/>
      <diagonal/>
    </border>
    <border>
      <left style="thin">
        <color theme="0"/>
      </left>
      <right style="thin">
        <color rgb="FF13B5EA"/>
      </right>
      <top style="thin">
        <color theme="0"/>
      </top>
      <bottom/>
      <diagonal/>
    </border>
    <border>
      <left style="thin">
        <color theme="0"/>
      </left>
      <right style="thin">
        <color rgb="FF13B5EA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rgb="FF13B5EA"/>
      </bottom>
      <diagonal/>
    </border>
    <border>
      <left/>
      <right style="thin">
        <color theme="0"/>
      </right>
      <top/>
      <bottom style="thin">
        <color rgb="FF13B5EA"/>
      </bottom>
      <diagonal/>
    </border>
    <border>
      <left style="thin">
        <color rgb="FF13B5EA"/>
      </left>
      <right style="thin">
        <color theme="0"/>
      </right>
      <top style="thin">
        <color rgb="FF13B5EA"/>
      </top>
      <bottom/>
      <diagonal/>
    </border>
    <border>
      <left style="thin">
        <color theme="0"/>
      </left>
      <right style="thin">
        <color theme="0"/>
      </right>
      <top style="thin">
        <color rgb="FF13B5EA"/>
      </top>
      <bottom/>
      <diagonal/>
    </border>
    <border>
      <left style="thin">
        <color theme="0"/>
      </left>
      <right/>
      <top style="thin">
        <color rgb="FF13B5EA"/>
      </top>
      <bottom/>
      <diagonal/>
    </border>
    <border>
      <left style="thin">
        <color rgb="FF13B5EA"/>
      </left>
      <right style="thin">
        <color theme="0"/>
      </right>
      <top/>
      <bottom style="medium">
        <color rgb="FF13B5EA"/>
      </bottom>
      <diagonal/>
    </border>
    <border>
      <left style="thin">
        <color theme="0"/>
      </left>
      <right/>
      <top/>
      <bottom style="medium">
        <color rgb="FF13B5EA"/>
      </bottom>
      <diagonal/>
    </border>
    <border>
      <left/>
      <right style="thin">
        <color rgb="FF13B5EA"/>
      </right>
      <top/>
      <bottom style="medium">
        <color rgb="FF13B5EA"/>
      </bottom>
      <diagonal/>
    </border>
    <border>
      <left/>
      <right style="thin">
        <color rgb="FF13B5EA"/>
      </right>
      <top style="medium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 style="thin">
        <color rgb="FF13B5EB"/>
      </bottom>
      <diagonal/>
    </border>
    <border>
      <left/>
      <right/>
      <top/>
      <bottom style="thin">
        <color rgb="FF13B5EB"/>
      </bottom>
      <diagonal/>
    </border>
    <border>
      <left/>
      <right style="thin">
        <color rgb="FF13B5EA"/>
      </right>
      <top/>
      <bottom style="thin">
        <color rgb="FF13B5EB"/>
      </bottom>
      <diagonal/>
    </border>
    <border>
      <left/>
      <right/>
      <top style="thin">
        <color rgb="FF13B5EB"/>
      </top>
      <bottom/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13B5EB"/>
      </left>
      <right style="thin">
        <color rgb="FF13B5EB"/>
      </right>
      <top/>
      <bottom/>
      <diagonal/>
    </border>
    <border>
      <left style="thin">
        <color rgb="FF13B5EB"/>
      </left>
      <right style="thin">
        <color rgb="FF13B5EB"/>
      </right>
      <top/>
      <bottom style="thin">
        <color rgb="FF13B5EB"/>
      </bottom>
      <diagonal/>
    </border>
    <border>
      <left style="thin">
        <color rgb="FF13B5EB"/>
      </left>
      <right/>
      <top/>
      <bottom/>
      <diagonal/>
    </border>
    <border>
      <left/>
      <right style="thin">
        <color rgb="FF13B5EB"/>
      </right>
      <top/>
      <bottom/>
      <diagonal/>
    </border>
    <border>
      <left style="thin">
        <color rgb="FF13B5EB"/>
      </left>
      <right/>
      <top/>
      <bottom style="thin">
        <color rgb="FF13B5EA"/>
      </bottom>
      <diagonal/>
    </border>
    <border>
      <left/>
      <right style="thin">
        <color rgb="FF13B5EB"/>
      </right>
      <top/>
      <bottom style="thin">
        <color rgb="FF13B5EA"/>
      </bottom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theme="0"/>
      </right>
      <top style="thin">
        <color rgb="FF00B0F0"/>
      </top>
      <bottom/>
      <diagonal/>
    </border>
    <border>
      <left/>
      <right style="thin">
        <color theme="0"/>
      </right>
      <top style="thin">
        <color rgb="FF00B0F0"/>
      </top>
      <bottom/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rgb="FF13B5EB"/>
      </left>
      <right style="thin">
        <color rgb="FF13B5EB"/>
      </right>
      <top/>
      <bottom style="thin">
        <color rgb="FF00B0F0"/>
      </bottom>
      <diagonal/>
    </border>
  </borders>
  <cellStyleXfs count="2766">
    <xf numFmtId="0" fontId="0" fillId="0" borderId="0"/>
    <xf numFmtId="168" fontId="19" fillId="0" borderId="0"/>
    <xf numFmtId="168" fontId="20" fillId="0" borderId="0"/>
    <xf numFmtId="169" fontId="21" fillId="0" borderId="0" applyFont="0" applyFill="0" applyBorder="0" applyAlignment="0" applyProtection="0"/>
    <xf numFmtId="38" fontId="22" fillId="0" borderId="0" applyFill="0" applyBorder="0" applyAlignment="0">
      <protection locked="0"/>
    </xf>
    <xf numFmtId="170" fontId="21" fillId="0" borderId="0" applyFont="0" applyFill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173" fontId="21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174" fontId="21" fillId="0" borderId="0"/>
    <xf numFmtId="174" fontId="21" fillId="0" borderId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3" applyNumberFormat="0" applyAlignment="0" applyProtection="0"/>
    <xf numFmtId="0" fontId="26" fillId="22" borderId="4" applyNumberFormat="0" applyAlignment="0" applyProtection="0"/>
    <xf numFmtId="168" fontId="27" fillId="0" borderId="5" applyNumberFormat="0" applyFont="0" applyFill="0" applyAlignment="0" applyProtection="0"/>
    <xf numFmtId="0" fontId="27" fillId="0" borderId="5" applyNumberFormat="0" applyFont="0" applyFill="0" applyAlignment="0" applyProtection="0"/>
    <xf numFmtId="165" fontId="28" fillId="0" borderId="0" applyFont="0" applyFill="0" applyBorder="0" applyAlignment="0" applyProtection="0"/>
    <xf numFmtId="3" fontId="19" fillId="23" borderId="0" applyFont="0" applyFill="0" applyBorder="0" applyAlignment="0" applyProtection="0"/>
    <xf numFmtId="3" fontId="14" fillId="23" borderId="0" applyFont="0" applyFill="0" applyBorder="0" applyAlignment="0" applyProtection="0"/>
    <xf numFmtId="168" fontId="19" fillId="0" borderId="0"/>
    <xf numFmtId="175" fontId="23" fillId="0" borderId="0" applyFont="0" applyFill="0" applyBorder="0" applyAlignment="0" applyProtection="0"/>
    <xf numFmtId="176" fontId="19" fillId="23" borderId="0" applyFont="0" applyFill="0" applyBorder="0" applyAlignment="0" applyProtection="0"/>
    <xf numFmtId="176" fontId="14" fillId="23" borderId="0" applyFont="0" applyFill="0" applyBorder="0" applyAlignment="0" applyProtection="0"/>
    <xf numFmtId="165" fontId="29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8" fontId="19" fillId="23" borderId="0" applyFont="0" applyFill="0" applyBorder="0" applyAlignment="0" applyProtection="0"/>
    <xf numFmtId="0" fontId="14" fillId="23" borderId="0" applyFont="0" applyFill="0" applyBorder="0" applyAlignment="0" applyProtection="0"/>
    <xf numFmtId="0" fontId="14" fillId="23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5" fontId="30" fillId="0" borderId="0"/>
    <xf numFmtId="168" fontId="20" fillId="0" borderId="0"/>
    <xf numFmtId="168" fontId="20" fillId="0" borderId="0"/>
    <xf numFmtId="166" fontId="31" fillId="0" borderId="0"/>
    <xf numFmtId="0" fontId="32" fillId="9" borderId="4" applyNumberFormat="0" applyAlignment="0" applyProtection="0"/>
    <xf numFmtId="0" fontId="33" fillId="0" borderId="6" applyNumberFormat="0" applyFill="0" applyAlignment="0" applyProtection="0"/>
    <xf numFmtId="0" fontId="34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35" fillId="0" borderId="0"/>
    <xf numFmtId="180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68" fontId="36" fillId="0" borderId="0" applyProtection="0"/>
    <xf numFmtId="168" fontId="37" fillId="0" borderId="0" applyProtection="0"/>
    <xf numFmtId="168" fontId="37" fillId="0" borderId="0" applyProtection="0"/>
    <xf numFmtId="168" fontId="38" fillId="0" borderId="0" applyProtection="0"/>
    <xf numFmtId="168" fontId="19" fillId="0" borderId="0" applyProtection="0"/>
    <xf numFmtId="168" fontId="37" fillId="0" borderId="0" applyProtection="0"/>
    <xf numFmtId="168" fontId="37" fillId="0" borderId="0" applyProtection="0"/>
    <xf numFmtId="3" fontId="39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0" fillId="0" borderId="0" applyFont="0" applyFill="0" applyBorder="0" applyAlignment="0" applyProtection="0">
      <alignment vertical="top"/>
    </xf>
    <xf numFmtId="3" fontId="27" fillId="0" borderId="0" applyFont="0" applyFill="0" applyBorder="0" applyAlignment="0" applyProtection="0"/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9" fillId="0" borderId="0" applyFont="0" applyFill="0" applyBorder="0" applyAlignment="0" applyProtection="0">
      <alignment vertical="top"/>
    </xf>
    <xf numFmtId="3" fontId="29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3" fontId="20" fillId="0" borderId="0" applyFont="0" applyFill="0" applyBorder="0" applyAlignment="0" applyProtection="0">
      <alignment vertical="top"/>
    </xf>
    <xf numFmtId="2" fontId="19" fillId="23" borderId="0" applyFont="0" applyFill="0" applyBorder="0" applyAlignment="0" applyProtection="0"/>
    <xf numFmtId="1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2" fontId="14" fillId="23" borderId="0" applyFont="0" applyFill="0" applyBorder="0" applyAlignment="0" applyProtection="0"/>
    <xf numFmtId="2" fontId="14" fillId="23" borderId="0" applyFont="0" applyFill="0" applyBorder="0" applyAlignment="0" applyProtection="0"/>
    <xf numFmtId="2" fontId="19" fillId="0" borderId="0" applyFill="0" applyBorder="0" applyAlignment="0" applyProtection="0"/>
    <xf numFmtId="168" fontId="41" fillId="0" borderId="0"/>
    <xf numFmtId="38" fontId="38" fillId="24" borderId="0" applyNumberFormat="0" applyBorder="0" applyAlignment="0" applyProtection="0"/>
    <xf numFmtId="0" fontId="42" fillId="6" borderId="0" applyNumberFormat="0" applyBorder="0" applyAlignment="0" applyProtection="0"/>
    <xf numFmtId="168" fontId="43" fillId="0" borderId="0"/>
    <xf numFmtId="168" fontId="44" fillId="0" borderId="0"/>
    <xf numFmtId="168" fontId="45" fillId="23" borderId="0" applyNumberFormat="0" applyFont="0" applyFill="0" applyAlignment="0" applyProtection="0"/>
    <xf numFmtId="0" fontId="45" fillId="23" borderId="0" applyNumberFormat="0" applyFont="0" applyFill="0" applyAlignment="0" applyProtection="0"/>
    <xf numFmtId="168" fontId="44" fillId="23" borderId="0" applyNumberFormat="0" applyFont="0" applyFill="0" applyAlignment="0" applyProtection="0"/>
    <xf numFmtId="168" fontId="46" fillId="23" borderId="0" applyNumberFormat="0" applyFont="0" applyFill="0" applyAlignment="0" applyProtection="0"/>
    <xf numFmtId="0" fontId="46" fillId="23" borderId="0" applyNumberFormat="0" applyFont="0" applyFill="0" applyAlignment="0" applyProtection="0"/>
    <xf numFmtId="168" fontId="47" fillId="0" borderId="0" applyNumberFormat="0" applyFill="0" applyBorder="0" applyAlignment="0" applyProtection="0">
      <alignment vertical="top"/>
      <protection locked="0"/>
    </xf>
    <xf numFmtId="168" fontId="48" fillId="0" borderId="0" applyNumberFormat="0" applyFill="0" applyBorder="0" applyAlignment="0" applyProtection="0">
      <alignment vertical="top"/>
      <protection locked="0"/>
    </xf>
    <xf numFmtId="168" fontId="49" fillId="0" borderId="0"/>
    <xf numFmtId="168" fontId="50" fillId="0" borderId="0"/>
    <xf numFmtId="167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0" fontId="38" fillId="25" borderId="7" applyNumberFormat="0" applyBorder="0" applyAlignment="0" applyProtection="0"/>
    <xf numFmtId="168" fontId="49" fillId="0" borderId="0"/>
    <xf numFmtId="168" fontId="51" fillId="0" borderId="0" applyNumberFormat="0" applyFill="0" applyBorder="0" applyAlignment="0" applyProtection="0">
      <alignment vertical="top"/>
      <protection locked="0"/>
    </xf>
    <xf numFmtId="168" fontId="52" fillId="0" borderId="0" applyNumberFormat="0" applyFill="0" applyBorder="0" applyAlignment="0" applyProtection="0">
      <alignment vertical="top"/>
      <protection locked="0"/>
    </xf>
    <xf numFmtId="182" fontId="27" fillId="0" borderId="0" applyFont="0" applyFill="0" applyBorder="0" applyAlignment="0" applyProtection="0"/>
    <xf numFmtId="183" fontId="53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84" fontId="20" fillId="0" borderId="0" applyFont="0" applyFill="0" applyBorder="0" applyAlignment="0" applyProtection="0">
      <alignment vertical="top"/>
    </xf>
    <xf numFmtId="184" fontId="27" fillId="0" borderId="0" applyFont="0" applyFill="0" applyBorder="0" applyAlignment="0" applyProtection="0"/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9" fillId="0" borderId="0" applyFont="0" applyFill="0" applyBorder="0" applyAlignment="0" applyProtection="0">
      <alignment vertical="top"/>
    </xf>
    <xf numFmtId="184" fontId="29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4" fontId="20" fillId="0" borderId="0" applyFont="0" applyFill="0" applyBorder="0" applyAlignment="0" applyProtection="0">
      <alignment vertical="top"/>
    </xf>
    <xf numFmtId="18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68" fontId="19" fillId="0" borderId="0"/>
    <xf numFmtId="186" fontId="55" fillId="0" borderId="0"/>
    <xf numFmtId="168" fontId="39" fillId="0" borderId="0"/>
    <xf numFmtId="168" fontId="56" fillId="0" borderId="0"/>
    <xf numFmtId="168" fontId="56" fillId="0" borderId="0"/>
    <xf numFmtId="0" fontId="56" fillId="0" borderId="0"/>
    <xf numFmtId="0" fontId="56" fillId="0" borderId="0"/>
    <xf numFmtId="187" fontId="57" fillId="0" borderId="0"/>
    <xf numFmtId="168" fontId="58" fillId="0" borderId="0"/>
    <xf numFmtId="168" fontId="59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0" fontId="23" fillId="0" borderId="0"/>
    <xf numFmtId="168" fontId="60" fillId="0" borderId="0"/>
    <xf numFmtId="168" fontId="19" fillId="0" borderId="0"/>
    <xf numFmtId="168" fontId="61" fillId="0" borderId="0"/>
    <xf numFmtId="168" fontId="23" fillId="0" borderId="0"/>
    <xf numFmtId="168" fontId="23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0" fontId="63" fillId="0" borderId="0"/>
    <xf numFmtId="168" fontId="19" fillId="0" borderId="0"/>
    <xf numFmtId="168" fontId="19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19" fillId="0" borderId="0"/>
    <xf numFmtId="168" fontId="20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0" fillId="0" borderId="0"/>
    <xf numFmtId="168" fontId="20" fillId="0" borderId="0"/>
    <xf numFmtId="0" fontId="23" fillId="0" borderId="0"/>
    <xf numFmtId="0" fontId="14" fillId="0" borderId="0"/>
    <xf numFmtId="0" fontId="14" fillId="0" borderId="0"/>
    <xf numFmtId="0" fontId="64" fillId="0" borderId="0"/>
    <xf numFmtId="0" fontId="14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0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74" fontId="21" fillId="0" borderId="0"/>
    <xf numFmtId="174" fontId="21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168" fontId="14" fillId="0" borderId="0"/>
    <xf numFmtId="168" fontId="19" fillId="0" borderId="0"/>
    <xf numFmtId="168" fontId="20" fillId="0" borderId="0"/>
    <xf numFmtId="0" fontId="29" fillId="0" borderId="0"/>
    <xf numFmtId="0" fontId="65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9" fillId="0" borderId="0"/>
    <xf numFmtId="168" fontId="29" fillId="0" borderId="0"/>
    <xf numFmtId="0" fontId="29" fillId="0" borderId="0"/>
    <xf numFmtId="0" fontId="29" fillId="0" borderId="0"/>
    <xf numFmtId="168" fontId="29" fillId="0" borderId="0"/>
    <xf numFmtId="168" fontId="19" fillId="0" borderId="0" applyNumberFormat="0" applyFont="0" applyFill="0" applyBorder="0" applyAlignment="0" applyProtection="0"/>
    <xf numFmtId="0" fontId="65" fillId="0" borderId="0"/>
    <xf numFmtId="0" fontId="65" fillId="0" borderId="0"/>
    <xf numFmtId="0" fontId="14" fillId="0" borderId="0"/>
    <xf numFmtId="168" fontId="19" fillId="0" borderId="0"/>
    <xf numFmtId="0" fontId="14" fillId="0" borderId="0"/>
    <xf numFmtId="168" fontId="56" fillId="0" borderId="0"/>
    <xf numFmtId="168" fontId="56" fillId="0" borderId="0"/>
    <xf numFmtId="0" fontId="29" fillId="0" borderId="0"/>
    <xf numFmtId="0" fontId="29" fillId="0" borderId="0"/>
    <xf numFmtId="168" fontId="66" fillId="0" borderId="8"/>
    <xf numFmtId="0" fontId="19" fillId="26" borderId="9" applyNumberFormat="0" applyFont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4" fillId="0" borderId="0" applyFont="0" applyFill="0" applyBorder="0" applyAlignment="0" applyProtection="0"/>
    <xf numFmtId="191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2" fontId="27" fillId="0" borderId="0" applyFont="0" applyFill="0" applyBorder="0" applyAlignment="0" applyProtection="0"/>
    <xf numFmtId="193" fontId="20" fillId="0" borderId="0" applyFill="0" applyBorder="0" applyAlignment="0"/>
    <xf numFmtId="193" fontId="20" fillId="0" borderId="0" applyFill="0" applyBorder="0" applyAlignment="0"/>
    <xf numFmtId="4" fontId="67" fillId="27" borderId="10" applyNumberFormat="0" applyProtection="0">
      <alignment vertical="center"/>
    </xf>
    <xf numFmtId="4" fontId="68" fillId="28" borderId="11" applyNumberFormat="0" applyProtection="0">
      <alignment vertical="center"/>
    </xf>
    <xf numFmtId="4" fontId="69" fillId="27" borderId="10" applyNumberFormat="0" applyProtection="0">
      <alignment vertical="center"/>
    </xf>
    <xf numFmtId="4" fontId="55" fillId="0" borderId="0" applyNumberFormat="0" applyProtection="0">
      <alignment horizontal="left" vertical="center" indent="1"/>
    </xf>
    <xf numFmtId="4" fontId="68" fillId="27" borderId="11" applyNumberFormat="0" applyProtection="0">
      <alignment horizontal="left" vertical="center" indent="1"/>
    </xf>
    <xf numFmtId="168" fontId="68" fillId="27" borderId="11" applyNumberFormat="0" applyProtection="0">
      <alignment horizontal="left" vertical="top" indent="1"/>
    </xf>
    <xf numFmtId="4" fontId="70" fillId="29" borderId="10" applyNumberFormat="0" applyProtection="0">
      <alignment vertical="center"/>
    </xf>
    <xf numFmtId="4" fontId="61" fillId="5" borderId="11" applyNumberFormat="0" applyProtection="0">
      <alignment horizontal="right" vertical="center"/>
    </xf>
    <xf numFmtId="4" fontId="61" fillId="11" borderId="11" applyNumberFormat="0" applyProtection="0">
      <alignment horizontal="right" vertical="center"/>
    </xf>
    <xf numFmtId="4" fontId="61" fillId="19" borderId="11" applyNumberFormat="0" applyProtection="0">
      <alignment horizontal="right" vertical="center"/>
    </xf>
    <xf numFmtId="4" fontId="63" fillId="30" borderId="10" applyNumberFormat="0" applyProtection="0">
      <alignment vertical="center"/>
    </xf>
    <xf numFmtId="4" fontId="61" fillId="13" borderId="11" applyNumberFormat="0" applyProtection="0">
      <alignment horizontal="right" vertical="center"/>
    </xf>
    <xf numFmtId="4" fontId="61" fillId="17" borderId="11" applyNumberFormat="0" applyProtection="0">
      <alignment horizontal="right" vertical="center"/>
    </xf>
    <xf numFmtId="4" fontId="61" fillId="21" borderId="11" applyNumberFormat="0" applyProtection="0">
      <alignment horizontal="right" vertical="center"/>
    </xf>
    <xf numFmtId="4" fontId="70" fillId="31" borderId="10" applyNumberFormat="0" applyProtection="0">
      <alignment vertical="center"/>
    </xf>
    <xf numFmtId="4" fontId="61" fillId="20" borderId="11" applyNumberFormat="0" applyProtection="0">
      <alignment horizontal="right" vertical="center"/>
    </xf>
    <xf numFmtId="4" fontId="61" fillId="32" borderId="11" applyNumberFormat="0" applyProtection="0">
      <alignment horizontal="right" vertical="center"/>
    </xf>
    <xf numFmtId="4" fontId="61" fillId="12" borderId="11" applyNumberFormat="0" applyProtection="0">
      <alignment horizontal="right" vertical="center"/>
    </xf>
    <xf numFmtId="4" fontId="71" fillId="29" borderId="10" applyNumberFormat="0" applyProtection="0">
      <alignment vertical="center"/>
    </xf>
    <xf numFmtId="4" fontId="72" fillId="33" borderId="10" applyNumberFormat="0" applyProtection="0">
      <alignment horizontal="left" vertical="center" indent="1"/>
    </xf>
    <xf numFmtId="4" fontId="72" fillId="34" borderId="10" applyNumberFormat="0" applyProtection="0">
      <alignment horizontal="left" vertical="center" indent="1"/>
    </xf>
    <xf numFmtId="4" fontId="73" fillId="35" borderId="10" applyNumberFormat="0" applyProtection="0">
      <alignment horizontal="left" vertical="center" indent="1"/>
    </xf>
    <xf numFmtId="4" fontId="74" fillId="36" borderId="10" applyNumberFormat="0" applyProtection="0">
      <alignment vertical="center"/>
    </xf>
    <xf numFmtId="4" fontId="75" fillId="37" borderId="10" applyNumberFormat="0" applyProtection="0">
      <alignment horizontal="left" vertical="center" indent="1"/>
    </xf>
    <xf numFmtId="4" fontId="76" fillId="34" borderId="10" applyNumberFormat="0" applyProtection="0">
      <alignment horizontal="left" vertical="center" indent="1"/>
    </xf>
    <xf numFmtId="4" fontId="77" fillId="35" borderId="10" applyNumberFormat="0" applyProtection="0">
      <alignment horizontal="left" vertical="center" indent="1"/>
    </xf>
    <xf numFmtId="168" fontId="19" fillId="35" borderId="11" applyNumberFormat="0" applyProtection="0">
      <alignment horizontal="left" vertical="center" indent="1"/>
    </xf>
    <xf numFmtId="168" fontId="19" fillId="35" borderId="11" applyNumberFormat="0" applyProtection="0">
      <alignment horizontal="left" vertical="top" indent="1"/>
    </xf>
    <xf numFmtId="168" fontId="19" fillId="3" borderId="11" applyNumberFormat="0" applyProtection="0">
      <alignment horizontal="left" vertical="center" indent="1"/>
    </xf>
    <xf numFmtId="168" fontId="19" fillId="3" borderId="11" applyNumberFormat="0" applyProtection="0">
      <alignment horizontal="left" vertical="top" indent="1"/>
    </xf>
    <xf numFmtId="168" fontId="14" fillId="36" borderId="11" applyNumberFormat="0" applyProtection="0">
      <alignment horizontal="left" vertical="center" indent="1"/>
    </xf>
    <xf numFmtId="0" fontId="14" fillId="36" borderId="11" applyNumberFormat="0" applyProtection="0">
      <alignment horizontal="left" vertical="center" indent="1"/>
    </xf>
    <xf numFmtId="168" fontId="19" fillId="36" borderId="11" applyNumberFormat="0" applyProtection="0">
      <alignment horizontal="left" vertical="top" indent="1"/>
    </xf>
    <xf numFmtId="168" fontId="14" fillId="34" borderId="11" applyNumberFormat="0" applyProtection="0">
      <alignment horizontal="left" vertical="center" indent="1"/>
    </xf>
    <xf numFmtId="0" fontId="14" fillId="34" borderId="11" applyNumberFormat="0" applyProtection="0">
      <alignment horizontal="left" vertical="center" indent="1"/>
    </xf>
    <xf numFmtId="168" fontId="19" fillId="34" borderId="11" applyNumberFormat="0" applyProtection="0">
      <alignment horizontal="left" vertical="top" indent="1"/>
    </xf>
    <xf numFmtId="4" fontId="78" fillId="35" borderId="10" applyNumberFormat="0" applyProtection="0">
      <alignment horizontal="left" vertical="center" indent="1"/>
    </xf>
    <xf numFmtId="4" fontId="68" fillId="3" borderId="0" applyNumberFormat="0" applyProtection="0">
      <alignment horizontal="left" vertical="center" indent="1"/>
    </xf>
    <xf numFmtId="4" fontId="79" fillId="37" borderId="10" applyNumberFormat="0" applyProtection="0">
      <alignment vertical="center"/>
    </xf>
    <xf numFmtId="4" fontId="80" fillId="37" borderId="10" applyNumberFormat="0" applyProtection="0">
      <alignment vertical="center"/>
    </xf>
    <xf numFmtId="4" fontId="72" fillId="34" borderId="10" applyNumberFormat="0" applyProtection="0">
      <alignment horizontal="left" vertical="center" indent="1"/>
    </xf>
    <xf numFmtId="168" fontId="61" fillId="25" borderId="11" applyNumberFormat="0" applyProtection="0">
      <alignment horizontal="left" vertical="top" indent="1"/>
    </xf>
    <xf numFmtId="4" fontId="81" fillId="37" borderId="10" applyNumberFormat="0" applyProtection="0">
      <alignment vertical="center"/>
    </xf>
    <xf numFmtId="4" fontId="61" fillId="38" borderId="11" applyNumberFormat="0" applyProtection="0">
      <alignment horizontal="right" vertical="center"/>
    </xf>
    <xf numFmtId="4" fontId="61" fillId="38" borderId="11" applyNumberFormat="0" applyProtection="0">
      <alignment horizontal="right" vertical="center"/>
    </xf>
    <xf numFmtId="4" fontId="82" fillId="37" borderId="10" applyNumberFormat="0" applyProtection="0">
      <alignment vertical="center"/>
    </xf>
    <xf numFmtId="4" fontId="38" fillId="0" borderId="0" applyNumberFormat="0" applyProtection="0">
      <alignment horizontal="left" vertical="center" indent="1"/>
    </xf>
    <xf numFmtId="4" fontId="61" fillId="39" borderId="11" applyNumberFormat="0" applyProtection="0">
      <alignment horizontal="left" vertical="center" indent="1"/>
    </xf>
    <xf numFmtId="168" fontId="61" fillId="3" borderId="11" applyNumberFormat="0" applyProtection="0">
      <alignment horizontal="left" vertical="top" indent="1"/>
    </xf>
    <xf numFmtId="4" fontId="83" fillId="37" borderId="10" applyNumberFormat="0" applyProtection="0">
      <alignment vertical="center"/>
    </xf>
    <xf numFmtId="4" fontId="84" fillId="37" borderId="10" applyNumberFormat="0" applyProtection="0">
      <alignment vertical="center"/>
    </xf>
    <xf numFmtId="4" fontId="72" fillId="25" borderId="10" applyNumberFormat="0" applyProtection="0">
      <alignment horizontal="left" vertical="center" indent="1"/>
    </xf>
    <xf numFmtId="4" fontId="85" fillId="36" borderId="10" applyNumberFormat="0" applyProtection="0">
      <alignment horizontal="left" indent="1"/>
    </xf>
    <xf numFmtId="4" fontId="86" fillId="37" borderId="10" applyNumberFormat="0" applyProtection="0">
      <alignment vertical="center"/>
    </xf>
    <xf numFmtId="0" fontId="87" fillId="5" borderId="0" applyNumberFormat="0" applyBorder="0" applyAlignment="0" applyProtection="0"/>
    <xf numFmtId="168" fontId="21" fillId="0" borderId="0"/>
    <xf numFmtId="194" fontId="88" fillId="0" borderId="0"/>
    <xf numFmtId="168" fontId="19" fillId="0" borderId="0" applyNumberFormat="0"/>
    <xf numFmtId="0" fontId="14" fillId="0" borderId="0" applyNumberFormat="0"/>
    <xf numFmtId="0" fontId="14" fillId="23" borderId="12" applyNumberFormat="0" applyFont="0" applyBorder="0" applyAlignment="0" applyProtection="0"/>
    <xf numFmtId="0" fontId="89" fillId="0" borderId="0" applyNumberFormat="0" applyFill="0" applyBorder="0" applyAlignment="0" applyProtection="0"/>
    <xf numFmtId="0" fontId="90" fillId="0" borderId="13" applyNumberFormat="0" applyFill="0" applyAlignment="0" applyProtection="0"/>
    <xf numFmtId="0" fontId="91" fillId="0" borderId="14" applyNumberFormat="0" applyFill="0" applyAlignment="0" applyProtection="0"/>
    <xf numFmtId="0" fontId="92" fillId="0" borderId="15" applyNumberFormat="0" applyFill="0" applyAlignment="0" applyProtection="0"/>
    <xf numFmtId="0" fontId="92" fillId="0" borderId="0" applyNumberFormat="0" applyFill="0" applyBorder="0" applyAlignment="0" applyProtection="0"/>
    <xf numFmtId="168" fontId="19" fillId="0" borderId="0">
      <alignment horizontal="center"/>
    </xf>
    <xf numFmtId="195" fontId="49" fillId="0" borderId="0"/>
    <xf numFmtId="168" fontId="19" fillId="0" borderId="16"/>
    <xf numFmtId="196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93" fillId="0" borderId="17" applyNumberFormat="0" applyFill="0" applyAlignment="0" applyProtection="0"/>
    <xf numFmtId="0" fontId="94" fillId="0" borderId="0" applyNumberFormat="0" applyFill="0" applyBorder="0" applyAlignment="0" applyProtection="0"/>
    <xf numFmtId="168" fontId="95" fillId="0" borderId="0" applyNumberFormat="0" applyFont="0" applyFill="0" applyBorder="0" applyAlignment="0" applyProtection="0">
      <alignment vertical="top"/>
    </xf>
    <xf numFmtId="168" fontId="96" fillId="0" borderId="0" applyNumberFormat="0" applyFont="0" applyFill="0" applyBorder="0" applyAlignment="0" applyProtection="0">
      <alignment vertical="top"/>
    </xf>
    <xf numFmtId="168" fontId="96" fillId="0" borderId="0" applyNumberFormat="0" applyFont="0" applyFill="0" applyBorder="0" applyAlignment="0" applyProtection="0">
      <alignment vertical="top"/>
    </xf>
    <xf numFmtId="168" fontId="95" fillId="0" borderId="0" applyNumberFormat="0" applyFont="0" applyFill="0" applyBorder="0" applyAlignment="0" applyProtection="0"/>
    <xf numFmtId="168" fontId="95" fillId="0" borderId="0" applyNumberFormat="0" applyFont="0" applyFill="0" applyBorder="0" applyAlignment="0" applyProtection="0">
      <alignment horizontal="left" vertical="top"/>
    </xf>
    <xf numFmtId="168" fontId="95" fillId="0" borderId="0" applyNumberFormat="0" applyFont="0" applyFill="0" applyBorder="0" applyAlignment="0" applyProtection="0">
      <alignment horizontal="left" vertical="top"/>
    </xf>
    <xf numFmtId="168" fontId="95" fillId="0" borderId="0" applyNumberFormat="0" applyFont="0" applyFill="0" applyBorder="0" applyAlignment="0" applyProtection="0">
      <alignment horizontal="left" vertical="top"/>
    </xf>
    <xf numFmtId="168" fontId="97" fillId="0" borderId="0" applyNumberFormat="0" applyFont="0" applyFill="0" applyBorder="0" applyAlignment="0" applyProtection="0">
      <alignment horizontal="center"/>
    </xf>
    <xf numFmtId="168" fontId="97" fillId="0" borderId="0" applyNumberFormat="0" applyFont="0" applyFill="0" applyBorder="0" applyAlignment="0" applyProtection="0">
      <alignment horizontal="center"/>
    </xf>
    <xf numFmtId="168" fontId="98" fillId="0" borderId="0" applyNumberFormat="0" applyFont="0" applyFill="0" applyBorder="0" applyAlignment="0" applyProtection="0"/>
    <xf numFmtId="168" fontId="99" fillId="0" borderId="0">
      <alignment horizontal="left" wrapText="1"/>
    </xf>
    <xf numFmtId="168" fontId="100" fillId="0" borderId="1" applyNumberFormat="0" applyFont="0" applyFill="0" applyBorder="0" applyAlignment="0" applyProtection="0">
      <alignment horizontal="center" wrapText="1"/>
    </xf>
    <xf numFmtId="198" fontId="21" fillId="0" borderId="0" applyNumberFormat="0" applyFont="0" applyFill="0" applyBorder="0" applyAlignment="0" applyProtection="0">
      <alignment horizontal="right"/>
    </xf>
    <xf numFmtId="168" fontId="100" fillId="0" borderId="0" applyNumberFormat="0" applyFont="0" applyFill="0" applyBorder="0" applyAlignment="0" applyProtection="0">
      <alignment horizontal="left" indent="1"/>
    </xf>
    <xf numFmtId="199" fontId="100" fillId="0" borderId="0" applyNumberFormat="0" applyFont="0" applyFill="0" applyBorder="0" applyAlignment="0" applyProtection="0"/>
    <xf numFmtId="168" fontId="98" fillId="0" borderId="18" applyNumberFormat="0" applyFont="0" applyFill="0" applyBorder="0" applyAlignment="0" applyProtection="0"/>
    <xf numFmtId="168" fontId="20" fillId="0" borderId="0" applyNumberFormat="0" applyFont="0" applyFill="0" applyBorder="0" applyAlignment="0" applyProtection="0">
      <alignment horizontal="left" wrapText="1" indent="1"/>
    </xf>
    <xf numFmtId="168" fontId="20" fillId="0" borderId="0" applyNumberFormat="0" applyFont="0" applyFill="0" applyBorder="0" applyAlignment="0" applyProtection="0">
      <alignment horizontal="left" wrapText="1" indent="1"/>
    </xf>
    <xf numFmtId="168" fontId="100" fillId="0" borderId="0" applyNumberFormat="0" applyFont="0" applyFill="0" applyBorder="0" applyAlignment="0" applyProtection="0">
      <alignment horizontal="left" indent="1"/>
    </xf>
    <xf numFmtId="168" fontId="20" fillId="0" borderId="0" applyNumberFormat="0" applyFont="0" applyFill="0" applyBorder="0" applyAlignment="0" applyProtection="0">
      <alignment horizontal="left" wrapText="1" indent="2"/>
    </xf>
    <xf numFmtId="168" fontId="20" fillId="0" borderId="0" applyNumberFormat="0" applyFont="0" applyFill="0" applyBorder="0" applyAlignment="0" applyProtection="0">
      <alignment horizontal="left" wrapText="1" indent="2"/>
    </xf>
    <xf numFmtId="200" fontId="20" fillId="0" borderId="0">
      <alignment horizontal="right"/>
    </xf>
    <xf numFmtId="200" fontId="20" fillId="0" borderId="0">
      <alignment horizontal="right"/>
    </xf>
    <xf numFmtId="168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8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40" borderId="19" applyNumberFormat="0" applyAlignment="0" applyProtection="0"/>
    <xf numFmtId="166" fontId="28" fillId="0" borderId="0">
      <alignment horizontal="right"/>
    </xf>
    <xf numFmtId="166" fontId="104" fillId="0" borderId="0">
      <alignment horizontal="right"/>
    </xf>
    <xf numFmtId="166" fontId="104" fillId="0" borderId="0">
      <alignment horizontal="right"/>
    </xf>
    <xf numFmtId="168" fontId="105" fillId="0" borderId="0" applyProtection="0"/>
    <xf numFmtId="0" fontId="105" fillId="0" borderId="0" applyProtection="0"/>
    <xf numFmtId="0" fontId="105" fillId="0" borderId="0" applyProtection="0"/>
    <xf numFmtId="18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68" fontId="106" fillId="0" borderId="0" applyProtection="0"/>
    <xf numFmtId="0" fontId="106" fillId="0" borderId="0" applyProtection="0"/>
    <xf numFmtId="0" fontId="106" fillId="0" borderId="0" applyProtection="0"/>
    <xf numFmtId="168" fontId="107" fillId="0" borderId="0" applyProtection="0"/>
    <xf numFmtId="0" fontId="107" fillId="0" borderId="0" applyProtection="0"/>
    <xf numFmtId="0" fontId="107" fillId="0" borderId="0" applyProtection="0"/>
    <xf numFmtId="168" fontId="105" fillId="0" borderId="20" applyProtection="0"/>
    <xf numFmtId="0" fontId="105" fillId="0" borderId="20" applyProtection="0"/>
    <xf numFmtId="0" fontId="105" fillId="0" borderId="20" applyProtection="0"/>
    <xf numFmtId="168" fontId="108" fillId="0" borderId="0"/>
    <xf numFmtId="10" fontId="105" fillId="0" borderId="0" applyProtection="0"/>
    <xf numFmtId="168" fontId="105" fillId="0" borderId="0"/>
    <xf numFmtId="0" fontId="105" fillId="0" borderId="0"/>
    <xf numFmtId="0" fontId="105" fillId="0" borderId="0"/>
    <xf numFmtId="2" fontId="105" fillId="0" borderId="0" applyProtection="0"/>
    <xf numFmtId="164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10" fillId="0" borderId="0"/>
    <xf numFmtId="0" fontId="118" fillId="0" borderId="0"/>
    <xf numFmtId="0" fontId="13" fillId="0" borderId="0"/>
    <xf numFmtId="0" fontId="12" fillId="0" borderId="0"/>
    <xf numFmtId="0" fontId="127" fillId="0" borderId="0"/>
    <xf numFmtId="0" fontId="11" fillId="0" borderId="0"/>
    <xf numFmtId="0" fontId="11" fillId="0" borderId="0"/>
    <xf numFmtId="0" fontId="134" fillId="0" borderId="5" applyNumberFormat="0" applyFont="0" applyFill="0" applyAlignment="0" applyProtection="0"/>
    <xf numFmtId="0" fontId="134" fillId="0" borderId="0" applyFont="0" applyFill="0" applyBorder="0" applyAlignment="0" applyProtection="0"/>
    <xf numFmtId="3" fontId="29" fillId="0" borderId="0" applyFont="0" applyFill="0" applyBorder="0" applyAlignment="0" applyProtection="0">
      <alignment vertical="top"/>
    </xf>
    <xf numFmtId="3" fontId="134" fillId="0" borderId="0" applyFont="0" applyFill="0" applyBorder="0" applyAlignment="0" applyProtection="0"/>
    <xf numFmtId="2" fontId="14" fillId="23" borderId="0" applyFont="0" applyFill="0" applyBorder="0" applyAlignment="0" applyProtection="0"/>
    <xf numFmtId="184" fontId="29" fillId="0" borderId="0" applyFont="0" applyFill="0" applyBorder="0" applyAlignment="0" applyProtection="0">
      <alignment vertical="top"/>
    </xf>
    <xf numFmtId="184" fontId="134" fillId="0" borderId="0" applyFont="0" applyFill="0" applyBorder="0" applyAlignment="0" applyProtection="0"/>
    <xf numFmtId="2" fontId="134" fillId="0" borderId="0" applyFont="0" applyFill="0" applyBorder="0" applyAlignment="0" applyProtection="0"/>
    <xf numFmtId="0" fontId="14" fillId="23" borderId="12" applyNumberFormat="0" applyFont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8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8" fillId="0" borderId="0"/>
    <xf numFmtId="0" fontId="139" fillId="0" borderId="0"/>
    <xf numFmtId="0" fontId="140" fillId="0" borderId="0" applyNumberFormat="0" applyFill="0" applyBorder="0" applyAlignment="0" applyProtection="0">
      <alignment vertical="top"/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4" fillId="0" borderId="0"/>
    <xf numFmtId="0" fontId="14" fillId="0" borderId="0">
      <alignment vertical="center"/>
    </xf>
    <xf numFmtId="0" fontId="139" fillId="0" borderId="0"/>
    <xf numFmtId="0" fontId="138" fillId="0" borderId="0"/>
    <xf numFmtId="9" fontId="138" fillId="0" borderId="0" applyFont="0" applyFill="0" applyBorder="0" applyAlignment="0" applyProtection="0"/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0" fillId="0" borderId="0"/>
    <xf numFmtId="9" fontId="10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9" fillId="0" borderId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9" fontId="139" fillId="0" borderId="0" applyFont="0" applyFill="0" applyBorder="0" applyAlignment="0" applyProtection="0"/>
    <xf numFmtId="0" fontId="137" fillId="0" borderId="0"/>
    <xf numFmtId="9" fontId="137" fillId="0" borderId="0" applyFont="0" applyFill="0" applyBorder="0" applyAlignment="0" applyProtection="0"/>
    <xf numFmtId="0" fontId="137" fillId="0" borderId="0"/>
    <xf numFmtId="0" fontId="141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8" fillId="0" borderId="0"/>
    <xf numFmtId="0" fontId="14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1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37" fillId="0" borderId="0"/>
    <xf numFmtId="9" fontId="137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37" fillId="0" borderId="0"/>
    <xf numFmtId="9" fontId="137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37" fillId="0" borderId="0"/>
    <xf numFmtId="9" fontId="137" fillId="0" borderId="0" applyFont="0" applyFill="0" applyBorder="0" applyAlignment="0" applyProtection="0"/>
    <xf numFmtId="0" fontId="139" fillId="0" borderId="0"/>
    <xf numFmtId="0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8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9" fontId="60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 applyNumberFormat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0" fillId="0" borderId="0"/>
    <xf numFmtId="0" fontId="137" fillId="0" borderId="0"/>
    <xf numFmtId="9" fontId="137" fillId="0" borderId="0" applyFont="0" applyFill="0" applyBorder="0" applyAlignment="0" applyProtection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8" fillId="0" borderId="0"/>
    <xf numFmtId="0" fontId="138" fillId="0" borderId="0"/>
    <xf numFmtId="0" fontId="138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9" fontId="137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7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9" fontId="138" fillId="0" borderId="0" applyFont="0" applyFill="0" applyBorder="0" applyAlignment="0" applyProtection="0"/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139" fillId="0" borderId="0"/>
    <xf numFmtId="177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4" fillId="0" borderId="0">
      <alignment vertical="center"/>
    </xf>
    <xf numFmtId="0" fontId="139" fillId="0" borderId="0"/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177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0" fontId="14" fillId="0" borderId="0">
      <alignment vertical="center"/>
    </xf>
    <xf numFmtId="0" fontId="139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4" fillId="0" borderId="0">
      <alignment vertical="center"/>
    </xf>
    <xf numFmtId="0" fontId="139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4" fillId="0" borderId="0">
      <alignment vertical="center"/>
    </xf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4" fillId="0" borderId="0">
      <alignment vertical="center"/>
    </xf>
    <xf numFmtId="0" fontId="13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4" fillId="0" borderId="0"/>
    <xf numFmtId="0" fontId="14" fillId="0" borderId="0">
      <alignment vertical="center"/>
    </xf>
    <xf numFmtId="0" fontId="14" fillId="0" borderId="0" applyNumberFormat="0" applyFont="0" applyFill="0" applyBorder="0" applyAlignment="0" applyProtection="0"/>
    <xf numFmtId="0" fontId="10" fillId="0" borderId="0"/>
    <xf numFmtId="0" fontId="14" fillId="0" borderId="0">
      <alignment vertical="center"/>
    </xf>
    <xf numFmtId="9" fontId="60" fillId="0" borderId="0" applyFont="0" applyFill="0" applyBorder="0" applyAlignment="0" applyProtection="0"/>
    <xf numFmtId="0" fontId="139" fillId="0" borderId="0"/>
    <xf numFmtId="0" fontId="139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39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0" fillId="0" borderId="0"/>
    <xf numFmtId="0" fontId="10" fillId="0" borderId="0"/>
    <xf numFmtId="0" fontId="14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0" fontId="138" fillId="0" borderId="0"/>
    <xf numFmtId="0" fontId="14" fillId="0" borderId="0"/>
    <xf numFmtId="0" fontId="142" fillId="0" borderId="0" applyNumberFormat="0" applyFill="0" applyBorder="0" applyAlignment="0" applyProtection="0"/>
    <xf numFmtId="0" fontId="143" fillId="0" borderId="24" applyNumberFormat="0" applyFill="0" applyAlignment="0" applyProtection="0"/>
    <xf numFmtId="0" fontId="144" fillId="0" borderId="25" applyNumberFormat="0" applyFill="0" applyAlignment="0" applyProtection="0"/>
    <xf numFmtId="0" fontId="145" fillId="0" borderId="26" applyNumberFormat="0" applyFill="0" applyAlignment="0" applyProtection="0"/>
    <xf numFmtId="0" fontId="145" fillId="0" borderId="0" applyNumberFormat="0" applyFill="0" applyBorder="0" applyAlignment="0" applyProtection="0"/>
    <xf numFmtId="0" fontId="146" fillId="41" borderId="0" applyNumberFormat="0" applyBorder="0" applyAlignment="0" applyProtection="0"/>
    <xf numFmtId="0" fontId="147" fillId="42" borderId="0" applyNumberFormat="0" applyBorder="0" applyAlignment="0" applyProtection="0"/>
    <xf numFmtId="0" fontId="148" fillId="43" borderId="0" applyNumberFormat="0" applyBorder="0" applyAlignment="0" applyProtection="0"/>
    <xf numFmtId="0" fontId="149" fillId="44" borderId="27" applyNumberFormat="0" applyAlignment="0" applyProtection="0"/>
    <xf numFmtId="0" fontId="150" fillId="45" borderId="28" applyNumberFormat="0" applyAlignment="0" applyProtection="0"/>
    <xf numFmtId="0" fontId="151" fillId="45" borderId="27" applyNumberFormat="0" applyAlignment="0" applyProtection="0"/>
    <xf numFmtId="0" fontId="152" fillId="0" borderId="29" applyNumberFormat="0" applyFill="0" applyAlignment="0" applyProtection="0"/>
    <xf numFmtId="0" fontId="153" fillId="46" borderId="30" applyNumberFormat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32" applyNumberFormat="0" applyFill="0" applyAlignment="0" applyProtection="0"/>
    <xf numFmtId="0" fontId="157" fillId="48" borderId="0" applyNumberFormat="0" applyBorder="0" applyAlignment="0" applyProtection="0"/>
    <xf numFmtId="0" fontId="138" fillId="49" borderId="0" applyNumberFormat="0" applyBorder="0" applyAlignment="0" applyProtection="0"/>
    <xf numFmtId="0" fontId="138" fillId="50" borderId="0" applyNumberFormat="0" applyBorder="0" applyAlignment="0" applyProtection="0"/>
    <xf numFmtId="0" fontId="157" fillId="51" borderId="0" applyNumberFormat="0" applyBorder="0" applyAlignment="0" applyProtection="0"/>
    <xf numFmtId="0" fontId="157" fillId="52" borderId="0" applyNumberFormat="0" applyBorder="0" applyAlignment="0" applyProtection="0"/>
    <xf numFmtId="0" fontId="138" fillId="53" borderId="0" applyNumberFormat="0" applyBorder="0" applyAlignment="0" applyProtection="0"/>
    <xf numFmtId="0" fontId="138" fillId="54" borderId="0" applyNumberFormat="0" applyBorder="0" applyAlignment="0" applyProtection="0"/>
    <xf numFmtId="0" fontId="157" fillId="55" borderId="0" applyNumberFormat="0" applyBorder="0" applyAlignment="0" applyProtection="0"/>
    <xf numFmtId="0" fontId="157" fillId="56" borderId="0" applyNumberFormat="0" applyBorder="0" applyAlignment="0" applyProtection="0"/>
    <xf numFmtId="0" fontId="138" fillId="57" borderId="0" applyNumberFormat="0" applyBorder="0" applyAlignment="0" applyProtection="0"/>
    <xf numFmtId="0" fontId="138" fillId="58" borderId="0" applyNumberFormat="0" applyBorder="0" applyAlignment="0" applyProtection="0"/>
    <xf numFmtId="0" fontId="157" fillId="59" borderId="0" applyNumberFormat="0" applyBorder="0" applyAlignment="0" applyProtection="0"/>
    <xf numFmtId="0" fontId="157" fillId="60" borderId="0" applyNumberFormat="0" applyBorder="0" applyAlignment="0" applyProtection="0"/>
    <xf numFmtId="0" fontId="138" fillId="61" borderId="0" applyNumberFormat="0" applyBorder="0" applyAlignment="0" applyProtection="0"/>
    <xf numFmtId="0" fontId="138" fillId="62" borderId="0" applyNumberFormat="0" applyBorder="0" applyAlignment="0" applyProtection="0"/>
    <xf numFmtId="0" fontId="157" fillId="63" borderId="0" applyNumberFormat="0" applyBorder="0" applyAlignment="0" applyProtection="0"/>
    <xf numFmtId="0" fontId="157" fillId="64" borderId="0" applyNumberFormat="0" applyBorder="0" applyAlignment="0" applyProtection="0"/>
    <xf numFmtId="0" fontId="138" fillId="65" borderId="0" applyNumberFormat="0" applyBorder="0" applyAlignment="0" applyProtection="0"/>
    <xf numFmtId="0" fontId="138" fillId="66" borderId="0" applyNumberFormat="0" applyBorder="0" applyAlignment="0" applyProtection="0"/>
    <xf numFmtId="0" fontId="157" fillId="67" borderId="0" applyNumberFormat="0" applyBorder="0" applyAlignment="0" applyProtection="0"/>
    <xf numFmtId="0" fontId="157" fillId="68" borderId="0" applyNumberFormat="0" applyBorder="0" applyAlignment="0" applyProtection="0"/>
    <xf numFmtId="0" fontId="138" fillId="69" borderId="0" applyNumberFormat="0" applyBorder="0" applyAlignment="0" applyProtection="0"/>
    <xf numFmtId="0" fontId="138" fillId="70" borderId="0" applyNumberFormat="0" applyBorder="0" applyAlignment="0" applyProtection="0"/>
    <xf numFmtId="0" fontId="157" fillId="71" borderId="0" applyNumberFormat="0" applyBorder="0" applyAlignment="0" applyProtection="0"/>
    <xf numFmtId="0" fontId="138" fillId="47" borderId="31" applyNumberFormat="0" applyFont="0" applyAlignment="0" applyProtection="0"/>
    <xf numFmtId="0" fontId="138" fillId="47" borderId="31" applyNumberFormat="0" applyFont="0" applyAlignment="0" applyProtection="0"/>
    <xf numFmtId="0" fontId="138" fillId="47" borderId="31" applyNumberFormat="0" applyFont="0" applyAlignment="0" applyProtection="0"/>
    <xf numFmtId="0" fontId="138" fillId="47" borderId="31" applyNumberFormat="0" applyFont="0" applyAlignment="0" applyProtection="0"/>
    <xf numFmtId="0" fontId="138" fillId="47" borderId="31" applyNumberFormat="0" applyFont="0" applyAlignment="0" applyProtection="0"/>
    <xf numFmtId="0" fontId="138" fillId="47" borderId="31" applyNumberFormat="0" applyFont="0" applyAlignment="0" applyProtection="0"/>
    <xf numFmtId="0" fontId="138" fillId="0" borderId="0"/>
    <xf numFmtId="0" fontId="138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4" fillId="0" borderId="0"/>
    <xf numFmtId="0" fontId="64" fillId="0" borderId="0"/>
    <xf numFmtId="0" fontId="137" fillId="0" borderId="0"/>
    <xf numFmtId="9" fontId="137" fillId="0" borderId="0" applyFont="0" applyFill="0" applyBorder="0" applyAlignment="0" applyProtection="0"/>
    <xf numFmtId="0" fontId="14" fillId="0" borderId="0"/>
    <xf numFmtId="0" fontId="14" fillId="0" borderId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alignment vertical="center"/>
    </xf>
    <xf numFmtId="9" fontId="14" fillId="0" borderId="0" applyFont="0" applyFill="0" applyBorder="0" applyAlignment="0" applyProtection="0"/>
    <xf numFmtId="0" fontId="24" fillId="16" borderId="0" applyNumberFormat="0" applyBorder="0" applyAlignment="0" applyProtection="0"/>
    <xf numFmtId="0" fontId="23" fillId="10" borderId="0" applyNumberFormat="0" applyBorder="0" applyAlignment="0" applyProtection="0"/>
    <xf numFmtId="0" fontId="24" fillId="12" borderId="0" applyNumberFormat="0" applyBorder="0" applyAlignment="0" applyProtection="0"/>
    <xf numFmtId="0" fontId="14" fillId="0" borderId="0"/>
    <xf numFmtId="0" fontId="42" fillId="6" borderId="0" applyNumberFormat="0" applyBorder="0" applyAlignment="0" applyProtection="0"/>
    <xf numFmtId="0" fontId="14" fillId="0" borderId="0"/>
    <xf numFmtId="0" fontId="23" fillId="26" borderId="9" applyNumberFormat="0" applyFont="0" applyAlignment="0" applyProtection="0"/>
    <xf numFmtId="0" fontId="14" fillId="0" borderId="0"/>
    <xf numFmtId="0" fontId="33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64" fillId="0" borderId="0"/>
    <xf numFmtId="0" fontId="14" fillId="0" borderId="0"/>
    <xf numFmtId="9" fontId="14" fillId="0" borderId="0" applyFont="0" applyFill="0" applyBorder="0" applyAlignment="0" applyProtection="0"/>
    <xf numFmtId="0" fontId="23" fillId="6" borderId="0" applyNumberFormat="0" applyBorder="0" applyAlignment="0" applyProtection="0"/>
    <xf numFmtId="0" fontId="14" fillId="0" borderId="0"/>
    <xf numFmtId="0" fontId="14" fillId="0" borderId="0"/>
    <xf numFmtId="0" fontId="23" fillId="10" borderId="0" applyNumberFormat="0" applyBorder="0" applyAlignment="0" applyProtection="0"/>
    <xf numFmtId="0" fontId="14" fillId="0" borderId="0"/>
    <xf numFmtId="0" fontId="14" fillId="0" borderId="0"/>
    <xf numFmtId="0" fontId="23" fillId="1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7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90" fillId="0" borderId="13" applyNumberFormat="0" applyFill="0" applyAlignment="0" applyProtection="0"/>
    <xf numFmtId="0" fontId="23" fillId="11" borderId="0" applyNumberFormat="0" applyBorder="0" applyAlignment="0" applyProtection="0"/>
    <xf numFmtId="0" fontId="14" fillId="0" borderId="0"/>
    <xf numFmtId="0" fontId="23" fillId="8" borderId="0" applyNumberFormat="0" applyBorder="0" applyAlignment="0" applyProtection="0"/>
    <xf numFmtId="0" fontId="91" fillId="0" borderId="14" applyNumberFormat="0" applyFill="0" applyAlignment="0" applyProtection="0"/>
    <xf numFmtId="0" fontId="24" fillId="1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23" fillId="7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9" fontId="14" fillId="0" borderId="0" applyFont="0" applyFill="0" applyBorder="0" applyAlignment="0" applyProtection="0"/>
    <xf numFmtId="0" fontId="23" fillId="4" borderId="0" applyNumberFormat="0" applyBorder="0" applyAlignment="0" applyProtection="0"/>
    <xf numFmtId="0" fontId="14" fillId="0" borderId="0"/>
    <xf numFmtId="0" fontId="118" fillId="0" borderId="0"/>
    <xf numFmtId="202" fontId="14" fillId="0" borderId="0" applyFill="0" applyBorder="0" applyAlignment="0" applyProtection="0"/>
    <xf numFmtId="0" fontId="137" fillId="0" borderId="0"/>
    <xf numFmtId="0" fontId="14" fillId="0" borderId="0">
      <alignment vertical="center"/>
    </xf>
    <xf numFmtId="177" fontId="14" fillId="0" borderId="0" applyFont="0" applyFill="0" applyBorder="0" applyAlignment="0" applyProtection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7" fillId="0" borderId="0"/>
    <xf numFmtId="9" fontId="137" fillId="0" borderId="0" applyFont="0" applyFill="0" applyBorder="0" applyAlignment="0" applyProtection="0"/>
    <xf numFmtId="0" fontId="137" fillId="0" borderId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7" fillId="0" borderId="0"/>
    <xf numFmtId="9" fontId="137" fillId="0" borderId="0" applyFont="0" applyFill="0" applyBorder="0" applyAlignment="0" applyProtection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7" fillId="0" borderId="0"/>
    <xf numFmtId="9" fontId="137" fillId="0" borderId="0" applyFont="0" applyFill="0" applyBorder="0" applyAlignment="0" applyProtection="0"/>
    <xf numFmtId="0" fontId="137" fillId="0" borderId="0"/>
    <xf numFmtId="9" fontId="137" fillId="0" borderId="0" applyFont="0" applyFill="0" applyBorder="0" applyAlignment="0" applyProtection="0"/>
    <xf numFmtId="0" fontId="138" fillId="0" borderId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7" fillId="0" borderId="0"/>
    <xf numFmtId="9" fontId="137" fillId="0" borderId="0" applyFont="0" applyFill="0" applyBorder="0" applyAlignment="0" applyProtection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9" fontId="137" fillId="0" borderId="0" applyFont="0" applyFill="0" applyBorder="0" applyAlignment="0" applyProtection="0"/>
    <xf numFmtId="0" fontId="138" fillId="0" borderId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7" fillId="0" borderId="0"/>
    <xf numFmtId="9" fontId="138" fillId="0" borderId="0" applyFont="0" applyFill="0" applyBorder="0" applyAlignment="0" applyProtection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8" fillId="0" borderId="0"/>
    <xf numFmtId="9" fontId="138" fillId="0" borderId="0" applyFont="0" applyFill="0" applyBorder="0" applyAlignment="0" applyProtection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9" fontId="14" fillId="0" borderId="0" applyFont="0" applyFill="0" applyBorder="0" applyAlignment="0" applyProtection="0"/>
    <xf numFmtId="0" fontId="137" fillId="0" borderId="0"/>
    <xf numFmtId="9" fontId="13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14" fillId="0" borderId="0"/>
    <xf numFmtId="0" fontId="24" fillId="15" borderId="0" applyNumberFormat="0" applyBorder="0" applyAlignment="0" applyProtection="0"/>
    <xf numFmtId="0" fontId="23" fillId="9" borderId="0" applyNumberFormat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>
      <alignment vertical="center"/>
    </xf>
    <xf numFmtId="9" fontId="14" fillId="0" borderId="0" applyFont="0" applyFill="0" applyBorder="0" applyAlignment="0" applyProtection="0"/>
    <xf numFmtId="0" fontId="137" fillId="0" borderId="0"/>
    <xf numFmtId="9" fontId="118" fillId="0" borderId="0" applyFont="0" applyFill="0" applyBorder="0" applyAlignment="0" applyProtection="0"/>
    <xf numFmtId="0" fontId="64" fillId="0" borderId="0"/>
    <xf numFmtId="9" fontId="118" fillId="0" borderId="0" applyFont="0" applyFill="0" applyBorder="0" applyAlignment="0" applyProtection="0"/>
    <xf numFmtId="0" fontId="160" fillId="0" borderId="0"/>
    <xf numFmtId="0" fontId="14" fillId="0" borderId="0"/>
    <xf numFmtId="0" fontId="65" fillId="0" borderId="0"/>
    <xf numFmtId="0" fontId="62" fillId="0" borderId="0"/>
    <xf numFmtId="0" fontId="62" fillId="0" borderId="0"/>
    <xf numFmtId="0" fontId="9" fillId="47" borderId="31" applyNumberFormat="0" applyFont="0" applyAlignment="0" applyProtection="0"/>
    <xf numFmtId="0" fontId="23" fillId="0" borderId="0"/>
    <xf numFmtId="0" fontId="65" fillId="0" borderId="0"/>
    <xf numFmtId="0" fontId="62" fillId="0" borderId="0"/>
    <xf numFmtId="43" fontId="14" fillId="0" borderId="0" applyFont="0" applyFill="0" applyBorder="0" applyAlignment="0" applyProtection="0"/>
    <xf numFmtId="0" fontId="8" fillId="0" borderId="0"/>
    <xf numFmtId="0" fontId="7" fillId="47" borderId="31" applyNumberFormat="0" applyFont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5" borderId="0" applyNumberFormat="0" applyBorder="0" applyAlignment="0" applyProtection="0"/>
    <xf numFmtId="0" fontId="7" fillId="66" borderId="0" applyNumberFormat="0" applyBorder="0" applyAlignment="0" applyProtection="0"/>
    <xf numFmtId="0" fontId="7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0" borderId="0"/>
    <xf numFmtId="0" fontId="181" fillId="43" borderId="0" applyNumberFormat="0" applyBorder="0" applyAlignment="0" applyProtection="0"/>
    <xf numFmtId="0" fontId="6" fillId="0" borderId="0"/>
    <xf numFmtId="0" fontId="19" fillId="0" borderId="0"/>
    <xf numFmtId="0" fontId="195" fillId="0" borderId="0"/>
    <xf numFmtId="166" fontId="20" fillId="0" borderId="0" applyBorder="0"/>
    <xf numFmtId="0" fontId="20" fillId="0" borderId="0"/>
    <xf numFmtId="0" fontId="19" fillId="0" borderId="0"/>
    <xf numFmtId="0" fontId="189" fillId="41" borderId="0" applyNumberFormat="0" applyBorder="0" applyAlignment="0" applyProtection="0"/>
    <xf numFmtId="0" fontId="20" fillId="0" borderId="2">
      <alignment horizontal="center" vertical="center"/>
    </xf>
    <xf numFmtId="0" fontId="20" fillId="0" borderId="0"/>
    <xf numFmtId="166" fontId="20" fillId="0" borderId="33"/>
    <xf numFmtId="0" fontId="19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4" fillId="0" borderId="0"/>
    <xf numFmtId="0" fontId="190" fillId="0" borderId="0" applyNumberFormat="0" applyFill="0" applyBorder="0" applyAlignment="0" applyProtection="0"/>
    <xf numFmtId="0" fontId="6" fillId="47" borderId="31" applyNumberFormat="0" applyFont="0" applyAlignment="0" applyProtection="0"/>
    <xf numFmtId="179" fontId="56" fillId="0" borderId="0"/>
    <xf numFmtId="0" fontId="191" fillId="0" borderId="32" applyNumberFormat="0" applyFill="0" applyAlignment="0" applyProtection="0"/>
    <xf numFmtId="0" fontId="20" fillId="0" borderId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188" fillId="51" borderId="0" applyNumberFormat="0" applyBorder="0" applyAlignment="0" applyProtection="0"/>
    <xf numFmtId="43" fontId="192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188" fillId="55" borderId="0" applyNumberFormat="0" applyBorder="0" applyAlignment="0" applyProtection="0"/>
    <xf numFmtId="0" fontId="196" fillId="0" borderId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188" fillId="59" borderId="0" applyNumberFormat="0" applyBorder="0" applyAlignment="0" applyProtection="0"/>
    <xf numFmtId="0" fontId="21" fillId="0" borderId="0">
      <alignment horizontal="left"/>
    </xf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188" fillId="63" borderId="0" applyNumberFormat="0" applyBorder="0" applyAlignment="0" applyProtection="0"/>
    <xf numFmtId="205" fontId="193" fillId="0" borderId="34" applyFill="0" applyBorder="0" applyProtection="0">
      <alignment horizontal="right" vertical="center"/>
    </xf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188" fillId="67" borderId="0" applyNumberFormat="0" applyBorder="0" applyAlignment="0" applyProtection="0"/>
    <xf numFmtId="0" fontId="6" fillId="0" borderId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188" fillId="71" borderId="0" applyNumberFormat="0" applyBorder="0" applyAlignment="0" applyProtection="0"/>
    <xf numFmtId="0" fontId="192" fillId="0" borderId="0"/>
    <xf numFmtId="9" fontId="19" fillId="0" borderId="0" applyFont="0" applyFill="0" applyBorder="0" applyAlignment="0" applyProtection="0"/>
    <xf numFmtId="0" fontId="194" fillId="0" borderId="0"/>
    <xf numFmtId="9" fontId="20" fillId="0" borderId="0" applyFont="0" applyFill="0" applyBorder="0" applyAlignment="0" applyProtection="0"/>
    <xf numFmtId="0" fontId="19" fillId="0" borderId="0"/>
    <xf numFmtId="204" fontId="193" fillId="0" borderId="0" applyFill="0" applyBorder="0" applyProtection="0">
      <alignment horizontal="right" vertical="center"/>
    </xf>
    <xf numFmtId="0" fontId="19" fillId="0" borderId="0"/>
    <xf numFmtId="0" fontId="20" fillId="0" borderId="0"/>
    <xf numFmtId="9" fontId="192" fillId="0" borderId="0" applyFont="0" applyFill="0" applyBorder="0" applyAlignment="0" applyProtection="0"/>
    <xf numFmtId="0" fontId="20" fillId="0" borderId="0"/>
    <xf numFmtId="0" fontId="192" fillId="0" borderId="0"/>
    <xf numFmtId="0" fontId="192" fillId="0" borderId="0"/>
    <xf numFmtId="0" fontId="6" fillId="0" borderId="0"/>
    <xf numFmtId="9" fontId="19" fillId="0" borderId="0" applyFont="0" applyFill="0" applyBorder="0" applyAlignment="0" applyProtection="0"/>
    <xf numFmtId="0" fontId="194" fillId="0" borderId="0"/>
    <xf numFmtId="0" fontId="20" fillId="0" borderId="1">
      <alignment horizontal="center" vertical="center"/>
    </xf>
    <xf numFmtId="0" fontId="199" fillId="0" borderId="0"/>
    <xf numFmtId="0" fontId="197" fillId="0" borderId="0"/>
    <xf numFmtId="0" fontId="192" fillId="0" borderId="0"/>
    <xf numFmtId="0" fontId="19" fillId="0" borderId="0"/>
    <xf numFmtId="0" fontId="199" fillId="0" borderId="0"/>
    <xf numFmtId="0" fontId="194" fillId="0" borderId="0"/>
    <xf numFmtId="0" fontId="192" fillId="0" borderId="0"/>
    <xf numFmtId="0" fontId="64" fillId="0" borderId="0"/>
    <xf numFmtId="0" fontId="64" fillId="0" borderId="0"/>
    <xf numFmtId="0" fontId="7" fillId="0" borderId="0"/>
    <xf numFmtId="0" fontId="29" fillId="0" borderId="0"/>
    <xf numFmtId="4" fontId="38" fillId="73" borderId="35" applyNumberFormat="0" applyProtection="0">
      <alignment horizontal="left" vertical="center" indent="1"/>
    </xf>
    <xf numFmtId="4" fontId="200" fillId="27" borderId="35" applyNumberFormat="0" applyProtection="0">
      <alignment vertical="center"/>
    </xf>
    <xf numFmtId="4" fontId="43" fillId="25" borderId="35" applyNumberFormat="0" applyProtection="0">
      <alignment horizontal="left" vertical="center" indent="1"/>
    </xf>
    <xf numFmtId="0" fontId="38" fillId="22" borderId="35" applyNumberFormat="0" applyProtection="0">
      <alignment horizontal="left" vertical="center" indent="1"/>
    </xf>
    <xf numFmtId="0" fontId="38" fillId="74" borderId="3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6" fillId="0" borderId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87" fillId="5" borderId="0" applyNumberFormat="0" applyBorder="0" applyAlignment="0" applyProtection="0"/>
    <xf numFmtId="0" fontId="26" fillId="22" borderId="4" applyNumberFormat="0" applyAlignment="0" applyProtection="0"/>
    <xf numFmtId="0" fontId="34" fillId="0" borderId="0" applyNumberFormat="0" applyFill="0" applyBorder="0" applyAlignment="0" applyProtection="0"/>
    <xf numFmtId="0" fontId="92" fillId="0" borderId="15" applyNumberFormat="0" applyFill="0" applyAlignment="0" applyProtection="0"/>
    <xf numFmtId="0" fontId="92" fillId="0" borderId="0" applyNumberFormat="0" applyFill="0" applyBorder="0" applyAlignment="0" applyProtection="0"/>
    <xf numFmtId="0" fontId="103" fillId="40" borderId="19" applyNumberFormat="0" applyAlignment="0" applyProtection="0"/>
    <xf numFmtId="0" fontId="32" fillId="9" borderId="4" applyNumberFormat="0" applyAlignment="0" applyProtection="0"/>
    <xf numFmtId="0" fontId="93" fillId="0" borderId="17" applyNumberFormat="0" applyFill="0" applyAlignment="0" applyProtection="0"/>
    <xf numFmtId="0" fontId="205" fillId="28" borderId="0" applyNumberFormat="0" applyBorder="0" applyAlignment="0" applyProtection="0"/>
    <xf numFmtId="0" fontId="7" fillId="0" borderId="0"/>
    <xf numFmtId="0" fontId="14" fillId="0" borderId="0"/>
    <xf numFmtId="0" fontId="14" fillId="0" borderId="0">
      <alignment vertical="center"/>
    </xf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26" borderId="9" applyNumberFormat="0" applyFont="0" applyAlignment="0" applyProtection="0"/>
    <xf numFmtId="0" fontId="25" fillId="22" borderId="3" applyNumberFormat="0" applyAlignment="0" applyProtection="0"/>
    <xf numFmtId="9" fontId="1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4" fillId="0" borderId="0">
      <alignment vertical="center"/>
    </xf>
    <xf numFmtId="9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204" fillId="0" borderId="0"/>
    <xf numFmtId="0" fontId="204" fillId="0" borderId="0"/>
    <xf numFmtId="0" fontId="207" fillId="0" borderId="0" applyNumberFormat="0" applyFill="0" applyBorder="0" applyAlignment="0" applyProtection="0"/>
    <xf numFmtId="0" fontId="208" fillId="0" borderId="24" applyNumberFormat="0" applyFill="0" applyAlignment="0" applyProtection="0"/>
    <xf numFmtId="0" fontId="209" fillId="0" borderId="25" applyNumberFormat="0" applyFill="0" applyAlignment="0" applyProtection="0"/>
    <xf numFmtId="0" fontId="210" fillId="0" borderId="26" applyNumberFormat="0" applyFill="0" applyAlignment="0" applyProtection="0"/>
    <xf numFmtId="0" fontId="210" fillId="0" borderId="0" applyNumberFormat="0" applyFill="0" applyBorder="0" applyAlignment="0" applyProtection="0"/>
    <xf numFmtId="0" fontId="211" fillId="41" borderId="0" applyNumberFormat="0" applyBorder="0" applyAlignment="0" applyProtection="0"/>
    <xf numFmtId="0" fontId="212" fillId="42" borderId="0" applyNumberFormat="0" applyBorder="0" applyAlignment="0" applyProtection="0"/>
    <xf numFmtId="0" fontId="213" fillId="43" borderId="0" applyNumberFormat="0" applyBorder="0" applyAlignment="0" applyProtection="0"/>
    <xf numFmtId="0" fontId="214" fillId="44" borderId="27" applyNumberFormat="0" applyAlignment="0" applyProtection="0"/>
    <xf numFmtId="0" fontId="215" fillId="45" borderId="28" applyNumberFormat="0" applyAlignment="0" applyProtection="0"/>
    <xf numFmtId="0" fontId="216" fillId="45" borderId="27" applyNumberFormat="0" applyAlignment="0" applyProtection="0"/>
    <xf numFmtId="0" fontId="217" fillId="0" borderId="29" applyNumberFormat="0" applyFill="0" applyAlignment="0" applyProtection="0"/>
    <xf numFmtId="0" fontId="202" fillId="46" borderId="30" applyNumberFormat="0" applyAlignment="0" applyProtection="0"/>
    <xf numFmtId="0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06" fillId="0" borderId="32" applyNumberFormat="0" applyFill="0" applyAlignment="0" applyProtection="0"/>
    <xf numFmtId="0" fontId="201" fillId="48" borderId="0" applyNumberFormat="0" applyBorder="0" applyAlignment="0" applyProtection="0"/>
    <xf numFmtId="0" fontId="203" fillId="49" borderId="0" applyNumberFormat="0" applyBorder="0" applyAlignment="0" applyProtection="0"/>
    <xf numFmtId="0" fontId="203" fillId="50" borderId="0" applyNumberFormat="0" applyBorder="0" applyAlignment="0" applyProtection="0"/>
    <xf numFmtId="0" fontId="201" fillId="51" borderId="0" applyNumberFormat="0" applyBorder="0" applyAlignment="0" applyProtection="0"/>
    <xf numFmtId="0" fontId="201" fillId="52" borderId="0" applyNumberFormat="0" applyBorder="0" applyAlignment="0" applyProtection="0"/>
    <xf numFmtId="0" fontId="203" fillId="53" borderId="0" applyNumberFormat="0" applyBorder="0" applyAlignment="0" applyProtection="0"/>
    <xf numFmtId="0" fontId="203" fillId="54" borderId="0" applyNumberFormat="0" applyBorder="0" applyAlignment="0" applyProtection="0"/>
    <xf numFmtId="0" fontId="201" fillId="55" borderId="0" applyNumberFormat="0" applyBorder="0" applyAlignment="0" applyProtection="0"/>
    <xf numFmtId="0" fontId="201" fillId="56" borderId="0" applyNumberFormat="0" applyBorder="0" applyAlignment="0" applyProtection="0"/>
    <xf numFmtId="0" fontId="203" fillId="57" borderId="0" applyNumberFormat="0" applyBorder="0" applyAlignment="0" applyProtection="0"/>
    <xf numFmtId="0" fontId="203" fillId="58" borderId="0" applyNumberFormat="0" applyBorder="0" applyAlignment="0" applyProtection="0"/>
    <xf numFmtId="0" fontId="201" fillId="59" borderId="0" applyNumberFormat="0" applyBorder="0" applyAlignment="0" applyProtection="0"/>
    <xf numFmtId="0" fontId="201" fillId="60" borderId="0" applyNumberFormat="0" applyBorder="0" applyAlignment="0" applyProtection="0"/>
    <xf numFmtId="0" fontId="203" fillId="61" borderId="0" applyNumberFormat="0" applyBorder="0" applyAlignment="0" applyProtection="0"/>
    <xf numFmtId="0" fontId="203" fillId="62" borderId="0" applyNumberFormat="0" applyBorder="0" applyAlignment="0" applyProtection="0"/>
    <xf numFmtId="0" fontId="201" fillId="63" borderId="0" applyNumberFormat="0" applyBorder="0" applyAlignment="0" applyProtection="0"/>
    <xf numFmtId="0" fontId="201" fillId="64" borderId="0" applyNumberFormat="0" applyBorder="0" applyAlignment="0" applyProtection="0"/>
    <xf numFmtId="0" fontId="203" fillId="65" borderId="0" applyNumberFormat="0" applyBorder="0" applyAlignment="0" applyProtection="0"/>
    <xf numFmtId="0" fontId="203" fillId="66" borderId="0" applyNumberFormat="0" applyBorder="0" applyAlignment="0" applyProtection="0"/>
    <xf numFmtId="0" fontId="201" fillId="67" borderId="0" applyNumberFormat="0" applyBorder="0" applyAlignment="0" applyProtection="0"/>
    <xf numFmtId="0" fontId="201" fillId="68" borderId="0" applyNumberFormat="0" applyBorder="0" applyAlignment="0" applyProtection="0"/>
    <xf numFmtId="0" fontId="203" fillId="69" borderId="0" applyNumberFormat="0" applyBorder="0" applyAlignment="0" applyProtection="0"/>
    <xf numFmtId="0" fontId="203" fillId="70" borderId="0" applyNumberFormat="0" applyBorder="0" applyAlignment="0" applyProtection="0"/>
    <xf numFmtId="0" fontId="201" fillId="71" borderId="0" applyNumberFormat="0" applyBorder="0" applyAlignment="0" applyProtection="0"/>
    <xf numFmtId="0" fontId="203" fillId="47" borderId="31" applyNumberFormat="0" applyFont="0" applyAlignment="0" applyProtection="0"/>
    <xf numFmtId="0" fontId="62" fillId="0" borderId="0"/>
    <xf numFmtId="0" fontId="62" fillId="0" borderId="0"/>
    <xf numFmtId="0" fontId="7" fillId="0" borderId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9" borderId="0" applyNumberFormat="0" applyBorder="0" applyAlignment="0" applyProtection="0"/>
    <xf numFmtId="0" fontId="138" fillId="69" borderId="0" applyNumberFormat="0" applyBorder="0" applyAlignment="0" applyProtection="0"/>
    <xf numFmtId="0" fontId="138" fillId="69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62" borderId="0" applyNumberFormat="0" applyBorder="0" applyAlignment="0" applyProtection="0"/>
    <xf numFmtId="0" fontId="138" fillId="62" borderId="0" applyNumberFormat="0" applyBorder="0" applyAlignment="0" applyProtection="0"/>
    <xf numFmtId="0" fontId="138" fillId="62" borderId="0" applyNumberFormat="0" applyBorder="0" applyAlignment="0" applyProtection="0"/>
    <xf numFmtId="0" fontId="138" fillId="66" borderId="0" applyNumberFormat="0" applyBorder="0" applyAlignment="0" applyProtection="0"/>
    <xf numFmtId="0" fontId="138" fillId="66" borderId="0" applyNumberFormat="0" applyBorder="0" applyAlignment="0" applyProtection="0"/>
    <xf numFmtId="0" fontId="138" fillId="66" borderId="0" applyNumberFormat="0" applyBorder="0" applyAlignment="0" applyProtection="0"/>
    <xf numFmtId="0" fontId="138" fillId="70" borderId="0" applyNumberFormat="0" applyBorder="0" applyAlignment="0" applyProtection="0"/>
    <xf numFmtId="0" fontId="138" fillId="70" borderId="0" applyNumberFormat="0" applyBorder="0" applyAlignment="0" applyProtection="0"/>
    <xf numFmtId="0" fontId="138" fillId="70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9" borderId="0" applyNumberFormat="0" applyBorder="0" applyAlignment="0" applyProtection="0"/>
    <xf numFmtId="0" fontId="157" fillId="59" borderId="0" applyNumberFormat="0" applyBorder="0" applyAlignment="0" applyProtection="0"/>
    <xf numFmtId="0" fontId="157" fillId="59" borderId="0" applyNumberFormat="0" applyBorder="0" applyAlignment="0" applyProtection="0"/>
    <xf numFmtId="0" fontId="157" fillId="63" borderId="0" applyNumberFormat="0" applyBorder="0" applyAlignment="0" applyProtection="0"/>
    <xf numFmtId="0" fontId="157" fillId="63" borderId="0" applyNumberFormat="0" applyBorder="0" applyAlignment="0" applyProtection="0"/>
    <xf numFmtId="0" fontId="157" fillId="63" borderId="0" applyNumberFormat="0" applyBorder="0" applyAlignment="0" applyProtection="0"/>
    <xf numFmtId="0" fontId="157" fillId="67" borderId="0" applyNumberFormat="0" applyBorder="0" applyAlignment="0" applyProtection="0"/>
    <xf numFmtId="0" fontId="157" fillId="67" borderId="0" applyNumberFormat="0" applyBorder="0" applyAlignment="0" applyProtection="0"/>
    <xf numFmtId="0" fontId="157" fillId="67" borderId="0" applyNumberFormat="0" applyBorder="0" applyAlignment="0" applyProtection="0"/>
    <xf numFmtId="0" fontId="157" fillId="71" borderId="0" applyNumberFormat="0" applyBorder="0" applyAlignment="0" applyProtection="0"/>
    <xf numFmtId="0" fontId="157" fillId="71" borderId="0" applyNumberFormat="0" applyBorder="0" applyAlignment="0" applyProtection="0"/>
    <xf numFmtId="0" fontId="157" fillId="71" borderId="0" applyNumberFormat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6" fillId="41" borderId="0" applyNumberFormat="0" applyBorder="0" applyAlignment="0" applyProtection="0"/>
    <xf numFmtId="0" fontId="146" fillId="41" borderId="0" applyNumberFormat="0" applyBorder="0" applyAlignment="0" applyProtection="0"/>
    <xf numFmtId="0" fontId="146" fillId="41" borderId="0" applyNumberFormat="0" applyBorder="0" applyAlignment="0" applyProtection="0"/>
    <xf numFmtId="0" fontId="153" fillId="46" borderId="30" applyNumberFormat="0" applyAlignment="0" applyProtection="0"/>
    <xf numFmtId="0" fontId="153" fillId="46" borderId="30" applyNumberFormat="0" applyAlignment="0" applyProtection="0"/>
    <xf numFmtId="0" fontId="153" fillId="46" borderId="30" applyNumberFormat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5" applyNumberFormat="0" applyFill="0" applyAlignment="0" applyProtection="0"/>
    <xf numFmtId="0" fontId="144" fillId="0" borderId="25" applyNumberFormat="0" applyFill="0" applyAlignment="0" applyProtection="0"/>
    <xf numFmtId="0" fontId="144" fillId="0" borderId="25" applyNumberFormat="0" applyFill="0" applyAlignment="0" applyProtection="0"/>
    <xf numFmtId="0" fontId="145" fillId="0" borderId="26" applyNumberFormat="0" applyFill="0" applyAlignment="0" applyProtection="0"/>
    <xf numFmtId="0" fontId="145" fillId="0" borderId="26" applyNumberFormat="0" applyFill="0" applyAlignment="0" applyProtection="0"/>
    <xf numFmtId="0" fontId="145" fillId="0" borderId="26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8" fillId="43" borderId="0" applyNumberFormat="0" applyBorder="0" applyAlignment="0" applyProtection="0"/>
    <xf numFmtId="0" fontId="148" fillId="43" borderId="0" applyNumberFormat="0" applyBorder="0" applyAlignment="0" applyProtection="0"/>
    <xf numFmtId="0" fontId="148" fillId="43" borderId="0" applyNumberFormat="0" applyBorder="0" applyAlignment="0" applyProtection="0"/>
    <xf numFmtId="0" fontId="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7" fillId="0" borderId="0"/>
    <xf numFmtId="0" fontId="137" fillId="0" borderId="0"/>
    <xf numFmtId="0" fontId="137" fillId="0" borderId="0"/>
    <xf numFmtId="0" fontId="7" fillId="0" borderId="0"/>
    <xf numFmtId="0" fontId="118" fillId="0" borderId="0"/>
    <xf numFmtId="0" fontId="137" fillId="0" borderId="0"/>
    <xf numFmtId="0" fontId="137" fillId="0" borderId="0"/>
    <xf numFmtId="0" fontId="14" fillId="0" borderId="0">
      <alignment vertical="center"/>
    </xf>
    <xf numFmtId="0" fontId="118" fillId="0" borderId="0"/>
    <xf numFmtId="0" fontId="14" fillId="0" borderId="0"/>
    <xf numFmtId="0" fontId="14" fillId="0" borderId="0">
      <alignment vertical="center"/>
    </xf>
    <xf numFmtId="0" fontId="14" fillId="0" borderId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0" fontId="152" fillId="0" borderId="29" applyNumberFormat="0" applyFill="0" applyAlignment="0" applyProtection="0"/>
    <xf numFmtId="0" fontId="152" fillId="0" borderId="29" applyNumberFormat="0" applyFill="0" applyAlignment="0" applyProtection="0"/>
    <xf numFmtId="0" fontId="152" fillId="0" borderId="29" applyNumberFormat="0" applyFill="0" applyAlignment="0" applyProtection="0"/>
    <xf numFmtId="0" fontId="156" fillId="0" borderId="32" applyNumberFormat="0" applyFill="0" applyAlignment="0" applyProtection="0"/>
    <xf numFmtId="0" fontId="156" fillId="0" borderId="32" applyNumberFormat="0" applyFill="0" applyAlignment="0" applyProtection="0"/>
    <xf numFmtId="0" fontId="156" fillId="0" borderId="32" applyNumberFormat="0" applyFill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9" fillId="44" borderId="27" applyNumberFormat="0" applyAlignment="0" applyProtection="0"/>
    <xf numFmtId="0" fontId="149" fillId="44" borderId="27" applyNumberFormat="0" applyAlignment="0" applyProtection="0"/>
    <xf numFmtId="0" fontId="149" fillId="44" borderId="27" applyNumberFormat="0" applyAlignment="0" applyProtection="0"/>
    <xf numFmtId="0" fontId="151" fillId="45" borderId="27" applyNumberFormat="0" applyAlignment="0" applyProtection="0"/>
    <xf numFmtId="0" fontId="151" fillId="45" borderId="27" applyNumberFormat="0" applyAlignment="0" applyProtection="0"/>
    <xf numFmtId="0" fontId="151" fillId="45" borderId="27" applyNumberFormat="0" applyAlignment="0" applyProtection="0"/>
    <xf numFmtId="0" fontId="150" fillId="45" borderId="28" applyNumberFormat="0" applyAlignment="0" applyProtection="0"/>
    <xf numFmtId="0" fontId="150" fillId="45" borderId="28" applyNumberFormat="0" applyAlignment="0" applyProtection="0"/>
    <xf numFmtId="0" fontId="150" fillId="45" borderId="28" applyNumberFormat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47" fillId="42" borderId="0" applyNumberFormat="0" applyBorder="0" applyAlignment="0" applyProtection="0"/>
    <xf numFmtId="0" fontId="147" fillId="42" borderId="0" applyNumberFormat="0" applyBorder="0" applyAlignment="0" applyProtection="0"/>
    <xf numFmtId="0" fontId="147" fillId="42" borderId="0" applyNumberFormat="0" applyBorder="0" applyAlignment="0" applyProtection="0"/>
    <xf numFmtId="0" fontId="157" fillId="48" borderId="0" applyNumberFormat="0" applyBorder="0" applyAlignment="0" applyProtection="0"/>
    <xf numFmtId="0" fontId="157" fillId="48" borderId="0" applyNumberFormat="0" applyBorder="0" applyAlignment="0" applyProtection="0"/>
    <xf numFmtId="0" fontId="157" fillId="48" borderId="0" applyNumberFormat="0" applyBorder="0" applyAlignment="0" applyProtection="0"/>
    <xf numFmtId="0" fontId="157" fillId="52" borderId="0" applyNumberFormat="0" applyBorder="0" applyAlignment="0" applyProtection="0"/>
    <xf numFmtId="0" fontId="157" fillId="52" borderId="0" applyNumberFormat="0" applyBorder="0" applyAlignment="0" applyProtection="0"/>
    <xf numFmtId="0" fontId="157" fillId="52" borderId="0" applyNumberFormat="0" applyBorder="0" applyAlignment="0" applyProtection="0"/>
    <xf numFmtId="0" fontId="157" fillId="56" borderId="0" applyNumberFormat="0" applyBorder="0" applyAlignment="0" applyProtection="0"/>
    <xf numFmtId="0" fontId="157" fillId="56" borderId="0" applyNumberFormat="0" applyBorder="0" applyAlignment="0" applyProtection="0"/>
    <xf numFmtId="0" fontId="157" fillId="56" borderId="0" applyNumberFormat="0" applyBorder="0" applyAlignment="0" applyProtection="0"/>
    <xf numFmtId="0" fontId="157" fillId="60" borderId="0" applyNumberFormat="0" applyBorder="0" applyAlignment="0" applyProtection="0"/>
    <xf numFmtId="0" fontId="157" fillId="60" borderId="0" applyNumberFormat="0" applyBorder="0" applyAlignment="0" applyProtection="0"/>
    <xf numFmtId="0" fontId="157" fillId="60" borderId="0" applyNumberFormat="0" applyBorder="0" applyAlignment="0" applyProtection="0"/>
    <xf numFmtId="0" fontId="157" fillId="64" borderId="0" applyNumberFormat="0" applyBorder="0" applyAlignment="0" applyProtection="0"/>
    <xf numFmtId="0" fontId="157" fillId="64" borderId="0" applyNumberFormat="0" applyBorder="0" applyAlignment="0" applyProtection="0"/>
    <xf numFmtId="0" fontId="157" fillId="64" borderId="0" applyNumberFormat="0" applyBorder="0" applyAlignment="0" applyProtection="0"/>
    <xf numFmtId="0" fontId="157" fillId="68" borderId="0" applyNumberFormat="0" applyBorder="0" applyAlignment="0" applyProtection="0"/>
    <xf numFmtId="0" fontId="157" fillId="68" borderId="0" applyNumberFormat="0" applyBorder="0" applyAlignment="0" applyProtection="0"/>
    <xf numFmtId="0" fontId="157" fillId="68" borderId="0" applyNumberFormat="0" applyBorder="0" applyAlignment="0" applyProtection="0"/>
    <xf numFmtId="0" fontId="7" fillId="0" borderId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23" fillId="75" borderId="0" applyNumberFormat="0" applyBorder="0" applyAlignment="0" applyProtection="0"/>
    <xf numFmtId="0" fontId="23" fillId="9" borderId="0" applyNumberFormat="0" applyBorder="0" applyAlignment="0" applyProtection="0"/>
    <xf numFmtId="0" fontId="23" fillId="26" borderId="0" applyNumberFormat="0" applyBorder="0" applyAlignment="0" applyProtection="0"/>
    <xf numFmtId="0" fontId="23" fillId="75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7" borderId="0" applyNumberFormat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23" fillId="22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22" borderId="0" applyNumberFormat="0" applyBorder="0" applyAlignment="0" applyProtection="0"/>
    <xf numFmtId="0" fontId="23" fillId="10" borderId="0" applyNumberFormat="0" applyBorder="0" applyAlignment="0" applyProtection="0"/>
    <xf numFmtId="0" fontId="23" fillId="9" borderId="0" applyNumberFormat="0" applyBorder="0" applyAlignment="0" applyProtection="0"/>
    <xf numFmtId="0" fontId="226" fillId="14" borderId="0" applyNumberFormat="0" applyBorder="0" applyAlignment="0" applyProtection="0"/>
    <xf numFmtId="0" fontId="226" fillId="11" borderId="0" applyNumberFormat="0" applyBorder="0" applyAlignment="0" applyProtection="0"/>
    <xf numFmtId="0" fontId="226" fillId="12" borderId="0" applyNumberFormat="0" applyBorder="0" applyAlignment="0" applyProtection="0"/>
    <xf numFmtId="0" fontId="226" fillId="15" borderId="0" applyNumberFormat="0" applyBorder="0" applyAlignment="0" applyProtection="0"/>
    <xf numFmtId="0" fontId="226" fillId="16" borderId="0" applyNumberFormat="0" applyBorder="0" applyAlignment="0" applyProtection="0"/>
    <xf numFmtId="0" fontId="226" fillId="17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28" borderId="0" applyNumberFormat="0" applyBorder="0" applyAlignment="0" applyProtection="0"/>
    <xf numFmtId="0" fontId="24" fillId="22" borderId="0" applyNumberFormat="0" applyBorder="0" applyAlignment="0" applyProtection="0"/>
    <xf numFmtId="0" fontId="24" fillId="16" borderId="0" applyNumberFormat="0" applyBorder="0" applyAlignment="0" applyProtection="0"/>
    <xf numFmtId="0" fontId="24" fillId="9" borderId="0" applyNumberFormat="0" applyBorder="0" applyAlignment="0" applyProtection="0"/>
    <xf numFmtId="0" fontId="24" fillId="16" borderId="0" applyNumberFormat="0" applyBorder="0" applyAlignment="0" applyProtection="0"/>
    <xf numFmtId="0" fontId="24" fillId="76" borderId="0" applyNumberFormat="0" applyBorder="0" applyAlignment="0" applyProtection="0"/>
    <xf numFmtId="0" fontId="26" fillId="75" borderId="4" applyNumberFormat="0" applyAlignment="0" applyProtection="0"/>
    <xf numFmtId="0" fontId="227" fillId="0" borderId="6" applyNumberFormat="0" applyFill="0" applyAlignment="0" applyProtection="0"/>
    <xf numFmtId="0" fontId="42" fillId="6" borderId="0" applyNumberFormat="0" applyBorder="0" applyAlignment="0" applyProtection="0"/>
    <xf numFmtId="0" fontId="222" fillId="0" borderId="36" applyNumberFormat="0" applyFill="0" applyAlignment="0" applyProtection="0"/>
    <xf numFmtId="0" fontId="223" fillId="0" borderId="14" applyNumberFormat="0" applyFill="0" applyAlignment="0" applyProtection="0"/>
    <xf numFmtId="0" fontId="224" fillId="0" borderId="37" applyNumberFormat="0" applyFill="0" applyAlignment="0" applyProtection="0"/>
    <xf numFmtId="0" fontId="224" fillId="0" borderId="0" applyNumberFormat="0" applyFill="0" applyBorder="0" applyAlignment="0" applyProtection="0"/>
    <xf numFmtId="0" fontId="228" fillId="5" borderId="0" applyNumberFormat="0" applyBorder="0" applyAlignment="0" applyProtection="0"/>
    <xf numFmtId="0" fontId="229" fillId="40" borderId="19" applyNumberFormat="0" applyAlignment="0" applyProtection="0"/>
    <xf numFmtId="0" fontId="220" fillId="0" borderId="0" applyNumberFormat="0" applyFill="0" applyBorder="0" applyAlignment="0" applyProtection="0"/>
    <xf numFmtId="0" fontId="230" fillId="2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64" fillId="0" borderId="0"/>
    <xf numFmtId="0" fontId="138" fillId="0" borderId="0"/>
    <xf numFmtId="0" fontId="14" fillId="0" borderId="0"/>
    <xf numFmtId="0" fontId="7" fillId="0" borderId="0"/>
    <xf numFmtId="0" fontId="14" fillId="0" borderId="0"/>
    <xf numFmtId="0" fontId="14" fillId="26" borderId="9" applyNumberFormat="0" applyFont="0" applyAlignment="0" applyProtection="0"/>
    <xf numFmtId="0" fontId="25" fillId="75" borderId="3" applyNumberFormat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" fillId="0" borderId="0"/>
    <xf numFmtId="0" fontId="14" fillId="26" borderId="9" applyNumberFormat="0" applyFont="0" applyAlignment="0" applyProtection="0"/>
    <xf numFmtId="0" fontId="231" fillId="0" borderId="17" applyNumberFormat="0" applyFill="0" applyAlignment="0" applyProtection="0"/>
    <xf numFmtId="0" fontId="232" fillId="6" borderId="0" applyNumberFormat="0" applyBorder="0" applyAlignment="0" applyProtection="0"/>
    <xf numFmtId="0" fontId="221" fillId="0" borderId="0"/>
    <xf numFmtId="0" fontId="23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33" fillId="0" borderId="38" applyNumberFormat="0" applyFill="0" applyAlignment="0" applyProtection="0"/>
    <xf numFmtId="0" fontId="23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26" fillId="18" borderId="0" applyNumberFormat="0" applyBorder="0" applyAlignment="0" applyProtection="0"/>
    <xf numFmtId="0" fontId="226" fillId="19" borderId="0" applyNumberFormat="0" applyBorder="0" applyAlignment="0" applyProtection="0"/>
    <xf numFmtId="0" fontId="226" fillId="20" borderId="0" applyNumberFormat="0" applyBorder="0" applyAlignment="0" applyProtection="0"/>
    <xf numFmtId="0" fontId="226" fillId="15" borderId="0" applyNumberFormat="0" applyBorder="0" applyAlignment="0" applyProtection="0"/>
    <xf numFmtId="0" fontId="226" fillId="16" borderId="0" applyNumberFormat="0" applyBorder="0" applyAlignment="0" applyProtection="0"/>
    <xf numFmtId="0" fontId="226" fillId="21" borderId="0" applyNumberFormat="0" applyBorder="0" applyAlignment="0" applyProtection="0"/>
    <xf numFmtId="0" fontId="24" fillId="16" borderId="0" applyNumberFormat="0" applyBorder="0" applyAlignment="0" applyProtection="0"/>
    <xf numFmtId="0" fontId="24" fillId="76" borderId="0" applyNumberFormat="0" applyBorder="0" applyAlignment="0" applyProtection="0"/>
    <xf numFmtId="0" fontId="26" fillId="75" borderId="4" applyNumberFormat="0" applyAlignment="0" applyProtection="0"/>
    <xf numFmtId="0" fontId="222" fillId="0" borderId="36" applyNumberFormat="0" applyFill="0" applyAlignment="0" applyProtection="0"/>
    <xf numFmtId="0" fontId="223" fillId="0" borderId="14" applyNumberFormat="0" applyFill="0" applyAlignment="0" applyProtection="0"/>
    <xf numFmtId="0" fontId="224" fillId="0" borderId="37" applyNumberFormat="0" applyFill="0" applyAlignment="0" applyProtection="0"/>
    <xf numFmtId="0" fontId="224" fillId="0" borderId="0" applyNumberFormat="0" applyFill="0" applyBorder="0" applyAlignment="0" applyProtection="0"/>
    <xf numFmtId="0" fontId="25" fillId="75" borderId="3" applyNumberFormat="0" applyAlignment="0" applyProtection="0"/>
    <xf numFmtId="0" fontId="14" fillId="26" borderId="9" applyNumberFormat="0" applyFont="0" applyAlignment="0" applyProtection="0"/>
    <xf numFmtId="0" fontId="225" fillId="0" borderId="0" applyNumberFormat="0" applyFill="0" applyBorder="0" applyAlignment="0" applyProtection="0"/>
    <xf numFmtId="0" fontId="7" fillId="0" borderId="0"/>
    <xf numFmtId="0" fontId="14" fillId="0" borderId="0"/>
    <xf numFmtId="168" fontId="19" fillId="0" borderId="0"/>
    <xf numFmtId="0" fontId="19" fillId="0" borderId="0"/>
    <xf numFmtId="165" fontId="192" fillId="0" borderId="0" applyFont="0" applyFill="0" applyBorder="0" applyAlignment="0" applyProtection="0"/>
    <xf numFmtId="0" fontId="19" fillId="0" borderId="0"/>
    <xf numFmtId="0" fontId="192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2" fillId="0" borderId="0"/>
    <xf numFmtId="0" fontId="194" fillId="0" borderId="0"/>
    <xf numFmtId="0" fontId="20" fillId="0" borderId="0"/>
    <xf numFmtId="0" fontId="20" fillId="0" borderId="0"/>
    <xf numFmtId="0" fontId="21" fillId="0" borderId="0">
      <alignment horizontal="left"/>
    </xf>
    <xf numFmtId="0" fontId="14" fillId="0" borderId="0"/>
    <xf numFmtId="0" fontId="138" fillId="0" borderId="0"/>
    <xf numFmtId="0" fontId="14" fillId="0" borderId="0"/>
    <xf numFmtId="43" fontId="138" fillId="0" borderId="0" applyFont="0" applyFill="0" applyBorder="0" applyAlignment="0" applyProtection="0"/>
    <xf numFmtId="0" fontId="118" fillId="0" borderId="0"/>
    <xf numFmtId="0" fontId="243" fillId="0" borderId="0" applyNumberForma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246" fillId="43" borderId="0" applyNumberFormat="0" applyBorder="0" applyAlignment="0" applyProtection="0"/>
    <xf numFmtId="0" fontId="5" fillId="47" borderId="31" applyNumberFormat="0" applyFont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69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9" fontId="62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77" fillId="0" borderId="24" applyNumberFormat="0" applyFill="0" applyAlignment="0" applyProtection="0"/>
    <xf numFmtId="0" fontId="178" fillId="0" borderId="25" applyNumberFormat="0" applyFill="0" applyAlignment="0" applyProtection="0"/>
    <xf numFmtId="0" fontId="179" fillId="0" borderId="26" applyNumberFormat="0" applyFill="0" applyAlignment="0" applyProtection="0"/>
    <xf numFmtId="0" fontId="179" fillId="0" borderId="0" applyNumberFormat="0" applyFill="0" applyBorder="0" applyAlignment="0" applyProtection="0"/>
    <xf numFmtId="0" fontId="180" fillId="42" borderId="0" applyNumberFormat="0" applyBorder="0" applyAlignment="0" applyProtection="0"/>
    <xf numFmtId="0" fontId="182" fillId="44" borderId="27" applyNumberFormat="0" applyAlignment="0" applyProtection="0"/>
    <xf numFmtId="0" fontId="183" fillId="45" borderId="28" applyNumberFormat="0" applyAlignment="0" applyProtection="0"/>
    <xf numFmtId="0" fontId="184" fillId="45" borderId="27" applyNumberFormat="0" applyAlignment="0" applyProtection="0"/>
    <xf numFmtId="0" fontId="185" fillId="0" borderId="29" applyNumberFormat="0" applyFill="0" applyAlignment="0" applyProtection="0"/>
    <xf numFmtId="0" fontId="186" fillId="46" borderId="30" applyNumberFormat="0" applyAlignment="0" applyProtection="0"/>
    <xf numFmtId="0" fontId="187" fillId="0" borderId="0" applyNumberFormat="0" applyFill="0" applyBorder="0" applyAlignment="0" applyProtection="0"/>
    <xf numFmtId="0" fontId="188" fillId="48" borderId="0" applyNumberFormat="0" applyBorder="0" applyAlignment="0" applyProtection="0"/>
    <xf numFmtId="0" fontId="188" fillId="52" borderId="0" applyNumberFormat="0" applyBorder="0" applyAlignment="0" applyProtection="0"/>
    <xf numFmtId="0" fontId="188" fillId="56" borderId="0" applyNumberFormat="0" applyBorder="0" applyAlignment="0" applyProtection="0"/>
    <xf numFmtId="0" fontId="188" fillId="60" borderId="0" applyNumberFormat="0" applyBorder="0" applyAlignment="0" applyProtection="0"/>
    <xf numFmtId="0" fontId="188" fillId="64" borderId="0" applyNumberFormat="0" applyBorder="0" applyAlignment="0" applyProtection="0"/>
    <xf numFmtId="0" fontId="188" fillId="68" borderId="0" applyNumberFormat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2" fillId="0" borderId="41" applyNumberFormat="0" applyFill="0" applyAlignment="0" applyProtection="0"/>
    <xf numFmtId="168" fontId="98" fillId="0" borderId="42" applyNumberFormat="0" applyFont="0" applyFill="0" applyBorder="0" applyAlignment="0" applyProtection="0"/>
    <xf numFmtId="0" fontId="7" fillId="0" borderId="0"/>
    <xf numFmtId="0" fontId="7" fillId="0" borderId="0"/>
    <xf numFmtId="0" fontId="6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1" fillId="0" borderId="24" applyNumberFormat="0" applyFill="0" applyAlignment="0" applyProtection="0"/>
    <xf numFmtId="0" fontId="252" fillId="0" borderId="25" applyNumberFormat="0" applyFill="0" applyAlignment="0" applyProtection="0"/>
    <xf numFmtId="0" fontId="253" fillId="0" borderId="26" applyNumberFormat="0" applyFill="0" applyAlignment="0" applyProtection="0"/>
    <xf numFmtId="0" fontId="253" fillId="0" borderId="0" applyNumberFormat="0" applyFill="0" applyBorder="0" applyAlignment="0" applyProtection="0"/>
    <xf numFmtId="0" fontId="254" fillId="42" borderId="0" applyNumberFormat="0" applyBorder="0" applyAlignment="0" applyProtection="0"/>
    <xf numFmtId="0" fontId="255" fillId="43" borderId="0" applyNumberFormat="0" applyBorder="0" applyAlignment="0" applyProtection="0"/>
    <xf numFmtId="0" fontId="256" fillId="44" borderId="27" applyNumberFormat="0" applyAlignment="0" applyProtection="0"/>
    <xf numFmtId="0" fontId="257" fillId="45" borderId="28" applyNumberFormat="0" applyAlignment="0" applyProtection="0"/>
    <xf numFmtId="0" fontId="258" fillId="45" borderId="27" applyNumberFormat="0" applyAlignment="0" applyProtection="0"/>
    <xf numFmtId="0" fontId="259" fillId="0" borderId="29" applyNumberFormat="0" applyFill="0" applyAlignment="0" applyProtection="0"/>
    <xf numFmtId="0" fontId="260" fillId="46" borderId="30" applyNumberFormat="0" applyAlignment="0" applyProtection="0"/>
    <xf numFmtId="0" fontId="261" fillId="0" borderId="0" applyNumberFormat="0" applyFill="0" applyBorder="0" applyAlignment="0" applyProtection="0"/>
    <xf numFmtId="0" fontId="262" fillId="48" borderId="0" applyNumberFormat="0" applyBorder="0" applyAlignment="0" applyProtection="0"/>
    <xf numFmtId="0" fontId="262" fillId="52" borderId="0" applyNumberFormat="0" applyBorder="0" applyAlignment="0" applyProtection="0"/>
    <xf numFmtId="0" fontId="262" fillId="56" borderId="0" applyNumberFormat="0" applyBorder="0" applyAlignment="0" applyProtection="0"/>
    <xf numFmtId="0" fontId="262" fillId="60" borderId="0" applyNumberFormat="0" applyBorder="0" applyAlignment="0" applyProtection="0"/>
    <xf numFmtId="0" fontId="262" fillId="64" borderId="0" applyNumberFormat="0" applyBorder="0" applyAlignment="0" applyProtection="0"/>
    <xf numFmtId="0" fontId="262" fillId="68" borderId="0" applyNumberFormat="0" applyBorder="0" applyAlignment="0" applyProtection="0"/>
    <xf numFmtId="0" fontId="7" fillId="47" borderId="31" applyNumberFormat="0" applyFont="0" applyAlignment="0" applyProtection="0"/>
    <xf numFmtId="43" fontId="14" fillId="0" borderId="0" applyFont="0" applyFill="0" applyBorder="0" applyAlignment="0" applyProtection="0"/>
    <xf numFmtId="0" fontId="181" fillId="43" borderId="0" applyNumberFormat="0" applyBorder="0" applyAlignment="0" applyProtection="0"/>
    <xf numFmtId="0" fontId="4" fillId="0" borderId="0"/>
    <xf numFmtId="0" fontId="4" fillId="47" borderId="31" applyNumberFormat="0" applyFont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43" fontId="192" fillId="0" borderId="0" applyFont="0" applyFill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0" borderId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0" borderId="0"/>
    <xf numFmtId="0" fontId="4" fillId="0" borderId="0"/>
    <xf numFmtId="0" fontId="92" fillId="0" borderId="41" applyNumberFormat="0" applyFill="0" applyAlignment="0" applyProtection="0"/>
    <xf numFmtId="0" fontId="224" fillId="0" borderId="43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14" fillId="0" borderId="0"/>
    <xf numFmtId="0" fontId="7" fillId="0" borderId="0"/>
    <xf numFmtId="9" fontId="7" fillId="0" borderId="0" applyFont="0" applyFill="0" applyBorder="0" applyAlignment="0" applyProtection="0"/>
    <xf numFmtId="0" fontId="14" fillId="0" borderId="0"/>
    <xf numFmtId="9" fontId="138" fillId="0" borderId="0" applyFont="0" applyFill="0" applyBorder="0" applyAlignment="0" applyProtection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38" fillId="0" borderId="0"/>
    <xf numFmtId="0" fontId="26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256" fillId="44" borderId="27" applyNumberFormat="0" applyAlignment="0" applyProtection="0"/>
    <xf numFmtId="0" fontId="273" fillId="41" borderId="0" applyNumberFormat="0" applyBorder="0" applyAlignment="0" applyProtection="0"/>
    <xf numFmtId="9" fontId="14" fillId="0" borderId="0" applyFont="0" applyFill="0" applyBorder="0" applyAlignment="0" applyProtection="0"/>
    <xf numFmtId="0" fontId="3" fillId="0" borderId="0"/>
    <xf numFmtId="0" fontId="138" fillId="0" borderId="0"/>
    <xf numFmtId="0" fontId="14" fillId="0" borderId="0"/>
    <xf numFmtId="0" fontId="134" fillId="0" borderId="0"/>
    <xf numFmtId="0" fontId="23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311" fillId="0" borderId="0"/>
    <xf numFmtId="0" fontId="1" fillId="0" borderId="0"/>
    <xf numFmtId="0" fontId="1" fillId="0" borderId="0"/>
  </cellStyleXfs>
  <cellXfs count="1608">
    <xf numFmtId="0" fontId="0" fillId="0" borderId="0" xfId="0"/>
    <xf numFmtId="0" fontId="113" fillId="2" borderId="0" xfId="790" applyFont="1" applyFill="1" applyBorder="1" applyAlignment="1">
      <alignment horizontal="right" vertical="center" wrapText="1"/>
    </xf>
    <xf numFmtId="3" fontId="117" fillId="0" borderId="0" xfId="0" applyNumberFormat="1" applyFont="1"/>
    <xf numFmtId="0" fontId="0" fillId="0" borderId="0" xfId="0" applyFill="1" applyBorder="1"/>
    <xf numFmtId="166" fontId="0" fillId="0" borderId="0" xfId="0" applyNumberFormat="1"/>
    <xf numFmtId="0" fontId="0" fillId="0" borderId="0" xfId="0" applyFill="1"/>
    <xf numFmtId="0" fontId="117" fillId="0" borderId="0" xfId="0" applyFont="1"/>
    <xf numFmtId="0" fontId="0" fillId="0" borderId="0" xfId="0" applyBorder="1"/>
    <xf numFmtId="0" fontId="120" fillId="2" borderId="0" xfId="790" applyFont="1" applyFill="1" applyBorder="1"/>
    <xf numFmtId="0" fontId="120" fillId="2" borderId="0" xfId="790" applyFont="1" applyFill="1" applyBorder="1" applyAlignment="1">
      <alignment horizontal="right" vertical="center"/>
    </xf>
    <xf numFmtId="0" fontId="120" fillId="2" borderId="0" xfId="790" applyFont="1" applyFill="1" applyBorder="1" applyAlignment="1">
      <alignment horizontal="right" vertical="center" wrapText="1"/>
    </xf>
    <xf numFmtId="0" fontId="115" fillId="0" borderId="0" xfId="790" applyFont="1" applyFill="1" applyBorder="1"/>
    <xf numFmtId="0" fontId="116" fillId="0" borderId="0" xfId="790" applyFont="1" applyFill="1" applyBorder="1" applyAlignment="1">
      <alignment horizontal="left" indent="2"/>
    </xf>
    <xf numFmtId="2" fontId="116" fillId="0" borderId="0" xfId="790" applyNumberFormat="1" applyFont="1" applyFill="1" applyBorder="1" applyAlignment="1">
      <alignment horizontal="left" indent="2"/>
    </xf>
    <xf numFmtId="0" fontId="117" fillId="0" borderId="0" xfId="0" applyFont="1" applyFill="1"/>
    <xf numFmtId="0" fontId="123" fillId="2" borderId="0" xfId="0" applyFont="1" applyFill="1" applyAlignment="1">
      <alignment vertical="center" wrapText="1"/>
    </xf>
    <xf numFmtId="0" fontId="16" fillId="0" borderId="0" xfId="0" applyFont="1" applyAlignment="1">
      <alignment vertical="center" wrapText="1"/>
    </xf>
    <xf numFmtId="0" fontId="125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22" xfId="0" applyFont="1" applyBorder="1" applyAlignment="1">
      <alignment vertical="center"/>
    </xf>
    <xf numFmtId="0" fontId="124" fillId="2" borderId="0" xfId="0" applyFont="1" applyFill="1" applyAlignment="1">
      <alignment vertical="center"/>
    </xf>
    <xf numFmtId="0" fontId="124" fillId="2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6" fillId="0" borderId="0" xfId="0" applyFont="1" applyFill="1" applyBorder="1"/>
    <xf numFmtId="201" fontId="17" fillId="0" borderId="0" xfId="0" applyNumberFormat="1" applyFont="1" applyBorder="1" applyAlignment="1">
      <alignment horizontal="right"/>
    </xf>
    <xf numFmtId="2" fontId="15" fillId="0" borderId="22" xfId="0" applyNumberFormat="1" applyFont="1" applyBorder="1" applyAlignment="1">
      <alignment horizontal="center" vertical="center"/>
    </xf>
    <xf numFmtId="0" fontId="117" fillId="0" borderId="0" xfId="0" applyFont="1" applyBorder="1"/>
    <xf numFmtId="0" fontId="18" fillId="0" borderId="0" xfId="0" applyFont="1" applyAlignment="1">
      <alignment vertical="center"/>
    </xf>
    <xf numFmtId="167" fontId="115" fillId="0" borderId="0" xfId="790" applyNumberFormat="1" applyFont="1" applyFill="1" applyBorder="1" applyAlignment="1">
      <alignment horizontal="right" vertical="center"/>
    </xf>
    <xf numFmtId="0" fontId="117" fillId="0" borderId="0" xfId="0" applyFont="1" applyFill="1" applyBorder="1"/>
    <xf numFmtId="0" fontId="109" fillId="0" borderId="0" xfId="0" applyFont="1" applyAlignment="1">
      <alignment vertical="center"/>
    </xf>
    <xf numFmtId="0" fontId="113" fillId="2" borderId="0" xfId="0" applyFont="1" applyFill="1" applyAlignment="1">
      <alignment vertical="center"/>
    </xf>
    <xf numFmtId="3" fontId="16" fillId="0" borderId="0" xfId="0" applyNumberFormat="1" applyFont="1" applyFill="1" applyAlignment="1">
      <alignment horizontal="center" vertical="center"/>
    </xf>
    <xf numFmtId="2" fontId="125" fillId="0" borderId="0" xfId="0" applyNumberFormat="1" applyFont="1" applyAlignment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2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justify" vertical="center" wrapText="1"/>
    </xf>
    <xf numFmtId="0" fontId="119" fillId="0" borderId="0" xfId="0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/>
    <xf numFmtId="3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/>
    </xf>
    <xf numFmtId="3" fontId="18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3" fontId="15" fillId="0" borderId="0" xfId="0" applyNumberFormat="1" applyFont="1" applyFill="1" applyBorder="1" applyAlignment="1">
      <alignment horizontal="center" vertical="center"/>
    </xf>
    <xf numFmtId="0" fontId="130" fillId="0" borderId="0" xfId="0" applyFont="1" applyFill="1" applyBorder="1"/>
    <xf numFmtId="4" fontId="130" fillId="0" borderId="0" xfId="0" applyNumberFormat="1" applyFont="1" applyFill="1" applyBorder="1" applyAlignment="1">
      <alignment horizontal="center" vertical="center"/>
    </xf>
    <xf numFmtId="3" fontId="117" fillId="0" borderId="0" xfId="0" applyNumberFormat="1" applyFont="1" applyFill="1" applyBorder="1"/>
    <xf numFmtId="0" fontId="124" fillId="0" borderId="0" xfId="0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13" fillId="2" borderId="0" xfId="0" applyFont="1" applyFill="1" applyBorder="1" applyAlignment="1">
      <alignment vertical="center"/>
    </xf>
    <xf numFmtId="167" fontId="130" fillId="0" borderId="0" xfId="0" applyNumberFormat="1" applyFont="1" applyFill="1" applyBorder="1" applyAlignment="1">
      <alignment horizontal="right" vertical="center"/>
    </xf>
    <xf numFmtId="0" fontId="109" fillId="0" borderId="23" xfId="0" applyFont="1" applyFill="1" applyBorder="1" applyAlignment="1">
      <alignment horizontal="left" vertical="center"/>
    </xf>
    <xf numFmtId="3" fontId="109" fillId="0" borderId="23" xfId="0" applyNumberFormat="1" applyFont="1" applyFill="1" applyBorder="1" applyAlignment="1">
      <alignment vertical="center"/>
    </xf>
    <xf numFmtId="0" fontId="130" fillId="0" borderId="22" xfId="0" applyFont="1" applyFill="1" applyBorder="1" applyAlignment="1">
      <alignment vertical="center"/>
    </xf>
    <xf numFmtId="167" fontId="15" fillId="0" borderId="0" xfId="790" applyNumberFormat="1" applyFont="1" applyFill="1" applyBorder="1" applyAlignment="1">
      <alignment horizontal="right" vertical="center"/>
    </xf>
    <xf numFmtId="0" fontId="119" fillId="0" borderId="0" xfId="0" applyFont="1" applyBorder="1" applyAlignment="1">
      <alignment vertical="center"/>
    </xf>
    <xf numFmtId="2" fontId="0" fillId="0" borderId="0" xfId="0" applyNumberFormat="1"/>
    <xf numFmtId="0" fontId="132" fillId="0" borderId="0" xfId="0" applyFont="1" applyFill="1"/>
    <xf numFmtId="201" fontId="17" fillId="0" borderId="0" xfId="0" applyNumberFormat="1" applyFont="1" applyFill="1" applyBorder="1" applyAlignment="1">
      <alignment horizontal="right"/>
    </xf>
    <xf numFmtId="166" fontId="0" fillId="0" borderId="0" xfId="0" applyNumberFormat="1" applyFill="1"/>
    <xf numFmtId="0" fontId="112" fillId="0" borderId="0" xfId="790" applyFont="1" applyFill="1" applyBorder="1" applyAlignment="1">
      <alignment wrapText="1"/>
    </xf>
    <xf numFmtId="0" fontId="18" fillId="0" borderId="0" xfId="0" applyFont="1" applyFill="1" applyBorder="1"/>
    <xf numFmtId="166" fontId="1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161" fillId="0" borderId="0" xfId="0" applyFont="1" applyFill="1" applyBorder="1" applyAlignment="1">
      <alignment horizontal="left" indent="1"/>
    </xf>
    <xf numFmtId="0" fontId="162" fillId="0" borderId="0" xfId="0" applyFont="1" applyFill="1" applyBorder="1" applyAlignment="1">
      <alignment horizontal="left" indent="2"/>
    </xf>
    <xf numFmtId="0" fontId="162" fillId="0" borderId="0" xfId="0" applyFont="1" applyFill="1" applyBorder="1" applyAlignment="1">
      <alignment horizontal="left" wrapText="1" indent="3"/>
    </xf>
    <xf numFmtId="0" fontId="162" fillId="0" borderId="0" xfId="0" applyFont="1" applyFill="1" applyBorder="1" applyAlignment="1">
      <alignment horizontal="left" wrapText="1" indent="2"/>
    </xf>
    <xf numFmtId="0" fontId="162" fillId="0" borderId="0" xfId="0" applyFont="1" applyFill="1" applyBorder="1" applyAlignment="1">
      <alignment horizontal="left" indent="5"/>
    </xf>
    <xf numFmtId="0" fontId="162" fillId="0" borderId="0" xfId="0" applyFont="1" applyFill="1" applyBorder="1" applyAlignment="1">
      <alignment horizontal="left" indent="3"/>
    </xf>
    <xf numFmtId="0" fontId="162" fillId="0" borderId="0" xfId="0" applyFont="1" applyFill="1" applyBorder="1"/>
    <xf numFmtId="0" fontId="109" fillId="0" borderId="0" xfId="0" applyFont="1" applyFill="1" applyBorder="1" applyAlignment="1"/>
    <xf numFmtId="203" fontId="109" fillId="0" borderId="0" xfId="2162" applyNumberFormat="1" applyFont="1" applyFill="1" applyBorder="1" applyAlignment="1">
      <alignment horizontal="center"/>
    </xf>
    <xf numFmtId="0" fontId="120" fillId="2" borderId="0" xfId="0" applyFont="1" applyFill="1" applyBorder="1"/>
    <xf numFmtId="167" fontId="15" fillId="0" borderId="0" xfId="0" applyNumberFormat="1" applyFont="1" applyFill="1" applyBorder="1" applyAlignment="1">
      <alignment horizontal="right"/>
    </xf>
    <xf numFmtId="167" fontId="17" fillId="0" borderId="0" xfId="2153" applyNumberFormat="1" applyFont="1" applyFill="1" applyBorder="1" applyAlignment="1">
      <alignment horizontal="right"/>
    </xf>
    <xf numFmtId="167" fontId="162" fillId="0" borderId="0" xfId="2162" applyNumberFormat="1" applyFont="1" applyFill="1" applyBorder="1" applyAlignment="1">
      <alignment horizontal="right" wrapText="1"/>
    </xf>
    <xf numFmtId="167" fontId="16" fillId="0" borderId="0" xfId="2153" applyNumberFormat="1" applyFont="1" applyFill="1" applyBorder="1" applyAlignment="1">
      <alignment horizontal="right"/>
    </xf>
    <xf numFmtId="167" fontId="161" fillId="0" borderId="0" xfId="2162" applyNumberFormat="1" applyFont="1" applyFill="1" applyBorder="1" applyAlignment="1">
      <alignment horizontal="right" wrapText="1"/>
    </xf>
    <xf numFmtId="167" fontId="16" fillId="0" borderId="0" xfId="0" applyNumberFormat="1" applyFont="1" applyFill="1" applyBorder="1"/>
    <xf numFmtId="2" fontId="16" fillId="0" borderId="0" xfId="0" applyNumberFormat="1" applyFont="1" applyFill="1" applyAlignment="1">
      <alignment horizontal="center" vertical="center"/>
    </xf>
    <xf numFmtId="0" fontId="109" fillId="0" borderId="0" xfId="0" applyFont="1"/>
    <xf numFmtId="0" fontId="109" fillId="0" borderId="0" xfId="0" applyFont="1" applyBorder="1" applyAlignment="1">
      <alignment vertical="center"/>
    </xf>
    <xf numFmtId="0" fontId="133" fillId="0" borderId="0" xfId="0" applyFont="1" applyFill="1"/>
    <xf numFmtId="2" fontId="17" fillId="0" borderId="0" xfId="0" applyNumberFormat="1" applyFont="1" applyFill="1" applyBorder="1" applyAlignment="1">
      <alignment horizontal="center" vertical="center"/>
    </xf>
    <xf numFmtId="0" fontId="112" fillId="0" borderId="0" xfId="2163" applyFont="1"/>
    <xf numFmtId="0" fontId="109" fillId="0" borderId="0" xfId="0" applyFont="1" applyFill="1" applyAlignment="1">
      <alignment vertical="center"/>
    </xf>
    <xf numFmtId="166" fontId="16" fillId="0" borderId="0" xfId="0" applyNumberFormat="1" applyFont="1" applyFill="1" applyBorder="1" applyAlignment="1">
      <alignment horizontal="center" vertical="center"/>
    </xf>
    <xf numFmtId="0" fontId="113" fillId="0" borderId="0" xfId="790" applyFont="1" applyFill="1" applyBorder="1" applyAlignment="1">
      <alignment horizontal="right" vertical="center" wrapText="1"/>
    </xf>
    <xf numFmtId="0" fontId="113" fillId="2" borderId="0" xfId="2163" applyFont="1" applyFill="1"/>
    <xf numFmtId="0" fontId="109" fillId="0" borderId="0" xfId="2163" applyFont="1"/>
    <xf numFmtId="166" fontId="112" fillId="0" borderId="0" xfId="2163" applyNumberFormat="1" applyFont="1"/>
    <xf numFmtId="2" fontId="112" fillId="0" borderId="0" xfId="2163" applyNumberFormat="1" applyFont="1" applyFill="1" applyBorder="1" applyAlignment="1">
      <alignment horizontal="center"/>
    </xf>
    <xf numFmtId="0" fontId="112" fillId="0" borderId="0" xfId="2163" applyFont="1" applyAlignment="1">
      <alignment horizontal="center" vertical="top"/>
    </xf>
    <xf numFmtId="0" fontId="17" fillId="0" borderId="0" xfId="0" applyFont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166" fontId="16" fillId="0" borderId="0" xfId="0" applyNumberFormat="1" applyFont="1" applyFill="1" applyAlignment="1">
      <alignment horizontal="center" vertical="center"/>
    </xf>
    <xf numFmtId="0" fontId="16" fillId="0" borderId="0" xfId="0" applyFont="1" applyBorder="1" applyAlignment="1">
      <alignment vertical="center" wrapText="1"/>
    </xf>
    <xf numFmtId="2" fontId="18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right"/>
    </xf>
    <xf numFmtId="4" fontId="17" fillId="0" borderId="0" xfId="2153" applyNumberFormat="1" applyFont="1" applyFill="1" applyBorder="1" applyAlignment="1">
      <alignment horizontal="right"/>
    </xf>
    <xf numFmtId="4" fontId="162" fillId="0" borderId="0" xfId="2162" applyNumberFormat="1" applyFont="1" applyFill="1" applyBorder="1" applyAlignment="1">
      <alignment horizontal="right" wrapText="1"/>
    </xf>
    <xf numFmtId="4" fontId="16" fillId="0" borderId="0" xfId="2153" applyNumberFormat="1" applyFont="1" applyFill="1" applyBorder="1" applyAlignment="1">
      <alignment horizontal="right"/>
    </xf>
    <xf numFmtId="4" fontId="161" fillId="0" borderId="0" xfId="2162" applyNumberFormat="1" applyFont="1" applyFill="1" applyBorder="1" applyAlignment="1">
      <alignment horizontal="right" wrapText="1"/>
    </xf>
    <xf numFmtId="3" fontId="16" fillId="0" borderId="0" xfId="0" applyNumberFormat="1" applyFont="1"/>
    <xf numFmtId="0" fontId="130" fillId="0" borderId="0" xfId="0" applyFont="1" applyAlignment="1">
      <alignment vertical="center" wrapText="1"/>
    </xf>
    <xf numFmtId="0" fontId="111" fillId="0" borderId="0" xfId="2163" applyFont="1" applyFill="1" applyBorder="1" applyAlignment="1">
      <alignment horizontal="center" vertical="center"/>
    </xf>
    <xf numFmtId="2" fontId="175" fillId="0" borderId="22" xfId="0" applyNumberFormat="1" applyFont="1" applyFill="1" applyBorder="1" applyAlignment="1">
      <alignment vertical="center"/>
    </xf>
    <xf numFmtId="0" fontId="168" fillId="0" borderId="0" xfId="0" applyFont="1"/>
    <xf numFmtId="0" fontId="109" fillId="0" borderId="0" xfId="0" applyFont="1" applyFill="1" applyBorder="1"/>
    <xf numFmtId="167" fontId="15" fillId="0" borderId="22" xfId="0" applyNumberFormat="1" applyFont="1" applyFill="1" applyBorder="1" applyAlignment="1">
      <alignment horizontal="right"/>
    </xf>
    <xf numFmtId="4" fontId="15" fillId="0" borderId="22" xfId="0" applyNumberFormat="1" applyFont="1" applyFill="1" applyBorder="1" applyAlignment="1">
      <alignment horizontal="right"/>
    </xf>
    <xf numFmtId="167" fontId="119" fillId="0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0" fontId="171" fillId="0" borderId="0" xfId="0" applyFont="1" applyFill="1" applyBorder="1" applyAlignment="1">
      <alignment vertical="top"/>
    </xf>
    <xf numFmtId="0" fontId="174" fillId="0" borderId="0" xfId="0" applyFont="1" applyFill="1" applyBorder="1" applyAlignment="1"/>
    <xf numFmtId="0" fontId="38" fillId="0" borderId="0" xfId="0" applyNumberFormat="1" applyFont="1" applyFill="1" applyBorder="1" applyAlignment="1">
      <alignment horizontal="right"/>
    </xf>
    <xf numFmtId="0" fontId="173" fillId="0" borderId="0" xfId="0" applyFont="1" applyFill="1" applyBorder="1" applyAlignment="1">
      <alignment horizontal="left"/>
    </xf>
    <xf numFmtId="0" fontId="112" fillId="0" borderId="0" xfId="2163" applyFont="1" applyFill="1" applyBorder="1"/>
    <xf numFmtId="0" fontId="112" fillId="0" borderId="0" xfId="2163" applyFont="1" applyFill="1"/>
    <xf numFmtId="166" fontId="112" fillId="0" borderId="0" xfId="2163" applyNumberFormat="1" applyFont="1" applyFill="1"/>
    <xf numFmtId="2" fontId="17" fillId="0" borderId="0" xfId="0" applyNumberFormat="1" applyFont="1" applyFill="1" applyAlignment="1">
      <alignment horizontal="center" vertical="center"/>
    </xf>
    <xf numFmtId="0" fontId="119" fillId="0" borderId="0" xfId="0" applyFont="1" applyFill="1" applyBorder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22" xfId="0" applyFont="1" applyFill="1" applyBorder="1"/>
    <xf numFmtId="0" fontId="130" fillId="0" borderId="0" xfId="0" applyFont="1" applyFill="1" applyBorder="1" applyAlignment="1">
      <alignment vertical="center" wrapText="1"/>
    </xf>
    <xf numFmtId="2" fontId="130" fillId="0" borderId="0" xfId="0" applyNumberFormat="1" applyFont="1" applyFill="1" applyBorder="1" applyAlignment="1">
      <alignment horizontal="center" vertical="center"/>
    </xf>
    <xf numFmtId="166" fontId="130" fillId="0" borderId="0" xfId="0" applyNumberFormat="1" applyFont="1" applyFill="1" applyBorder="1" applyAlignment="1">
      <alignment horizontal="center" vertical="center"/>
    </xf>
    <xf numFmtId="0" fontId="176" fillId="0" borderId="0" xfId="0" applyFont="1" applyFill="1" applyBorder="1"/>
    <xf numFmtId="0" fontId="123" fillId="0" borderId="0" xfId="0" applyFont="1" applyFill="1" applyBorder="1" applyAlignment="1">
      <alignment vertical="center" wrapText="1"/>
    </xf>
    <xf numFmtId="0" fontId="130" fillId="0" borderId="0" xfId="0" applyFont="1" applyFill="1" applyBorder="1" applyAlignment="1">
      <alignment horizontal="center" vertical="center"/>
    </xf>
    <xf numFmtId="0" fontId="176" fillId="0" borderId="0" xfId="0" applyFont="1" applyFill="1" applyBorder="1" applyAlignment="1">
      <alignment vertical="center"/>
    </xf>
    <xf numFmtId="0" fontId="115" fillId="0" borderId="0" xfId="1456" applyFont="1"/>
    <xf numFmtId="0" fontId="138" fillId="0" borderId="0" xfId="1456"/>
    <xf numFmtId="0" fontId="115" fillId="0" borderId="0" xfId="1456" applyFont="1" applyFill="1"/>
    <xf numFmtId="0" fontId="16" fillId="0" borderId="22" xfId="0" applyFont="1" applyFill="1" applyBorder="1" applyAlignment="1">
      <alignment vertical="center" wrapText="1"/>
    </xf>
    <xf numFmtId="0" fontId="124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left" vertical="center" wrapText="1" indent="1"/>
    </xf>
    <xf numFmtId="2" fontId="138" fillId="0" borderId="0" xfId="1456" applyNumberFormat="1"/>
    <xf numFmtId="0" fontId="159" fillId="0" borderId="0" xfId="1456" applyFont="1" applyAlignment="1">
      <alignment vertical="center"/>
    </xf>
    <xf numFmtId="0" fontId="111" fillId="0" borderId="0" xfId="2163" applyFont="1" applyAlignment="1">
      <alignment horizontal="left" vertical="center"/>
    </xf>
    <xf numFmtId="0" fontId="111" fillId="0" borderId="0" xfId="2163" applyFont="1" applyBorder="1" applyAlignment="1">
      <alignment horizontal="left" vertical="center"/>
    </xf>
    <xf numFmtId="0" fontId="124" fillId="2" borderId="0" xfId="0" applyFont="1" applyFill="1" applyAlignment="1">
      <alignment horizontal="justify" vertical="center"/>
    </xf>
    <xf numFmtId="0" fontId="124" fillId="2" borderId="0" xfId="0" applyFont="1" applyFill="1" applyAlignment="1">
      <alignment horizontal="right" vertical="center"/>
    </xf>
    <xf numFmtId="0" fontId="126" fillId="0" borderId="0" xfId="0" applyFont="1" applyAlignment="1">
      <alignment horizontal="justify" vertical="center"/>
    </xf>
    <xf numFmtId="3" fontId="111" fillId="0" borderId="0" xfId="2252" applyNumberFormat="1" applyFont="1" applyFill="1" applyBorder="1" applyAlignment="1">
      <alignment horizontal="right"/>
    </xf>
    <xf numFmtId="3" fontId="111" fillId="0" borderId="0" xfId="2245" applyNumberFormat="1" applyFont="1" applyFill="1" applyBorder="1" applyAlignment="1">
      <alignment horizontal="right"/>
    </xf>
    <xf numFmtId="0" fontId="126" fillId="0" borderId="0" xfId="0" applyFont="1" applyBorder="1" applyAlignment="1">
      <alignment horizontal="justify" vertical="center"/>
    </xf>
    <xf numFmtId="0" fontId="126" fillId="0" borderId="23" xfId="0" applyFont="1" applyBorder="1" applyAlignment="1">
      <alignment horizontal="justify" vertical="center"/>
    </xf>
    <xf numFmtId="0" fontId="126" fillId="0" borderId="22" xfId="0" applyFont="1" applyBorder="1" applyAlignment="1">
      <alignment horizontal="justify" vertical="center"/>
    </xf>
    <xf numFmtId="0" fontId="125" fillId="0" borderId="21" xfId="0" applyFont="1" applyBorder="1" applyAlignment="1">
      <alignment horizontal="justify" vertical="center"/>
    </xf>
    <xf numFmtId="0" fontId="16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Alignment="1">
      <alignment vertical="center"/>
    </xf>
    <xf numFmtId="166" fontId="126" fillId="0" borderId="0" xfId="0" applyNumberFormat="1" applyFont="1" applyFill="1" applyBorder="1" applyAlignment="1">
      <alignment horizontal="center" vertical="center"/>
    </xf>
    <xf numFmtId="2" fontId="117" fillId="0" borderId="0" xfId="0" applyNumberFormat="1" applyFont="1"/>
    <xf numFmtId="0" fontId="18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119" fillId="0" borderId="0" xfId="0" applyFont="1" applyFill="1" applyBorder="1" applyAlignment="1">
      <alignment vertical="center"/>
    </xf>
    <xf numFmtId="0" fontId="166" fillId="0" borderId="0" xfId="0" applyFont="1" applyFill="1" applyBorder="1" applyAlignment="1"/>
    <xf numFmtId="0" fontId="114" fillId="0" borderId="0" xfId="0" applyFont="1" applyFill="1" applyBorder="1" applyAlignment="1">
      <alignment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 vertical="center"/>
    </xf>
    <xf numFmtId="0" fontId="131" fillId="0" borderId="0" xfId="0" applyFont="1" applyFill="1" applyBorder="1" applyAlignment="1"/>
    <xf numFmtId="0" fontId="119" fillId="0" borderId="0" xfId="0" applyFont="1" applyBorder="1" applyAlignment="1">
      <alignment vertical="top"/>
    </xf>
    <xf numFmtId="0" fontId="236" fillId="0" borderId="0" xfId="0" applyFont="1"/>
    <xf numFmtId="2" fontId="138" fillId="0" borderId="0" xfId="1456" applyNumberFormat="1" applyFill="1"/>
    <xf numFmtId="0" fontId="138" fillId="0" borderId="0" xfId="1456" applyFill="1" applyBorder="1"/>
    <xf numFmtId="4" fontId="138" fillId="0" borderId="0" xfId="1456" applyNumberFormat="1" applyFill="1"/>
    <xf numFmtId="2" fontId="138" fillId="0" borderId="33" xfId="1456" applyNumberFormat="1" applyFill="1" applyBorder="1"/>
    <xf numFmtId="2" fontId="138" fillId="0" borderId="0" xfId="1456" applyNumberFormat="1" applyBorder="1"/>
    <xf numFmtId="2" fontId="138" fillId="0" borderId="39" xfId="1456" applyNumberFormat="1" applyBorder="1"/>
    <xf numFmtId="0" fontId="239" fillId="0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 wrapText="1"/>
    </xf>
    <xf numFmtId="2" fontId="130" fillId="0" borderId="0" xfId="0" applyNumberFormat="1" applyFont="1" applyFill="1" applyAlignment="1">
      <alignment horizontal="center" vertical="center"/>
    </xf>
    <xf numFmtId="0" fontId="241" fillId="0" borderId="0" xfId="0" applyFont="1" applyAlignment="1">
      <alignment vertical="center" wrapText="1"/>
    </xf>
    <xf numFmtId="0" fontId="239" fillId="0" borderId="0" xfId="0" applyFont="1" applyAlignment="1">
      <alignment vertical="center"/>
    </xf>
    <xf numFmtId="0" fontId="240" fillId="0" borderId="0" xfId="0" applyFont="1" applyFill="1" applyBorder="1" applyAlignment="1">
      <alignment horizontal="center" vertical="center"/>
    </xf>
    <xf numFmtId="0" fontId="240" fillId="0" borderId="0" xfId="0" applyFont="1" applyFill="1" applyBorder="1" applyAlignment="1">
      <alignment vertical="center" wrapText="1"/>
    </xf>
    <xf numFmtId="3" fontId="240" fillId="0" borderId="0" xfId="0" applyNumberFormat="1" applyFont="1" applyFill="1" applyBorder="1" applyAlignment="1">
      <alignment vertical="center"/>
    </xf>
    <xf numFmtId="3" fontId="239" fillId="0" borderId="0" xfId="0" applyNumberFormat="1" applyFont="1" applyFill="1" applyBorder="1" applyAlignment="1">
      <alignment vertical="center"/>
    </xf>
    <xf numFmtId="2" fontId="240" fillId="0" borderId="0" xfId="0" applyNumberFormat="1" applyFont="1" applyFill="1" applyBorder="1" applyAlignment="1">
      <alignment vertical="center"/>
    </xf>
    <xf numFmtId="203" fontId="240" fillId="0" borderId="0" xfId="0" applyNumberFormat="1" applyFont="1" applyFill="1" applyBorder="1" applyAlignment="1">
      <alignment horizontal="right" vertical="center"/>
    </xf>
    <xf numFmtId="0" fontId="239" fillId="0" borderId="0" xfId="0" applyFont="1" applyFill="1" applyBorder="1" applyAlignment="1">
      <alignment vertical="center"/>
    </xf>
    <xf numFmtId="0" fontId="24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39" fillId="0" borderId="0" xfId="0" applyFont="1" applyFill="1" applyBorder="1" applyAlignment="1">
      <alignment horizontal="left" vertical="center" indent="1"/>
    </xf>
    <xf numFmtId="3" fontId="239" fillId="0" borderId="0" xfId="0" applyNumberFormat="1" applyFont="1" applyFill="1" applyBorder="1" applyAlignment="1">
      <alignment horizontal="right" vertical="center"/>
    </xf>
    <xf numFmtId="0" fontId="240" fillId="0" borderId="0" xfId="0" applyFont="1" applyFill="1" applyBorder="1" applyAlignment="1">
      <alignment horizontal="left" vertical="center"/>
    </xf>
    <xf numFmtId="0" fontId="242" fillId="0" borderId="0" xfId="0" applyFont="1" applyFill="1" applyBorder="1" applyAlignment="1">
      <alignment vertical="center"/>
    </xf>
    <xf numFmtId="167" fontId="240" fillId="0" borderId="0" xfId="0" applyNumberFormat="1" applyFont="1" applyFill="1" applyBorder="1" applyAlignment="1">
      <alignment horizontal="right" vertical="center"/>
    </xf>
    <xf numFmtId="0" fontId="237" fillId="0" borderId="0" xfId="1456" applyFont="1" applyAlignment="1">
      <alignment horizontal="center" vertical="center"/>
    </xf>
    <xf numFmtId="166" fontId="126" fillId="0" borderId="0" xfId="0" applyNumberFormat="1" applyFont="1" applyFill="1" applyAlignment="1">
      <alignment horizontal="center" vertical="center"/>
    </xf>
    <xf numFmtId="166" fontId="17" fillId="0" borderId="0" xfId="0" applyNumberFormat="1" applyFont="1" applyFill="1" applyAlignment="1">
      <alignment horizontal="center" vertical="center" wrapText="1"/>
    </xf>
    <xf numFmtId="166" fontId="15" fillId="0" borderId="0" xfId="0" applyNumberFormat="1" applyFont="1" applyFill="1" applyAlignment="1">
      <alignment horizontal="center" vertical="center"/>
    </xf>
    <xf numFmtId="2" fontId="112" fillId="0" borderId="0" xfId="2163" applyNumberFormat="1" applyFont="1"/>
    <xf numFmtId="166" fontId="112" fillId="0" borderId="0" xfId="2163" applyNumberFormat="1" applyFont="1" applyFill="1" applyAlignment="1">
      <alignment horizontal="right" vertical="center"/>
    </xf>
    <xf numFmtId="166" fontId="117" fillId="0" borderId="0" xfId="2163" applyNumberFormat="1" applyFont="1" applyFill="1" applyBorder="1" applyAlignment="1">
      <alignment horizontal="right" vertical="center"/>
    </xf>
    <xf numFmtId="0" fontId="109" fillId="0" borderId="0" xfId="2163" applyFont="1" applyFill="1" applyBorder="1"/>
    <xf numFmtId="0" fontId="170" fillId="0" borderId="0" xfId="0" applyFont="1" applyFill="1" applyBorder="1" applyAlignment="1">
      <alignment wrapText="1"/>
    </xf>
    <xf numFmtId="0" fontId="122" fillId="0" borderId="0" xfId="2163" applyFont="1" applyFill="1" applyBorder="1"/>
    <xf numFmtId="0" fontId="138" fillId="0" borderId="0" xfId="1456" applyAlignment="1"/>
    <xf numFmtId="167" fontId="138" fillId="0" borderId="0" xfId="1456" applyNumberFormat="1"/>
    <xf numFmtId="166" fontId="16" fillId="0" borderId="22" xfId="0" applyNumberFormat="1" applyFont="1" applyFill="1" applyBorder="1" applyAlignment="1">
      <alignment horizontal="center" vertical="center"/>
    </xf>
    <xf numFmtId="2" fontId="0" fillId="0" borderId="0" xfId="0" applyNumberFormat="1" applyBorder="1"/>
    <xf numFmtId="0" fontId="18" fillId="0" borderId="23" xfId="0" applyFont="1" applyFill="1" applyBorder="1" applyAlignment="1">
      <alignment vertical="center" wrapText="1"/>
    </xf>
    <xf numFmtId="2" fontId="18" fillId="0" borderId="23" xfId="0" applyNumberFormat="1" applyFont="1" applyFill="1" applyBorder="1" applyAlignment="1">
      <alignment horizontal="center" vertical="center"/>
    </xf>
    <xf numFmtId="0" fontId="0" fillId="0" borderId="23" xfId="0" applyFont="1" applyFill="1" applyBorder="1"/>
    <xf numFmtId="167" fontId="16" fillId="0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/>
    </xf>
    <xf numFmtId="167" fontId="0" fillId="0" borderId="0" xfId="0" applyNumberFormat="1"/>
    <xf numFmtId="0" fontId="109" fillId="0" borderId="0" xfId="791" applyFont="1" applyFill="1" applyBorder="1" applyAlignment="1">
      <alignment vertical="center"/>
    </xf>
    <xf numFmtId="0" fontId="117" fillId="0" borderId="0" xfId="791" applyFont="1" applyFill="1" applyBorder="1" applyAlignment="1">
      <alignment vertical="center"/>
    </xf>
    <xf numFmtId="3" fontId="109" fillId="0" borderId="0" xfId="0" applyNumberFormat="1" applyFont="1" applyFill="1"/>
    <xf numFmtId="3" fontId="117" fillId="0" borderId="0" xfId="0" applyNumberFormat="1" applyFont="1" applyFill="1"/>
    <xf numFmtId="0" fontId="117" fillId="0" borderId="0" xfId="791" applyFont="1" applyFill="1" applyBorder="1" applyAlignment="1">
      <alignment horizontal="left" vertical="center" indent="1"/>
    </xf>
    <xf numFmtId="0" fontId="117" fillId="0" borderId="0" xfId="791" applyFont="1" applyFill="1" applyBorder="1" applyAlignment="1">
      <alignment horizontal="left" vertical="center"/>
    </xf>
    <xf numFmtId="0" fontId="117" fillId="0" borderId="0" xfId="0" applyFont="1" applyFill="1" applyAlignment="1">
      <alignment horizontal="left" indent="1"/>
    </xf>
    <xf numFmtId="0" fontId="117" fillId="0" borderId="0" xfId="791" applyFont="1" applyFill="1" applyAlignment="1">
      <alignment horizontal="left" indent="1"/>
    </xf>
    <xf numFmtId="0" fontId="117" fillId="0" borderId="0" xfId="791" applyFont="1" applyFill="1"/>
    <xf numFmtId="3" fontId="240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/>
    <xf numFmtId="2" fontId="112" fillId="0" borderId="0" xfId="2163" applyNumberFormat="1" applyFont="1" applyFill="1"/>
    <xf numFmtId="0" fontId="247" fillId="0" borderId="0" xfId="790" applyFont="1" applyFill="1" applyBorder="1" applyAlignment="1">
      <alignment horizontal="left" indent="2"/>
    </xf>
    <xf numFmtId="166" fontId="235" fillId="0" borderId="23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horizontal="left" vertical="center"/>
    </xf>
    <xf numFmtId="0" fontId="248" fillId="0" borderId="0" xfId="0" applyFont="1" applyFill="1" applyBorder="1" applyAlignment="1">
      <alignment horizontal="justify" vertical="center"/>
    </xf>
    <xf numFmtId="0" fontId="243" fillId="0" borderId="0" xfId="2635" applyFill="1" applyBorder="1" applyAlignment="1">
      <alignment horizontal="justify" vertical="center"/>
    </xf>
    <xf numFmtId="3" fontId="126" fillId="0" borderId="0" xfId="0" applyNumberFormat="1" applyFont="1" applyFill="1" applyAlignment="1">
      <alignment horizontal="right" vertical="center"/>
    </xf>
    <xf numFmtId="3" fontId="126" fillId="0" borderId="0" xfId="0" applyNumberFormat="1" applyFont="1" applyFill="1" applyBorder="1" applyAlignment="1">
      <alignment horizontal="right" vertical="center"/>
    </xf>
    <xf numFmtId="0" fontId="119" fillId="0" borderId="0" xfId="0" applyFont="1" applyBorder="1" applyAlignment="1">
      <alignment horizontal="center" vertical="center"/>
    </xf>
    <xf numFmtId="0" fontId="238" fillId="0" borderId="0" xfId="0" applyFont="1" applyFill="1" applyBorder="1"/>
    <xf numFmtId="3" fontId="126" fillId="0" borderId="23" xfId="0" applyNumberFormat="1" applyFont="1" applyFill="1" applyBorder="1" applyAlignment="1">
      <alignment horizontal="right" vertical="center"/>
    </xf>
    <xf numFmtId="3" fontId="125" fillId="0" borderId="21" xfId="0" applyNumberFormat="1" applyFont="1" applyFill="1" applyBorder="1" applyAlignment="1">
      <alignment horizontal="right" vertical="center"/>
    </xf>
    <xf numFmtId="3" fontId="126" fillId="0" borderId="22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 applyAlignment="1">
      <alignment horizontal="center" vertical="center" wrapText="1"/>
    </xf>
    <xf numFmtId="4" fontId="167" fillId="0" borderId="0" xfId="0" applyNumberFormat="1" applyFont="1" applyFill="1" applyBorder="1" applyAlignment="1">
      <alignment horizontal="center" vertical="center" wrapText="1"/>
    </xf>
    <xf numFmtId="4" fontId="249" fillId="0" borderId="0" xfId="0" applyNumberFormat="1" applyFont="1" applyFill="1" applyBorder="1" applyAlignment="1">
      <alignment horizontal="center" vertical="center" wrapText="1"/>
    </xf>
    <xf numFmtId="0" fontId="112" fillId="0" borderId="0" xfId="2147" applyFont="1" applyAlignment="1"/>
    <xf numFmtId="3" fontId="113" fillId="2" borderId="0" xfId="2147" applyNumberFormat="1" applyFont="1" applyFill="1" applyAlignment="1"/>
    <xf numFmtId="0" fontId="16" fillId="0" borderId="0" xfId="0" applyFont="1"/>
    <xf numFmtId="0" fontId="115" fillId="0" borderId="0" xfId="2147" applyFont="1" applyAlignment="1"/>
    <xf numFmtId="0" fontId="15" fillId="0" borderId="22" xfId="0" applyFont="1" applyFill="1" applyBorder="1" applyAlignment="1">
      <alignment horizontal="left" vertical="center"/>
    </xf>
    <xf numFmtId="0" fontId="244" fillId="0" borderId="23" xfId="0" applyFont="1" applyFill="1" applyBorder="1"/>
    <xf numFmtId="166" fontId="15" fillId="0" borderId="22" xfId="0" applyNumberFormat="1" applyFont="1" applyFill="1" applyBorder="1" applyAlignment="1">
      <alignment horizontal="center" vertical="center"/>
    </xf>
    <xf numFmtId="166" fontId="15" fillId="0" borderId="22" xfId="0" applyNumberFormat="1" applyFont="1" applyFill="1" applyBorder="1" applyAlignment="1">
      <alignment vertical="center"/>
    </xf>
    <xf numFmtId="166" fontId="235" fillId="0" borderId="23" xfId="0" applyNumberFormat="1" applyFont="1" applyFill="1" applyBorder="1" applyAlignment="1">
      <alignment horizontal="left" vertical="center"/>
    </xf>
    <xf numFmtId="0" fontId="0" fillId="0" borderId="0" xfId="0"/>
    <xf numFmtId="0" fontId="125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7" fillId="0" borderId="23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166" fontId="125" fillId="0" borderId="0" xfId="0" applyNumberFormat="1" applyFont="1" applyAlignment="1">
      <alignment horizontal="center" vertical="center"/>
    </xf>
    <xf numFmtId="166" fontId="126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124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center"/>
    </xf>
    <xf numFmtId="166" fontId="17" fillId="0" borderId="0" xfId="0" applyNumberFormat="1" applyFont="1" applyAlignment="1">
      <alignment horizontal="center" vertical="center" wrapText="1"/>
    </xf>
    <xf numFmtId="166" fontId="17" fillId="0" borderId="0" xfId="0" applyNumberFormat="1" applyFont="1" applyFill="1" applyBorder="1" applyAlignment="1">
      <alignment horizontal="center" vertical="center"/>
    </xf>
    <xf numFmtId="166" fontId="17" fillId="0" borderId="23" xfId="0" applyNumberFormat="1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center" vertical="center"/>
    </xf>
    <xf numFmtId="166" fontId="16" fillId="0" borderId="0" xfId="0" applyNumberFormat="1" applyFont="1" applyFill="1" applyAlignment="1">
      <alignment horizontal="center" vertical="center"/>
    </xf>
    <xf numFmtId="166" fontId="17" fillId="0" borderId="0" xfId="0" applyNumberFormat="1" applyFont="1" applyFill="1" applyAlignment="1">
      <alignment horizontal="center" vertical="center"/>
    </xf>
    <xf numFmtId="166" fontId="235" fillId="0" borderId="0" xfId="0" applyNumberFormat="1" applyFont="1" applyFill="1" applyAlignment="1">
      <alignment horizontal="center" vertical="center"/>
    </xf>
    <xf numFmtId="166" fontId="17" fillId="0" borderId="22" xfId="0" applyNumberFormat="1" applyFont="1" applyFill="1" applyBorder="1" applyAlignment="1">
      <alignment horizontal="center" vertical="center"/>
    </xf>
    <xf numFmtId="166" fontId="235" fillId="0" borderId="22" xfId="0" applyNumberFormat="1" applyFont="1" applyFill="1" applyBorder="1" applyAlignment="1">
      <alignment horizontal="center" vertical="center"/>
    </xf>
    <xf numFmtId="166" fontId="125" fillId="0" borderId="0" xfId="0" applyNumberFormat="1" applyFont="1" applyFill="1" applyAlignment="1">
      <alignment horizontal="center" vertical="center"/>
    </xf>
    <xf numFmtId="4" fontId="109" fillId="0" borderId="0" xfId="0" applyNumberFormat="1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13" fillId="2" borderId="0" xfId="0" applyFont="1" applyFill="1"/>
    <xf numFmtId="0" fontId="130" fillId="0" borderId="0" xfId="0" applyFont="1" applyFill="1" applyBorder="1" applyAlignment="1">
      <alignment vertical="center" wrapText="1"/>
    </xf>
    <xf numFmtId="0" fontId="169" fillId="0" borderId="0" xfId="0" applyFont="1" applyFill="1" applyBorder="1" applyAlignment="1">
      <alignment horizontal="center" vertical="top" wrapText="1"/>
    </xf>
    <xf numFmtId="0" fontId="172" fillId="0" borderId="0" xfId="0" applyFont="1" applyFill="1" applyBorder="1" applyAlignment="1">
      <alignment horizontal="right" vertical="center" wrapText="1"/>
    </xf>
    <xf numFmtId="0" fontId="132" fillId="0" borderId="0" xfId="0" applyFont="1" applyFill="1" applyBorder="1"/>
    <xf numFmtId="0" fontId="18" fillId="0" borderId="0" xfId="0" applyFont="1" applyAlignment="1">
      <alignment horizontal="left" vertical="center" wrapText="1"/>
    </xf>
    <xf numFmtId="0" fontId="130" fillId="0" borderId="0" xfId="0" applyFont="1" applyAlignment="1">
      <alignment horizontal="left" vertical="center" wrapText="1"/>
    </xf>
    <xf numFmtId="166" fontId="17" fillId="0" borderId="22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 wrapText="1"/>
    </xf>
    <xf numFmtId="166" fontId="15" fillId="0" borderId="0" xfId="0" applyNumberFormat="1" applyFont="1" applyFill="1" applyBorder="1" applyAlignment="1">
      <alignment horizontal="center"/>
    </xf>
    <xf numFmtId="166" fontId="15" fillId="77" borderId="0" xfId="0" applyNumberFormat="1" applyFont="1" applyFill="1" applyBorder="1" applyAlignment="1">
      <alignment horizontal="center"/>
    </xf>
    <xf numFmtId="0" fontId="17" fillId="0" borderId="23" xfId="0" applyFont="1" applyFill="1" applyBorder="1" applyAlignment="1">
      <alignment vertical="center" wrapText="1"/>
    </xf>
    <xf numFmtId="0" fontId="17" fillId="0" borderId="22" xfId="0" applyFont="1" applyBorder="1" applyAlignment="1">
      <alignment horizontal="left" vertical="center" wrapText="1"/>
    </xf>
    <xf numFmtId="166" fontId="17" fillId="77" borderId="23" xfId="0" applyNumberFormat="1" applyFont="1" applyFill="1" applyBorder="1" applyAlignment="1">
      <alignment horizontal="center" vertical="center"/>
    </xf>
    <xf numFmtId="166" fontId="17" fillId="77" borderId="22" xfId="0" applyNumberFormat="1" applyFont="1" applyFill="1" applyBorder="1" applyAlignment="1">
      <alignment horizontal="center"/>
    </xf>
    <xf numFmtId="0" fontId="15" fillId="0" borderId="0" xfId="0" applyFont="1"/>
    <xf numFmtId="0" fontId="114" fillId="0" borderId="22" xfId="0" applyFont="1" applyFill="1" applyBorder="1" applyAlignment="1">
      <alignment vertical="center" wrapText="1"/>
    </xf>
    <xf numFmtId="166" fontId="114" fillId="0" borderId="2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264" fillId="0" borderId="0" xfId="0" applyFont="1" applyFill="1"/>
    <xf numFmtId="2" fontId="15" fillId="0" borderId="0" xfId="0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left" vertical="center"/>
    </xf>
    <xf numFmtId="0" fontId="119" fillId="0" borderId="0" xfId="0" applyFont="1" applyFill="1" applyBorder="1" applyAlignment="1">
      <alignment vertical="top"/>
    </xf>
    <xf numFmtId="2" fontId="117" fillId="0" borderId="0" xfId="0" applyNumberFormat="1" applyFont="1" applyBorder="1"/>
    <xf numFmtId="0" fontId="119" fillId="0" borderId="0" xfId="0" applyFont="1" applyBorder="1"/>
    <xf numFmtId="0" fontId="117" fillId="78" borderId="0" xfId="0" applyFont="1" applyFill="1"/>
    <xf numFmtId="206" fontId="117" fillId="78" borderId="0" xfId="0" applyNumberFormat="1" applyFont="1" applyFill="1"/>
    <xf numFmtId="0" fontId="249" fillId="0" borderId="0" xfId="0" applyFont="1" applyAlignment="1">
      <alignment horizontal="right"/>
    </xf>
    <xf numFmtId="0" fontId="249" fillId="0" borderId="0" xfId="0" applyFont="1"/>
    <xf numFmtId="2" fontId="112" fillId="0" borderId="0" xfId="2163" applyNumberFormat="1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vertical="center"/>
    </xf>
    <xf numFmtId="0" fontId="174" fillId="0" borderId="0" xfId="0" applyFont="1" applyFill="1" applyBorder="1" applyAlignment="1">
      <alignment vertical="center"/>
    </xf>
    <xf numFmtId="0" fontId="173" fillId="0" borderId="0" xfId="0" applyFont="1" applyFill="1" applyBorder="1" applyAlignment="1">
      <alignment horizontal="left" vertical="center"/>
    </xf>
    <xf numFmtId="0" fontId="117" fillId="0" borderId="0" xfId="0" applyFont="1" applyAlignment="1">
      <alignment vertical="center"/>
    </xf>
    <xf numFmtId="166" fontId="117" fillId="0" borderId="0" xfId="0" applyNumberFormat="1" applyFont="1" applyAlignment="1">
      <alignment vertical="center"/>
    </xf>
    <xf numFmtId="0" fontId="109" fillId="0" borderId="0" xfId="2634" applyFont="1" applyFill="1" applyAlignment="1">
      <alignment vertical="center"/>
    </xf>
    <xf numFmtId="0" fontId="164" fillId="0" borderId="0" xfId="2634" applyFont="1" applyFill="1" applyAlignment="1">
      <alignment vertical="center"/>
    </xf>
    <xf numFmtId="0" fontId="128" fillId="0" borderId="0" xfId="2634" applyFont="1"/>
    <xf numFmtId="0" fontId="128" fillId="0" borderId="0" xfId="2634" applyFont="1" applyFill="1" applyBorder="1"/>
    <xf numFmtId="0" fontId="165" fillId="0" borderId="0" xfId="2634" applyFont="1"/>
    <xf numFmtId="0" fontId="265" fillId="2" borderId="0" xfId="2634" applyFont="1" applyFill="1" applyBorder="1" applyAlignment="1">
      <alignment horizontal="center" vertical="center"/>
    </xf>
    <xf numFmtId="0" fontId="120" fillId="2" borderId="0" xfId="2634" applyFont="1" applyFill="1" applyBorder="1" applyAlignment="1">
      <alignment horizontal="center" vertical="center"/>
    </xf>
    <xf numFmtId="0" fontId="120" fillId="0" borderId="0" xfId="2634" applyFont="1" applyFill="1" applyBorder="1" applyAlignment="1">
      <alignment horizontal="center" vertical="center"/>
    </xf>
    <xf numFmtId="0" fontId="15" fillId="0" borderId="0" xfId="2634" applyFont="1" applyAlignment="1">
      <alignment vertical="center" wrapText="1"/>
    </xf>
    <xf numFmtId="3" fontId="15" fillId="0" borderId="0" xfId="632" applyNumberFormat="1" applyFont="1" applyFill="1" applyBorder="1" applyAlignment="1">
      <alignment horizontal="center" vertical="center"/>
    </xf>
    <xf numFmtId="0" fontId="126" fillId="0" borderId="0" xfId="2634" applyFont="1" applyAlignment="1">
      <alignment horizontal="left" vertical="center"/>
    </xf>
    <xf numFmtId="3" fontId="115" fillId="0" borderId="0" xfId="2634" applyNumberFormat="1" applyFont="1" applyFill="1" applyBorder="1" applyAlignment="1">
      <alignment horizontal="center" vertical="center"/>
    </xf>
    <xf numFmtId="3" fontId="16" fillId="0" borderId="0" xfId="2634" applyNumberFormat="1" applyFont="1" applyFill="1" applyBorder="1" applyAlignment="1">
      <alignment horizontal="center" vertical="center"/>
    </xf>
    <xf numFmtId="0" fontId="266" fillId="0" borderId="0" xfId="2634" applyFont="1"/>
    <xf numFmtId="0" fontId="126" fillId="0" borderId="0" xfId="2634" applyFont="1" applyAlignment="1">
      <alignment horizontal="left" vertical="center" indent="1"/>
    </xf>
    <xf numFmtId="0" fontId="126" fillId="0" borderId="0" xfId="2634" applyFont="1" applyAlignment="1">
      <alignment horizontal="left" vertical="center" wrapText="1"/>
    </xf>
    <xf numFmtId="0" fontId="126" fillId="0" borderId="0" xfId="2634" applyFont="1" applyFill="1" applyAlignment="1">
      <alignment horizontal="left" vertical="center" wrapText="1"/>
    </xf>
    <xf numFmtId="167" fontId="115" fillId="0" borderId="0" xfId="2634" applyNumberFormat="1" applyFont="1" applyFill="1" applyBorder="1" applyAlignment="1">
      <alignment horizontal="center" vertical="center"/>
    </xf>
    <xf numFmtId="0" fontId="111" fillId="0" borderId="0" xfId="2634" applyFont="1" applyBorder="1"/>
    <xf numFmtId="167" fontId="128" fillId="0" borderId="0" xfId="2634" applyNumberFormat="1" applyFont="1" applyBorder="1"/>
    <xf numFmtId="0" fontId="128" fillId="0" borderId="0" xfId="2634" applyFont="1" applyBorder="1"/>
    <xf numFmtId="0" fontId="17" fillId="0" borderId="0" xfId="2634" applyFont="1" applyFill="1" applyBorder="1" applyAlignment="1">
      <alignment vertical="center" wrapText="1"/>
    </xf>
    <xf numFmtId="3" fontId="17" fillId="0" borderId="0" xfId="2634" applyNumberFormat="1" applyFont="1" applyFill="1" applyBorder="1" applyAlignment="1">
      <alignment horizontal="center" vertical="center"/>
    </xf>
    <xf numFmtId="0" fontId="162" fillId="0" borderId="0" xfId="2634" applyFont="1" applyFill="1" applyBorder="1" applyAlignment="1">
      <alignment vertical="center" wrapText="1"/>
    </xf>
    <xf numFmtId="0" fontId="126" fillId="0" borderId="0" xfId="2634" applyFont="1" applyFill="1" applyBorder="1" applyAlignment="1">
      <alignment vertical="center" wrapText="1"/>
    </xf>
    <xf numFmtId="0" fontId="162" fillId="72" borderId="0" xfId="2634" applyFont="1" applyFill="1" applyBorder="1" applyAlignment="1">
      <alignment vertical="center" wrapText="1"/>
    </xf>
    <xf numFmtId="166" fontId="115" fillId="0" borderId="0" xfId="2634" applyNumberFormat="1" applyFont="1" applyFill="1" applyBorder="1" applyAlignment="1">
      <alignment horizontal="center" vertical="center"/>
    </xf>
    <xf numFmtId="0" fontId="115" fillId="0" borderId="0" xfId="2634" applyFont="1"/>
    <xf numFmtId="167" fontId="18" fillId="0" borderId="0" xfId="811" applyNumberFormat="1" applyFont="1" applyFill="1" applyBorder="1" applyAlignment="1">
      <alignment horizontal="center" vertical="center"/>
    </xf>
    <xf numFmtId="0" fontId="128" fillId="0" borderId="0" xfId="2634" applyFont="1" applyFill="1"/>
    <xf numFmtId="0" fontId="115" fillId="0" borderId="0" xfId="2634" applyFont="1" applyFill="1"/>
    <xf numFmtId="0" fontId="15" fillId="72" borderId="0" xfId="2634" applyFont="1" applyFill="1" applyBorder="1" applyAlignment="1">
      <alignment vertical="center" wrapText="1"/>
    </xf>
    <xf numFmtId="0" fontId="15" fillId="0" borderId="0" xfId="2634" applyFont="1" applyFill="1" applyBorder="1" applyAlignment="1">
      <alignment vertical="center" wrapText="1"/>
    </xf>
    <xf numFmtId="167" fontId="15" fillId="0" borderId="0" xfId="2634" applyNumberFormat="1" applyFont="1" applyFill="1" applyBorder="1" applyAlignment="1">
      <alignment horizontal="center" vertical="center"/>
    </xf>
    <xf numFmtId="166" fontId="128" fillId="0" borderId="0" xfId="2634" applyNumberFormat="1" applyFont="1" applyFill="1"/>
    <xf numFmtId="3" fontId="268" fillId="0" borderId="0" xfId="2634" applyNumberFormat="1" applyFont="1"/>
    <xf numFmtId="0" fontId="116" fillId="0" borderId="1" xfId="2634" applyFont="1" applyBorder="1"/>
    <xf numFmtId="0" fontId="128" fillId="0" borderId="1" xfId="2634" applyFont="1" applyBorder="1"/>
    <xf numFmtId="4" fontId="18" fillId="0" borderId="1" xfId="811" applyNumberFormat="1" applyFont="1" applyFill="1" applyBorder="1" applyAlignment="1">
      <alignment horizontal="center" vertical="center"/>
    </xf>
    <xf numFmtId="1" fontId="115" fillId="0" borderId="0" xfId="2634" applyNumberFormat="1" applyFont="1"/>
    <xf numFmtId="0" fontId="119" fillId="0" borderId="0" xfId="2634" applyFont="1" applyBorder="1" applyAlignment="1">
      <alignment vertical="center"/>
    </xf>
    <xf numFmtId="0" fontId="269" fillId="0" borderId="0" xfId="2634" applyFont="1" applyFill="1" applyBorder="1" applyAlignment="1">
      <alignment vertical="center"/>
    </xf>
    <xf numFmtId="0" fontId="119" fillId="0" borderId="0" xfId="2634" applyFont="1" applyFill="1" applyBorder="1" applyAlignment="1">
      <alignment vertical="center"/>
    </xf>
    <xf numFmtId="0" fontId="121" fillId="0" borderId="0" xfId="2634" applyFont="1"/>
    <xf numFmtId="0" fontId="15" fillId="0" borderId="0" xfId="2634" applyFont="1" applyFill="1" applyBorder="1"/>
    <xf numFmtId="0" fontId="114" fillId="0" borderId="40" xfId="2634" applyFont="1" applyBorder="1"/>
    <xf numFmtId="167" fontId="114" fillId="0" borderId="40" xfId="2634" applyNumberFormat="1" applyFont="1" applyFill="1" applyBorder="1"/>
    <xf numFmtId="0" fontId="271" fillId="0" borderId="0" xfId="2634" applyFont="1" applyBorder="1" applyAlignment="1">
      <alignment vertical="center"/>
    </xf>
    <xf numFmtId="4" fontId="121" fillId="0" borderId="0" xfId="2634" applyNumberFormat="1" applyFont="1" applyFill="1" applyBorder="1" applyAlignment="1">
      <alignment horizontal="center" vertical="center"/>
    </xf>
    <xf numFmtId="167" fontId="121" fillId="0" borderId="0" xfId="2634" applyNumberFormat="1" applyFont="1" applyFill="1" applyBorder="1" applyAlignment="1">
      <alignment horizontal="center" vertical="center"/>
    </xf>
    <xf numFmtId="166" fontId="117" fillId="0" borderId="0" xfId="0" applyNumberFormat="1" applyFont="1" applyFill="1" applyBorder="1"/>
    <xf numFmtId="167" fontId="117" fillId="0" borderId="0" xfId="0" applyNumberFormat="1" applyFont="1" applyFill="1" applyBorder="1"/>
    <xf numFmtId="0" fontId="245" fillId="0" borderId="0" xfId="790" applyFont="1" applyFill="1" applyBorder="1"/>
    <xf numFmtId="0" fontId="15" fillId="0" borderId="0" xfId="790" applyFont="1" applyFill="1" applyBorder="1" applyAlignment="1"/>
    <xf numFmtId="0" fontId="121" fillId="0" borderId="0" xfId="790" applyFont="1" applyFill="1" applyBorder="1" applyAlignment="1">
      <alignment wrapText="1"/>
    </xf>
    <xf numFmtId="167" fontId="17" fillId="0" borderId="0" xfId="0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vertical="center"/>
    </xf>
    <xf numFmtId="0" fontId="15" fillId="0" borderId="0" xfId="790" applyFont="1" applyFill="1" applyBorder="1"/>
    <xf numFmtId="167" fontId="15" fillId="0" borderId="0" xfId="0" applyNumberFormat="1" applyFont="1" applyFill="1" applyBorder="1" applyAlignment="1">
      <alignment vertical="center"/>
    </xf>
    <xf numFmtId="167" fontId="18" fillId="0" borderId="0" xfId="0" applyNumberFormat="1" applyFont="1" applyFill="1" applyBorder="1" applyAlignment="1">
      <alignment vertical="center"/>
    </xf>
    <xf numFmtId="0" fontId="18" fillId="0" borderId="0" xfId="0" applyFont="1" applyBorder="1"/>
    <xf numFmtId="0" fontId="132" fillId="0" borderId="0" xfId="0" applyFont="1" applyAlignment="1"/>
    <xf numFmtId="0" fontId="16" fillId="0" borderId="0" xfId="790" applyFont="1" applyBorder="1"/>
    <xf numFmtId="167" fontId="16" fillId="0" borderId="0" xfId="0" applyNumberFormat="1" applyFont="1" applyBorder="1" applyAlignment="1">
      <alignment vertical="center"/>
    </xf>
    <xf numFmtId="0" fontId="109" fillId="0" borderId="0" xfId="0" applyFont="1" applyAlignment="1"/>
    <xf numFmtId="0" fontId="112" fillId="0" borderId="0" xfId="2177" applyFont="1"/>
    <xf numFmtId="0" fontId="112" fillId="0" borderId="0" xfId="2177" applyFont="1" applyFill="1"/>
    <xf numFmtId="0" fontId="111" fillId="0" borderId="0" xfId="2177" applyFont="1" applyFill="1"/>
    <xf numFmtId="0" fontId="111" fillId="0" borderId="0" xfId="2177" applyFont="1" applyFill="1" applyBorder="1"/>
    <xf numFmtId="0" fontId="113" fillId="2" borderId="0" xfId="2177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166" fontId="112" fillId="0" borderId="0" xfId="2177" applyNumberFormat="1" applyFont="1" applyFill="1" applyAlignment="1">
      <alignment horizontal="right" vertical="center"/>
    </xf>
    <xf numFmtId="166" fontId="250" fillId="0" borderId="0" xfId="0" applyNumberFormat="1" applyFont="1" applyFill="1" applyAlignment="1">
      <alignment horizontal="right" vertical="center"/>
    </xf>
    <xf numFmtId="166" fontId="117" fillId="0" borderId="0" xfId="2177" applyNumberFormat="1" applyFont="1" applyFill="1" applyAlignment="1">
      <alignment horizontal="right" vertical="center"/>
    </xf>
    <xf numFmtId="166" fontId="117" fillId="0" borderId="0" xfId="0" applyNumberFormat="1" applyFont="1" applyFill="1" applyAlignment="1">
      <alignment horizontal="right" vertical="center"/>
    </xf>
    <xf numFmtId="166" fontId="112" fillId="0" borderId="0" xfId="2177" applyNumberFormat="1" applyFont="1" applyFill="1" applyBorder="1" applyAlignment="1">
      <alignment horizontal="right" vertical="center"/>
    </xf>
    <xf numFmtId="166" fontId="111" fillId="0" borderId="0" xfId="2177" applyNumberFormat="1" applyFont="1" applyFill="1" applyAlignment="1">
      <alignment horizontal="right" vertical="center"/>
    </xf>
    <xf numFmtId="166" fontId="14" fillId="0" borderId="0" xfId="0" applyNumberFormat="1" applyFont="1" applyFill="1" applyAlignment="1">
      <alignment horizontal="right" vertical="center"/>
    </xf>
    <xf numFmtId="0" fontId="117" fillId="0" borderId="0" xfId="2615" applyFont="1"/>
    <xf numFmtId="168" fontId="129" fillId="78" borderId="22" xfId="2616" applyFont="1" applyFill="1" applyBorder="1" applyAlignment="1">
      <alignment horizontal="center" vertical="center"/>
    </xf>
    <xf numFmtId="0" fontId="109" fillId="0" borderId="0" xfId="2615" applyFont="1"/>
    <xf numFmtId="0" fontId="113" fillId="2" borderId="0" xfId="2615" applyFont="1" applyFill="1" applyAlignment="1">
      <alignment horizontal="center"/>
    </xf>
    <xf numFmtId="4" fontId="117" fillId="0" borderId="0" xfId="2615" applyNumberFormat="1" applyFont="1"/>
    <xf numFmtId="0" fontId="117" fillId="0" borderId="0" xfId="2615" applyFont="1" applyFill="1"/>
    <xf numFmtId="0" fontId="113" fillId="0" borderId="0" xfId="2615" applyFont="1" applyFill="1" applyAlignment="1">
      <alignment horizontal="center"/>
    </xf>
    <xf numFmtId="4" fontId="117" fillId="0" borderId="0" xfId="2615" applyNumberFormat="1" applyFont="1" applyFill="1"/>
    <xf numFmtId="168" fontId="129" fillId="0" borderId="0" xfId="2616" applyFont="1" applyFill="1" applyBorder="1" applyAlignment="1">
      <alignment horizontal="center" vertical="center"/>
    </xf>
    <xf numFmtId="4" fontId="117" fillId="78" borderId="0" xfId="2615" applyNumberFormat="1" applyFont="1" applyFill="1"/>
    <xf numFmtId="4" fontId="163" fillId="0" borderId="0" xfId="2616" applyNumberFormat="1" applyFont="1" applyFill="1" applyAlignment="1">
      <alignment horizontal="center"/>
    </xf>
    <xf numFmtId="0" fontId="16" fillId="0" borderId="0" xfId="2277" applyFont="1" applyFill="1"/>
    <xf numFmtId="0" fontId="16" fillId="0" borderId="0" xfId="2743" applyFont="1" applyFill="1" applyBorder="1"/>
    <xf numFmtId="0" fontId="272" fillId="0" borderId="0" xfId="2750" applyFont="1" applyFill="1" applyBorder="1"/>
    <xf numFmtId="0" fontId="16" fillId="0" borderId="0" xfId="2751" applyFont="1" applyFill="1" applyBorder="1"/>
    <xf numFmtId="0" fontId="115" fillId="0" borderId="0" xfId="2743" applyFont="1" applyFill="1" applyBorder="1"/>
    <xf numFmtId="0" fontId="16" fillId="0" borderId="0" xfId="2743" applyFont="1"/>
    <xf numFmtId="0" fontId="16" fillId="0" borderId="0" xfId="2743" applyFont="1" applyAlignment="1">
      <alignment horizontal="center" vertical="center"/>
    </xf>
    <xf numFmtId="0" fontId="16" fillId="0" borderId="0" xfId="2743" applyFont="1" applyFill="1" applyBorder="1" applyAlignment="1">
      <alignment horizontal="center" vertical="center"/>
    </xf>
    <xf numFmtId="0" fontId="274" fillId="0" borderId="0" xfId="2743" applyFont="1" applyFill="1"/>
    <xf numFmtId="0" fontId="16" fillId="0" borderId="0" xfId="2751" applyFont="1" applyFill="1" applyAlignment="1">
      <alignment horizontal="center" vertical="center"/>
    </xf>
    <xf numFmtId="0" fontId="16" fillId="0" borderId="0" xfId="2743" applyFont="1" applyFill="1" applyAlignment="1">
      <alignment horizontal="center" vertical="center"/>
    </xf>
    <xf numFmtId="0" fontId="272" fillId="0" borderId="0" xfId="2750" applyFont="1" applyFill="1" applyBorder="1" applyAlignment="1">
      <alignment horizontal="center" vertical="center"/>
    </xf>
    <xf numFmtId="0" fontId="115" fillId="0" borderId="0" xfId="2743" applyFont="1" applyAlignment="1">
      <alignment horizontal="center" vertical="center"/>
    </xf>
    <xf numFmtId="17" fontId="16" fillId="0" borderId="0" xfId="2277" applyNumberFormat="1" applyFont="1" applyFill="1"/>
    <xf numFmtId="2" fontId="16" fillId="0" borderId="0" xfId="2743" applyNumberFormat="1" applyFont="1" applyFill="1" applyBorder="1"/>
    <xf numFmtId="2" fontId="272" fillId="0" borderId="0" xfId="2750" applyNumberFormat="1" applyFont="1" applyFill="1" applyBorder="1"/>
    <xf numFmtId="2" fontId="16" fillId="0" borderId="0" xfId="2751" applyNumberFormat="1" applyFont="1" applyFill="1" applyBorder="1"/>
    <xf numFmtId="2" fontId="16" fillId="0" borderId="0" xfId="2743" applyNumberFormat="1" applyFont="1"/>
    <xf numFmtId="2" fontId="16" fillId="0" borderId="0" xfId="2743" applyNumberFormat="1" applyFont="1" applyAlignment="1">
      <alignment horizontal="center" vertical="center"/>
    </xf>
    <xf numFmtId="2" fontId="16" fillId="0" borderId="0" xfId="2743" applyNumberFormat="1" applyFont="1" applyFill="1" applyBorder="1" applyAlignment="1">
      <alignment horizontal="center" vertical="center"/>
    </xf>
    <xf numFmtId="0" fontId="109" fillId="0" borderId="0" xfId="2743" applyFont="1"/>
    <xf numFmtId="2" fontId="14" fillId="0" borderId="0" xfId="2743" applyNumberFormat="1" applyFont="1"/>
    <xf numFmtId="2" fontId="16" fillId="0" borderId="0" xfId="2743" applyNumberFormat="1" applyFont="1" applyFill="1"/>
    <xf numFmtId="0" fontId="16" fillId="0" borderId="0" xfId="2743" applyFont="1" applyFill="1"/>
    <xf numFmtId="0" fontId="270" fillId="72" borderId="0" xfId="2743" applyFont="1" applyFill="1" applyBorder="1" applyAlignment="1">
      <alignment horizontal="right" vertical="top"/>
    </xf>
    <xf numFmtId="0" fontId="274" fillId="0" borderId="0" xfId="2743" applyFont="1" applyFill="1" applyBorder="1"/>
    <xf numFmtId="3" fontId="16" fillId="0" borderId="0" xfId="0" applyNumberFormat="1" applyFont="1" applyFill="1" applyBorder="1" applyAlignment="1">
      <alignment vertical="center"/>
    </xf>
    <xf numFmtId="0" fontId="16" fillId="0" borderId="0" xfId="0" applyFont="1" applyBorder="1"/>
    <xf numFmtId="0" fontId="3" fillId="0" borderId="0" xfId="2753"/>
    <xf numFmtId="0" fontId="124" fillId="2" borderId="0" xfId="2753" applyFont="1" applyFill="1" applyAlignment="1">
      <alignment horizontal="justify" vertical="center"/>
    </xf>
    <xf numFmtId="0" fontId="124" fillId="2" borderId="0" xfId="2753" applyFont="1" applyFill="1" applyAlignment="1">
      <alignment horizontal="center" vertical="center"/>
    </xf>
    <xf numFmtId="0" fontId="125" fillId="0" borderId="0" xfId="2753" applyFont="1" applyFill="1" applyAlignment="1">
      <alignment horizontal="left" vertical="center"/>
    </xf>
    <xf numFmtId="1" fontId="125" fillId="0" borderId="0" xfId="2753" applyNumberFormat="1" applyFont="1" applyFill="1" applyAlignment="1">
      <alignment horizontal="center" vertical="center"/>
    </xf>
    <xf numFmtId="0" fontId="126" fillId="0" borderId="0" xfId="2753" applyFont="1" applyFill="1" applyAlignment="1">
      <alignment horizontal="left" vertical="center"/>
    </xf>
    <xf numFmtId="1" fontId="126" fillId="0" borderId="0" xfId="2753" applyNumberFormat="1" applyFont="1" applyFill="1" applyAlignment="1">
      <alignment horizontal="center" vertical="center"/>
    </xf>
    <xf numFmtId="0" fontId="126" fillId="0" borderId="0" xfId="2753" applyFont="1" applyFill="1" applyAlignment="1">
      <alignment horizontal="left" vertical="center" indent="1"/>
    </xf>
    <xf numFmtId="0" fontId="125" fillId="0" borderId="44" xfId="2753" applyFont="1" applyFill="1" applyBorder="1" applyAlignment="1">
      <alignment horizontal="left" vertical="center"/>
    </xf>
    <xf numFmtId="1" fontId="125" fillId="0" borderId="44" xfId="2753" applyNumberFormat="1" applyFont="1" applyFill="1" applyBorder="1" applyAlignment="1">
      <alignment horizontal="center" vertical="center"/>
    </xf>
    <xf numFmtId="0" fontId="126" fillId="0" borderId="44" xfId="2753" applyFont="1" applyFill="1" applyBorder="1" applyAlignment="1">
      <alignment horizontal="left" vertical="center"/>
    </xf>
    <xf numFmtId="1" fontId="126" fillId="0" borderId="44" xfId="2753" applyNumberFormat="1" applyFont="1" applyFill="1" applyBorder="1" applyAlignment="1">
      <alignment horizontal="center" vertical="center"/>
    </xf>
    <xf numFmtId="0" fontId="275" fillId="2" borderId="0" xfId="2753" applyFont="1" applyFill="1" applyAlignment="1">
      <alignment horizontal="left" vertical="center"/>
    </xf>
    <xf numFmtId="0" fontId="275" fillId="2" borderId="0" xfId="2753" applyFont="1" applyFill="1" applyAlignment="1">
      <alignment horizontal="right" vertical="center" wrapText="1" indent="1"/>
    </xf>
    <xf numFmtId="0" fontId="15" fillId="0" borderId="0" xfId="2753" applyFont="1" applyAlignment="1">
      <alignment horizontal="left" vertical="center"/>
    </xf>
    <xf numFmtId="3" fontId="15" fillId="0" borderId="0" xfId="2753" applyNumberFormat="1" applyFont="1" applyAlignment="1">
      <alignment horizontal="right" vertical="center" indent="1"/>
    </xf>
    <xf numFmtId="0" fontId="126" fillId="0" borderId="0" xfId="2753" applyFont="1" applyAlignment="1">
      <alignment horizontal="left" vertical="center" indent="1"/>
    </xf>
    <xf numFmtId="3" fontId="126" fillId="0" borderId="0" xfId="2753" applyNumberFormat="1" applyFont="1" applyAlignment="1">
      <alignment horizontal="right" vertical="center" wrapText="1" indent="1"/>
    </xf>
    <xf numFmtId="0" fontId="15" fillId="0" borderId="44" xfId="2753" applyFont="1" applyBorder="1" applyAlignment="1">
      <alignment horizontal="left" vertical="center"/>
    </xf>
    <xf numFmtId="0" fontId="125" fillId="0" borderId="0" xfId="2753" applyFont="1" applyAlignment="1">
      <alignment horizontal="left" vertical="center"/>
    </xf>
    <xf numFmtId="3" fontId="125" fillId="0" borderId="45" xfId="2753" applyNumberFormat="1" applyFont="1" applyBorder="1" applyAlignment="1">
      <alignment horizontal="right" vertical="center" wrapText="1" indent="1"/>
    </xf>
    <xf numFmtId="0" fontId="126" fillId="0" borderId="0" xfId="2753" applyFont="1" applyAlignment="1">
      <alignment horizontal="left" vertical="center"/>
    </xf>
    <xf numFmtId="3" fontId="125" fillId="0" borderId="0" xfId="2753" applyNumberFormat="1" applyFont="1" applyAlignment="1">
      <alignment horizontal="right" vertical="center" wrapText="1" indent="1"/>
    </xf>
    <xf numFmtId="3" fontId="3" fillId="0" borderId="0" xfId="2753" applyNumberFormat="1"/>
    <xf numFmtId="0" fontId="125" fillId="0" borderId="44" xfId="2753" applyFont="1" applyBorder="1" applyAlignment="1">
      <alignment horizontal="left" vertical="center"/>
    </xf>
    <xf numFmtId="3" fontId="125" fillId="0" borderId="44" xfId="2753" applyNumberFormat="1" applyFont="1" applyBorder="1" applyAlignment="1">
      <alignment horizontal="right" vertical="center" wrapText="1" indent="1"/>
    </xf>
    <xf numFmtId="0" fontId="276" fillId="0" borderId="0" xfId="2753" applyFont="1"/>
    <xf numFmtId="0" fontId="277" fillId="0" borderId="0" xfId="2753" applyFont="1" applyAlignment="1">
      <alignment vertical="center"/>
    </xf>
    <xf numFmtId="0" fontId="278" fillId="0" borderId="0" xfId="2753" applyFont="1"/>
    <xf numFmtId="0" fontId="124" fillId="2" borderId="0" xfId="2753" applyFont="1" applyFill="1" applyAlignment="1">
      <alignment horizontal="left" vertical="center"/>
    </xf>
    <xf numFmtId="0" fontId="125" fillId="0" borderId="45" xfId="2753" applyFont="1" applyBorder="1" applyAlignment="1">
      <alignment horizontal="left" vertical="center"/>
    </xf>
    <xf numFmtId="0" fontId="126" fillId="0" borderId="0" xfId="2753" applyFont="1" applyAlignment="1">
      <alignment horizontal="left" vertical="center" indent="2"/>
    </xf>
    <xf numFmtId="0" fontId="115" fillId="0" borderId="0" xfId="2753" applyFont="1" applyAlignment="1">
      <alignment horizontal="left" vertical="center" indent="1"/>
    </xf>
    <xf numFmtId="0" fontId="126" fillId="0" borderId="44" xfId="2753" applyFont="1" applyBorder="1" applyAlignment="1">
      <alignment horizontal="left" vertical="center" indent="1"/>
    </xf>
    <xf numFmtId="3" fontId="126" fillId="0" borderId="44" xfId="2753" applyNumberFormat="1" applyFont="1" applyBorder="1" applyAlignment="1">
      <alignment horizontal="right" vertical="center" wrapText="1" indent="1"/>
    </xf>
    <xf numFmtId="3" fontId="15" fillId="0" borderId="44" xfId="2753" applyNumberFormat="1" applyFont="1" applyBorder="1" applyAlignment="1">
      <alignment horizontal="right" vertical="center"/>
    </xf>
    <xf numFmtId="0" fontId="109" fillId="0" borderId="0" xfId="2753" applyFont="1" applyAlignment="1">
      <alignment vertical="center"/>
    </xf>
    <xf numFmtId="0" fontId="112" fillId="0" borderId="0" xfId="2753" applyFont="1" applyAlignment="1">
      <alignment vertical="center"/>
    </xf>
    <xf numFmtId="0" fontId="120" fillId="2" borderId="0" xfId="2753" applyFont="1" applyFill="1" applyAlignment="1">
      <alignment vertical="center"/>
    </xf>
    <xf numFmtId="0" fontId="120" fillId="2" borderId="0" xfId="2753" applyFont="1" applyFill="1" applyAlignment="1">
      <alignment horizontal="center" vertical="center"/>
    </xf>
    <xf numFmtId="0" fontId="115" fillId="0" borderId="0" xfId="2753" applyFont="1" applyBorder="1" applyAlignment="1">
      <alignment horizontal="left"/>
    </xf>
    <xf numFmtId="4" fontId="115" fillId="0" borderId="0" xfId="2753" applyNumberFormat="1" applyFont="1" applyBorder="1" applyAlignment="1">
      <alignment vertical="center"/>
    </xf>
    <xf numFmtId="0" fontId="115" fillId="0" borderId="22" xfId="2753" applyFont="1" applyBorder="1" applyAlignment="1">
      <alignment horizontal="left"/>
    </xf>
    <xf numFmtId="167" fontId="115" fillId="0" borderId="22" xfId="2753" applyNumberFormat="1" applyFont="1" applyBorder="1" applyAlignment="1">
      <alignment vertical="center"/>
    </xf>
    <xf numFmtId="4" fontId="114" fillId="0" borderId="0" xfId="2753" applyNumberFormat="1" applyFont="1" applyBorder="1" applyAlignment="1">
      <alignment horizontal="right" vertical="center"/>
    </xf>
    <xf numFmtId="3" fontId="115" fillId="0" borderId="0" xfId="2753" applyNumberFormat="1" applyFont="1" applyBorder="1" applyAlignment="1">
      <alignment vertical="center"/>
    </xf>
    <xf numFmtId="167" fontId="115" fillId="0" borderId="0" xfId="2753" applyNumberFormat="1" applyFont="1" applyBorder="1" applyAlignment="1">
      <alignment vertical="center"/>
    </xf>
    <xf numFmtId="4" fontId="115" fillId="0" borderId="0" xfId="2753" applyNumberFormat="1" applyFont="1" applyFill="1" applyBorder="1" applyAlignment="1">
      <alignment vertical="center"/>
    </xf>
    <xf numFmtId="4" fontId="115" fillId="0" borderId="22" xfId="2753" applyNumberFormat="1" applyFont="1" applyBorder="1" applyAlignment="1">
      <alignment vertical="center"/>
    </xf>
    <xf numFmtId="167" fontId="115" fillId="0" borderId="0" xfId="2753" applyNumberFormat="1" applyFont="1" applyFill="1" applyBorder="1" applyAlignment="1">
      <alignment vertical="center"/>
    </xf>
    <xf numFmtId="4" fontId="3" fillId="0" borderId="0" xfId="2753" applyNumberFormat="1"/>
    <xf numFmtId="0" fontId="279" fillId="0" borderId="0" xfId="0" applyFont="1"/>
    <xf numFmtId="0" fontId="117" fillId="0" borderId="0" xfId="2754" applyFont="1" applyFill="1"/>
    <xf numFmtId="0" fontId="280" fillId="0" borderId="0" xfId="2754" applyFont="1" applyFill="1"/>
    <xf numFmtId="0" fontId="113" fillId="79" borderId="0" xfId="2754" applyFont="1" applyFill="1" applyAlignment="1">
      <alignment horizontal="center" vertical="center" wrapText="1"/>
    </xf>
    <xf numFmtId="0" fontId="280" fillId="0" borderId="0" xfId="2754" applyFont="1" applyFill="1" applyAlignment="1">
      <alignment horizontal="center" vertical="center" wrapText="1"/>
    </xf>
    <xf numFmtId="3" fontId="117" fillId="0" borderId="0" xfId="2754" applyNumberFormat="1" applyFont="1" applyFill="1"/>
    <xf numFmtId="2" fontId="117" fillId="0" borderId="0" xfId="2754" applyNumberFormat="1" applyFont="1" applyFill="1"/>
    <xf numFmtId="166" fontId="280" fillId="0" borderId="0" xfId="2754" applyNumberFormat="1" applyFont="1" applyFill="1"/>
    <xf numFmtId="2" fontId="280" fillId="0" borderId="0" xfId="2754" applyNumberFormat="1" applyFont="1" applyFill="1"/>
    <xf numFmtId="0" fontId="117" fillId="0" borderId="46" xfId="2754" applyFont="1" applyFill="1" applyBorder="1"/>
    <xf numFmtId="3" fontId="117" fillId="0" borderId="46" xfId="2754" applyNumberFormat="1" applyFont="1" applyFill="1" applyBorder="1"/>
    <xf numFmtId="2" fontId="117" fillId="0" borderId="46" xfId="2754" applyNumberFormat="1" applyFont="1" applyFill="1" applyBorder="1"/>
    <xf numFmtId="1" fontId="280" fillId="0" borderId="0" xfId="2754" applyNumberFormat="1" applyFont="1" applyFill="1"/>
    <xf numFmtId="1" fontId="117" fillId="0" borderId="0" xfId="2754" applyNumberFormat="1" applyFont="1" applyFill="1"/>
    <xf numFmtId="0" fontId="117" fillId="0" borderId="0" xfId="2755" applyFont="1" applyFill="1"/>
    <xf numFmtId="0" fontId="113" fillId="79" borderId="0" xfId="2756" applyFont="1" applyFill="1" applyBorder="1" applyAlignment="1">
      <alignment horizontal="center" vertical="center"/>
    </xf>
    <xf numFmtId="0" fontId="132" fillId="0" borderId="0" xfId="2755" applyFont="1" applyFill="1" applyBorder="1" applyAlignment="1">
      <alignment horizontal="left" vertical="center" wrapText="1"/>
    </xf>
    <xf numFmtId="3" fontId="132" fillId="0" borderId="0" xfId="2755" applyNumberFormat="1" applyFont="1" applyFill="1" applyBorder="1" applyAlignment="1">
      <alignment vertical="center"/>
    </xf>
    <xf numFmtId="203" fontId="117" fillId="0" borderId="0" xfId="0" applyNumberFormat="1" applyFont="1" applyFill="1"/>
    <xf numFmtId="203" fontId="132" fillId="0" borderId="0" xfId="0" applyNumberFormat="1" applyFont="1" applyFill="1" applyBorder="1"/>
    <xf numFmtId="203" fontId="117" fillId="0" borderId="0" xfId="0" applyNumberFormat="1" applyFont="1" applyFill="1" applyBorder="1"/>
    <xf numFmtId="3" fontId="117" fillId="0" borderId="47" xfId="0" applyNumberFormat="1" applyFont="1" applyFill="1" applyBorder="1" applyAlignment="1">
      <alignment horizontal="left" vertical="top"/>
    </xf>
    <xf numFmtId="3" fontId="117" fillId="0" borderId="47" xfId="0" applyNumberFormat="1" applyFont="1" applyFill="1" applyBorder="1"/>
    <xf numFmtId="3" fontId="117" fillId="0" borderId="46" xfId="0" applyNumberFormat="1" applyFont="1" applyFill="1" applyBorder="1" applyAlignment="1">
      <alignment horizontal="left" vertical="top"/>
    </xf>
    <xf numFmtId="207" fontId="117" fillId="0" borderId="46" xfId="2752" applyNumberFormat="1" applyFont="1" applyFill="1" applyBorder="1"/>
    <xf numFmtId="203" fontId="117" fillId="0" borderId="47" xfId="0" applyNumberFormat="1" applyFont="1" applyFill="1" applyBorder="1" applyAlignment="1">
      <alignment horizontal="left"/>
    </xf>
    <xf numFmtId="203" fontId="117" fillId="0" borderId="46" xfId="0" applyNumberFormat="1" applyFont="1" applyFill="1" applyBorder="1" applyAlignment="1">
      <alignment horizontal="left"/>
    </xf>
    <xf numFmtId="0" fontId="117" fillId="0" borderId="46" xfId="0" applyFont="1" applyFill="1" applyBorder="1"/>
    <xf numFmtId="0" fontId="117" fillId="0" borderId="0" xfId="2757" applyFont="1" applyFill="1"/>
    <xf numFmtId="0" fontId="281" fillId="0" borderId="0" xfId="2757" applyFont="1" applyFill="1"/>
    <xf numFmtId="2" fontId="117" fillId="0" borderId="46" xfId="2757" applyNumberFormat="1" applyFont="1" applyFill="1" applyBorder="1"/>
    <xf numFmtId="0" fontId="117" fillId="0" borderId="46" xfId="2757" applyFont="1" applyFill="1" applyBorder="1"/>
    <xf numFmtId="2" fontId="117" fillId="0" borderId="0" xfId="2757" applyNumberFormat="1" applyFont="1" applyFill="1"/>
    <xf numFmtId="2" fontId="117" fillId="0" borderId="0" xfId="2757" applyNumberFormat="1" applyFont="1" applyFill="1" applyBorder="1"/>
    <xf numFmtId="0" fontId="117" fillId="0" borderId="0" xfId="2757" applyFont="1" applyFill="1" applyBorder="1"/>
    <xf numFmtId="2" fontId="113" fillId="79" borderId="0" xfId="2757" applyNumberFormat="1" applyFont="1" applyFill="1" applyAlignment="1">
      <alignment horizontal="center"/>
    </xf>
    <xf numFmtId="0" fontId="113" fillId="79" borderId="0" xfId="2757" applyFont="1" applyFill="1"/>
    <xf numFmtId="0" fontId="282" fillId="0" borderId="0" xfId="0" applyFont="1" applyAlignment="1">
      <alignment wrapText="1"/>
    </xf>
    <xf numFmtId="0" fontId="116" fillId="0" borderId="0" xfId="0" applyFont="1" applyAlignment="1">
      <alignment wrapText="1"/>
    </xf>
    <xf numFmtId="0" fontId="130" fillId="0" borderId="0" xfId="0" applyFont="1" applyFill="1" applyBorder="1" applyAlignment="1">
      <alignment vertical="center" wrapText="1"/>
    </xf>
    <xf numFmtId="0" fontId="2" fillId="0" borderId="0" xfId="2758"/>
    <xf numFmtId="0" fontId="124" fillId="2" borderId="48" xfId="2758" applyFont="1" applyFill="1" applyBorder="1" applyAlignment="1">
      <alignment vertical="center"/>
    </xf>
    <xf numFmtId="0" fontId="124" fillId="2" borderId="49" xfId="2758" applyFont="1" applyFill="1" applyBorder="1" applyAlignment="1">
      <alignment horizontal="center" vertical="center"/>
    </xf>
    <xf numFmtId="0" fontId="124" fillId="2" borderId="23" xfId="2758" applyFont="1" applyFill="1" applyBorder="1" applyAlignment="1">
      <alignment horizontal="center" vertical="center"/>
    </xf>
    <xf numFmtId="0" fontId="124" fillId="2" borderId="50" xfId="2758" applyFont="1" applyFill="1" applyBorder="1" applyAlignment="1">
      <alignment horizontal="center" vertical="center"/>
    </xf>
    <xf numFmtId="0" fontId="15" fillId="0" borderId="51" xfId="2758" applyFont="1" applyBorder="1" applyAlignment="1">
      <alignment vertical="center" wrapText="1"/>
    </xf>
    <xf numFmtId="3" fontId="15" fillId="0" borderId="52" xfId="2758" applyNumberFormat="1" applyFont="1" applyBorder="1" applyAlignment="1">
      <alignment horizontal="center" vertical="center" wrapText="1"/>
    </xf>
    <xf numFmtId="3" fontId="15" fillId="0" borderId="0" xfId="2758" applyNumberFormat="1" applyFont="1" applyBorder="1" applyAlignment="1">
      <alignment horizontal="center" vertical="center" wrapText="1"/>
    </xf>
    <xf numFmtId="167" fontId="15" fillId="0" borderId="53" xfId="2758" applyNumberFormat="1" applyFont="1" applyBorder="1" applyAlignment="1">
      <alignment horizontal="center" vertical="center" wrapText="1"/>
    </xf>
    <xf numFmtId="167" fontId="15" fillId="0" borderId="0" xfId="2758" applyNumberFormat="1" applyFont="1" applyBorder="1" applyAlignment="1">
      <alignment horizontal="center" vertical="center" wrapText="1"/>
    </xf>
    <xf numFmtId="167" fontId="15" fillId="0" borderId="52" xfId="2758" applyNumberFormat="1" applyFont="1" applyBorder="1" applyAlignment="1">
      <alignment horizontal="center" vertical="center" wrapText="1"/>
    </xf>
    <xf numFmtId="0" fontId="115" fillId="0" borderId="54" xfId="2758" applyFont="1" applyBorder="1" applyAlignment="1">
      <alignment vertical="center" wrapText="1"/>
    </xf>
    <xf numFmtId="1" fontId="115" fillId="0" borderId="50" xfId="2758" applyNumberFormat="1" applyFont="1" applyFill="1" applyBorder="1" applyAlignment="1">
      <alignment horizontal="center" vertical="center" wrapText="1"/>
    </xf>
    <xf numFmtId="1" fontId="115" fillId="0" borderId="55" xfId="2758" applyNumberFormat="1" applyFont="1" applyFill="1" applyBorder="1" applyAlignment="1">
      <alignment horizontal="center" vertical="center" wrapText="1"/>
    </xf>
    <xf numFmtId="1" fontId="115" fillId="0" borderId="23" xfId="2758" applyNumberFormat="1" applyFont="1" applyFill="1" applyBorder="1" applyAlignment="1">
      <alignment horizontal="center" vertical="center" wrapText="1"/>
    </xf>
    <xf numFmtId="0" fontId="115" fillId="0" borderId="51" xfId="2758" applyFont="1" applyBorder="1" applyAlignment="1">
      <alignment horizontal="left" vertical="center" wrapText="1" indent="1"/>
    </xf>
    <xf numFmtId="1" fontId="115" fillId="0" borderId="0" xfId="2758" applyNumberFormat="1" applyFont="1" applyFill="1" applyBorder="1" applyAlignment="1">
      <alignment horizontal="center" vertical="center"/>
    </xf>
    <xf numFmtId="1" fontId="115" fillId="0" borderId="56" xfId="2758" applyNumberFormat="1" applyFont="1" applyFill="1" applyBorder="1" applyAlignment="1">
      <alignment horizontal="center" vertical="center"/>
    </xf>
    <xf numFmtId="1" fontId="115" fillId="0" borderId="52" xfId="2758" applyNumberFormat="1" applyFont="1" applyFill="1" applyBorder="1" applyAlignment="1">
      <alignment horizontal="center" vertical="center"/>
    </xf>
    <xf numFmtId="1" fontId="115" fillId="0" borderId="52" xfId="2758" applyNumberFormat="1" applyFont="1" applyFill="1" applyBorder="1" applyAlignment="1">
      <alignment horizontal="center" vertical="center" wrapText="1"/>
    </xf>
    <xf numFmtId="1" fontId="115" fillId="0" borderId="56" xfId="2758" applyNumberFormat="1" applyFont="1" applyFill="1" applyBorder="1" applyAlignment="1">
      <alignment horizontal="center" vertical="center" wrapText="1"/>
    </xf>
    <xf numFmtId="1" fontId="115" fillId="0" borderId="0" xfId="2758" applyNumberFormat="1" applyFont="1" applyFill="1" applyBorder="1" applyAlignment="1">
      <alignment horizontal="center" vertical="center" wrapText="1"/>
    </xf>
    <xf numFmtId="0" fontId="115" fillId="0" borderId="57" xfId="2758" applyFont="1" applyBorder="1" applyAlignment="1">
      <alignment horizontal="left" vertical="center" wrapText="1" indent="1"/>
    </xf>
    <xf numFmtId="1" fontId="115" fillId="0" borderId="53" xfId="2758" applyNumberFormat="1" applyFont="1" applyFill="1" applyBorder="1" applyAlignment="1">
      <alignment horizontal="center" vertical="center" wrapText="1"/>
    </xf>
    <xf numFmtId="1" fontId="115" fillId="0" borderId="58" xfId="2758" applyNumberFormat="1" applyFont="1" applyFill="1" applyBorder="1" applyAlignment="1">
      <alignment horizontal="center" vertical="center" wrapText="1"/>
    </xf>
    <xf numFmtId="1" fontId="115" fillId="0" borderId="22" xfId="2758" applyNumberFormat="1" applyFont="1" applyFill="1" applyBorder="1" applyAlignment="1">
      <alignment horizontal="center" vertical="center" wrapText="1"/>
    </xf>
    <xf numFmtId="0" fontId="115" fillId="0" borderId="59" xfId="2758" applyFont="1" applyFill="1" applyBorder="1" applyAlignment="1">
      <alignment vertical="center" wrapText="1"/>
    </xf>
    <xf numFmtId="1" fontId="115" fillId="0" borderId="60" xfId="2758" applyNumberFormat="1" applyFont="1" applyFill="1" applyBorder="1" applyAlignment="1">
      <alignment horizontal="center" vertical="center" wrapText="1"/>
    </xf>
    <xf numFmtId="1" fontId="115" fillId="0" borderId="61" xfId="2758" applyNumberFormat="1" applyFont="1" applyFill="1" applyBorder="1" applyAlignment="1">
      <alignment horizontal="center" vertical="center" wrapText="1"/>
    </xf>
    <xf numFmtId="1" fontId="115" fillId="0" borderId="21" xfId="2758" applyNumberFormat="1" applyFont="1" applyFill="1" applyBorder="1" applyAlignment="1">
      <alignment horizontal="center" vertical="center" wrapText="1"/>
    </xf>
    <xf numFmtId="0" fontId="115" fillId="0" borderId="54" xfId="2758" applyFont="1" applyFill="1" applyBorder="1" applyAlignment="1">
      <alignment vertical="center" wrapText="1"/>
    </xf>
    <xf numFmtId="1" fontId="115" fillId="0" borderId="50" xfId="2758" applyNumberFormat="1" applyFont="1" applyFill="1" applyBorder="1" applyAlignment="1">
      <alignment horizontal="center" vertical="center"/>
    </xf>
    <xf numFmtId="3" fontId="115" fillId="0" borderId="55" xfId="2758" applyNumberFormat="1" applyFont="1" applyFill="1" applyBorder="1" applyAlignment="1">
      <alignment horizontal="center" vertical="center"/>
    </xf>
    <xf numFmtId="3" fontId="115" fillId="0" borderId="23" xfId="2758" applyNumberFormat="1" applyFont="1" applyFill="1" applyBorder="1" applyAlignment="1">
      <alignment horizontal="center" vertical="center"/>
    </xf>
    <xf numFmtId="3" fontId="115" fillId="0" borderId="50" xfId="2758" applyNumberFormat="1" applyFont="1" applyFill="1" applyBorder="1" applyAlignment="1">
      <alignment horizontal="center" vertical="center"/>
    </xf>
    <xf numFmtId="0" fontId="115" fillId="0" borderId="51" xfId="2758" applyFont="1" applyFill="1" applyBorder="1" applyAlignment="1">
      <alignment horizontal="left" vertical="center" wrapText="1" indent="1"/>
    </xf>
    <xf numFmtId="3" fontId="115" fillId="0" borderId="0" xfId="2758" applyNumberFormat="1" applyFont="1" applyFill="1" applyBorder="1" applyAlignment="1">
      <alignment horizontal="center" vertical="center"/>
    </xf>
    <xf numFmtId="3" fontId="115" fillId="0" borderId="56" xfId="2758" applyNumberFormat="1" applyFont="1" applyFill="1" applyBorder="1" applyAlignment="1">
      <alignment horizontal="center" vertical="center"/>
    </xf>
    <xf numFmtId="3" fontId="115" fillId="0" borderId="52" xfId="2758" applyNumberFormat="1" applyFont="1" applyFill="1" applyBorder="1" applyAlignment="1">
      <alignment horizontal="center" vertical="center"/>
    </xf>
    <xf numFmtId="0" fontId="115" fillId="0" borderId="57" xfId="2758" applyFont="1" applyFill="1" applyBorder="1" applyAlignment="1">
      <alignment horizontal="left" vertical="center" wrapText="1" indent="1"/>
    </xf>
    <xf numFmtId="3" fontId="115" fillId="0" borderId="22" xfId="2758" applyNumberFormat="1" applyFont="1" applyFill="1" applyBorder="1" applyAlignment="1">
      <alignment horizontal="center" vertical="center"/>
    </xf>
    <xf numFmtId="3" fontId="115" fillId="0" borderId="58" xfId="2758" applyNumberFormat="1" applyFont="1" applyFill="1" applyBorder="1" applyAlignment="1">
      <alignment horizontal="center" vertical="center"/>
    </xf>
    <xf numFmtId="3" fontId="115" fillId="0" borderId="53" xfId="2758" applyNumberFormat="1" applyFont="1" applyFill="1" applyBorder="1" applyAlignment="1">
      <alignment horizontal="center" vertical="center"/>
    </xf>
    <xf numFmtId="3" fontId="115" fillId="0" borderId="52" xfId="2758" applyNumberFormat="1" applyFont="1" applyFill="1" applyBorder="1" applyAlignment="1">
      <alignment horizontal="center" vertical="center" wrapText="1"/>
    </xf>
    <xf numFmtId="3" fontId="115" fillId="0" borderId="56" xfId="2758" applyNumberFormat="1" applyFont="1" applyFill="1" applyBorder="1" applyAlignment="1">
      <alignment horizontal="center" vertical="center" wrapText="1"/>
    </xf>
    <xf numFmtId="3" fontId="115" fillId="0" borderId="0" xfId="2758" applyNumberFormat="1" applyFont="1" applyFill="1" applyBorder="1" applyAlignment="1">
      <alignment horizontal="center" vertical="center" wrapText="1"/>
    </xf>
    <xf numFmtId="3" fontId="115" fillId="0" borderId="53" xfId="2758" applyNumberFormat="1" applyFont="1" applyFill="1" applyBorder="1" applyAlignment="1">
      <alignment horizontal="center" vertical="center" wrapText="1"/>
    </xf>
    <xf numFmtId="3" fontId="115" fillId="0" borderId="58" xfId="2758" applyNumberFormat="1" applyFont="1" applyFill="1" applyBorder="1" applyAlignment="1">
      <alignment horizontal="center" vertical="center" wrapText="1"/>
    </xf>
    <xf numFmtId="3" fontId="115" fillId="0" borderId="22" xfId="2758" applyNumberFormat="1" applyFont="1" applyFill="1" applyBorder="1" applyAlignment="1">
      <alignment horizontal="center" vertical="center" wrapText="1"/>
    </xf>
    <xf numFmtId="1" fontId="115" fillId="0" borderId="60" xfId="2758" applyNumberFormat="1" applyFont="1" applyFill="1" applyBorder="1" applyAlignment="1">
      <alignment horizontal="center" vertical="center"/>
    </xf>
    <xf numFmtId="1" fontId="115" fillId="0" borderId="61" xfId="2758" applyNumberFormat="1" applyFont="1" applyFill="1" applyBorder="1" applyAlignment="1">
      <alignment horizontal="center" vertical="center"/>
    </xf>
    <xf numFmtId="1" fontId="115" fillId="0" borderId="21" xfId="2758" applyNumberFormat="1" applyFont="1" applyFill="1" applyBorder="1" applyAlignment="1">
      <alignment horizontal="center" vertical="center"/>
    </xf>
    <xf numFmtId="0" fontId="115" fillId="0" borderId="54" xfId="2758" applyFont="1" applyBorder="1" applyAlignment="1">
      <alignment horizontal="left" vertical="center" wrapText="1"/>
    </xf>
    <xf numFmtId="3" fontId="115" fillId="0" borderId="50" xfId="2758" applyNumberFormat="1" applyFont="1" applyFill="1" applyBorder="1" applyAlignment="1">
      <alignment horizontal="center" vertical="center" wrapText="1"/>
    </xf>
    <xf numFmtId="3" fontId="115" fillId="0" borderId="55" xfId="2758" applyNumberFormat="1" applyFont="1" applyFill="1" applyBorder="1" applyAlignment="1">
      <alignment horizontal="center" vertical="center" wrapText="1"/>
    </xf>
    <xf numFmtId="3" fontId="115" fillId="0" borderId="23" xfId="2758" applyNumberFormat="1" applyFont="1" applyFill="1" applyBorder="1" applyAlignment="1">
      <alignment horizontal="center" vertical="center" wrapText="1"/>
    </xf>
    <xf numFmtId="0" fontId="115" fillId="0" borderId="59" xfId="2758" applyFont="1" applyBorder="1" applyAlignment="1">
      <alignment vertical="center" wrapText="1"/>
    </xf>
    <xf numFmtId="0" fontId="119" fillId="0" borderId="0" xfId="2758" applyFont="1" applyBorder="1" applyAlignment="1">
      <alignment horizontal="left" vertical="center" wrapText="1"/>
    </xf>
    <xf numFmtId="1" fontId="119" fillId="0" borderId="0" xfId="2758" applyNumberFormat="1" applyFont="1" applyBorder="1" applyAlignment="1">
      <alignment horizontal="right" vertical="center" wrapText="1"/>
    </xf>
    <xf numFmtId="0" fontId="15" fillId="0" borderId="54" xfId="2758" applyFont="1" applyBorder="1" applyAlignment="1">
      <alignment vertical="center" wrapText="1"/>
    </xf>
    <xf numFmtId="3" fontId="15" fillId="0" borderId="50" xfId="2758" applyNumberFormat="1" applyFont="1" applyBorder="1" applyAlignment="1">
      <alignment horizontal="center" vertical="center" wrapText="1"/>
    </xf>
    <xf numFmtId="3" fontId="15" fillId="0" borderId="23" xfId="2758" applyNumberFormat="1" applyFont="1" applyBorder="1" applyAlignment="1">
      <alignment horizontal="center" vertical="center" wrapText="1"/>
    </xf>
    <xf numFmtId="167" fontId="15" fillId="0" borderId="58" xfId="2758" applyNumberFormat="1" applyFont="1" applyBorder="1" applyAlignment="1">
      <alignment horizontal="center" vertical="center" wrapText="1"/>
    </xf>
    <xf numFmtId="167" fontId="15" fillId="0" borderId="22" xfId="2758" applyNumberFormat="1" applyFont="1" applyBorder="1" applyAlignment="1">
      <alignment horizontal="center" vertical="center" wrapText="1"/>
    </xf>
    <xf numFmtId="0" fontId="115" fillId="0" borderId="53" xfId="2758" applyFont="1" applyFill="1" applyBorder="1" applyAlignment="1">
      <alignment horizontal="center" vertical="center" wrapText="1"/>
    </xf>
    <xf numFmtId="0" fontId="115" fillId="0" borderId="57" xfId="2758" applyFont="1" applyBorder="1" applyAlignment="1">
      <alignment horizontal="left" vertical="center" wrapText="1"/>
    </xf>
    <xf numFmtId="0" fontId="119" fillId="0" borderId="0" xfId="2758" applyFont="1"/>
    <xf numFmtId="0" fontId="119" fillId="0" borderId="0" xfId="2758" applyFont="1" applyAlignment="1">
      <alignment horizontal="right"/>
    </xf>
    <xf numFmtId="0" fontId="120" fillId="2" borderId="0" xfId="2758" applyFont="1" applyFill="1" applyAlignment="1">
      <alignment vertical="center"/>
    </xf>
    <xf numFmtId="0" fontId="115" fillId="0" borderId="0" xfId="2758" applyFont="1"/>
    <xf numFmtId="3" fontId="115" fillId="0" borderId="0" xfId="2758" applyNumberFormat="1" applyFont="1"/>
    <xf numFmtId="0" fontId="17" fillId="0" borderId="22" xfId="2758" applyFont="1" applyBorder="1" applyAlignment="1">
      <alignment horizontal="left" indent="2"/>
    </xf>
    <xf numFmtId="167" fontId="17" fillId="0" borderId="22" xfId="2758" applyNumberFormat="1" applyFont="1" applyBorder="1"/>
    <xf numFmtId="167" fontId="17" fillId="0" borderId="22" xfId="2758" applyNumberFormat="1" applyFont="1" applyBorder="1" applyAlignment="1">
      <alignment vertical="center"/>
    </xf>
    <xf numFmtId="0" fontId="115" fillId="0" borderId="0" xfId="2758" applyFont="1" applyAlignment="1">
      <alignment vertical="center"/>
    </xf>
    <xf numFmtId="3" fontId="126" fillId="0" borderId="0" xfId="2758" applyNumberFormat="1" applyFont="1" applyAlignment="1">
      <alignment horizontal="right" vertical="center"/>
    </xf>
    <xf numFmtId="0" fontId="121" fillId="0" borderId="22" xfId="2758" applyFont="1" applyBorder="1" applyAlignment="1">
      <alignment horizontal="left" vertical="center" indent="2"/>
    </xf>
    <xf numFmtId="166" fontId="125" fillId="0" borderId="22" xfId="2758" applyNumberFormat="1" applyFont="1" applyBorder="1" applyAlignment="1">
      <alignment horizontal="right" vertical="center"/>
    </xf>
    <xf numFmtId="166" fontId="115" fillId="0" borderId="0" xfId="2758" applyNumberFormat="1" applyFont="1"/>
    <xf numFmtId="0" fontId="115" fillId="0" borderId="0" xfId="2758" applyFont="1" applyBorder="1"/>
    <xf numFmtId="3" fontId="115" fillId="0" borderId="0" xfId="2758" applyNumberFormat="1" applyFont="1" applyBorder="1"/>
    <xf numFmtId="4" fontId="17" fillId="0" borderId="0" xfId="2758" applyNumberFormat="1" applyFont="1" applyBorder="1"/>
    <xf numFmtId="0" fontId="115" fillId="0" borderId="0" xfId="2758" applyFont="1" applyBorder="1" applyAlignment="1">
      <alignment vertical="center"/>
    </xf>
    <xf numFmtId="3" fontId="115" fillId="0" borderId="0" xfId="2758" applyNumberFormat="1" applyFont="1" applyFill="1" applyBorder="1" applyAlignment="1">
      <alignment vertical="center"/>
    </xf>
    <xf numFmtId="0" fontId="2" fillId="0" borderId="0" xfId="2758" applyFill="1"/>
    <xf numFmtId="0" fontId="121" fillId="0" borderId="22" xfId="2758" applyFont="1" applyBorder="1" applyAlignment="1">
      <alignment horizontal="left" vertical="center" indent="1"/>
    </xf>
    <xf numFmtId="166" fontId="121" fillId="0" borderId="22" xfId="2758" applyNumberFormat="1" applyFont="1" applyBorder="1" applyAlignment="1">
      <alignment vertical="center"/>
    </xf>
    <xf numFmtId="3" fontId="115" fillId="0" borderId="0" xfId="2758" applyNumberFormat="1" applyFont="1" applyAlignment="1">
      <alignment vertical="center"/>
    </xf>
    <xf numFmtId="0" fontId="115" fillId="0" borderId="0" xfId="2758" applyFont="1" applyAlignment="1">
      <alignment horizontal="left" vertical="center" indent="1"/>
    </xf>
    <xf numFmtId="0" fontId="283" fillId="0" borderId="0" xfId="2758" applyFont="1" applyBorder="1" applyAlignment="1">
      <alignment horizontal="left" vertical="center" indent="1"/>
    </xf>
    <xf numFmtId="166" fontId="121" fillId="0" borderId="0" xfId="2758" applyNumberFormat="1" applyFont="1" applyBorder="1" applyAlignment="1">
      <alignment vertical="center"/>
    </xf>
    <xf numFmtId="166" fontId="283" fillId="0" borderId="0" xfId="2758" applyNumberFormat="1" applyFont="1" applyBorder="1" applyAlignment="1">
      <alignment vertical="center"/>
    </xf>
    <xf numFmtId="0" fontId="116" fillId="0" borderId="0" xfId="2758" applyFont="1" applyBorder="1" applyAlignment="1">
      <alignment vertical="center"/>
    </xf>
    <xf numFmtId="2" fontId="116" fillId="0" borderId="0" xfId="2758" applyNumberFormat="1" applyFont="1" applyBorder="1" applyAlignment="1">
      <alignment vertical="center"/>
    </xf>
    <xf numFmtId="2" fontId="116" fillId="0" borderId="22" xfId="2758" applyNumberFormat="1" applyFont="1" applyBorder="1" applyAlignment="1">
      <alignment vertical="center"/>
    </xf>
    <xf numFmtId="0" fontId="284" fillId="0" borderId="0" xfId="2758" applyFont="1"/>
    <xf numFmtId="167" fontId="283" fillId="0" borderId="0" xfId="2758" applyNumberFormat="1" applyFont="1"/>
    <xf numFmtId="208" fontId="283" fillId="0" borderId="0" xfId="2758" applyNumberFormat="1" applyFont="1"/>
    <xf numFmtId="0" fontId="283" fillId="0" borderId="0" xfId="2758" applyFont="1"/>
    <xf numFmtId="0" fontId="285" fillId="2" borderId="0" xfId="2758" applyFont="1" applyFill="1" applyAlignment="1">
      <alignment horizontal="center" vertical="center"/>
    </xf>
    <xf numFmtId="167" fontId="283" fillId="0" borderId="0" xfId="2758" applyNumberFormat="1" applyFont="1" applyFill="1" applyAlignment="1">
      <alignment vertical="center"/>
    </xf>
    <xf numFmtId="0" fontId="286" fillId="0" borderId="0" xfId="2758" applyFont="1"/>
    <xf numFmtId="167" fontId="286" fillId="0" borderId="0" xfId="2758" applyNumberFormat="1" applyFont="1"/>
    <xf numFmtId="0" fontId="286" fillId="0" borderId="22" xfId="2758" applyFont="1" applyBorder="1"/>
    <xf numFmtId="167" fontId="286" fillId="0" borderId="22" xfId="2758" applyNumberFormat="1" applyFont="1" applyBorder="1"/>
    <xf numFmtId="0" fontId="124" fillId="2" borderId="62" xfId="2758" applyFont="1" applyFill="1" applyBorder="1" applyAlignment="1">
      <alignment vertical="center"/>
    </xf>
    <xf numFmtId="49" fontId="124" fillId="2" borderId="0" xfId="2758" applyNumberFormat="1" applyFont="1" applyFill="1" applyBorder="1" applyAlignment="1">
      <alignment horizontal="center" vertical="center"/>
    </xf>
    <xf numFmtId="49" fontId="124" fillId="2" borderId="0" xfId="2758" applyNumberFormat="1" applyFont="1" applyFill="1" applyAlignment="1">
      <alignment horizontal="center" vertical="center"/>
    </xf>
    <xf numFmtId="0" fontId="2" fillId="0" borderId="0" xfId="2758" applyBorder="1"/>
    <xf numFmtId="0" fontId="15" fillId="0" borderId="0" xfId="2758" applyFont="1" applyBorder="1" applyAlignment="1">
      <alignment vertical="center" wrapText="1"/>
    </xf>
    <xf numFmtId="1" fontId="15" fillId="0" borderId="59" xfId="2758" applyNumberFormat="1" applyFont="1" applyBorder="1" applyAlignment="1">
      <alignment horizontal="center" vertical="center" wrapText="1"/>
    </xf>
    <xf numFmtId="1" fontId="15" fillId="0" borderId="59" xfId="2758" applyNumberFormat="1" applyFont="1" applyFill="1" applyBorder="1" applyAlignment="1">
      <alignment horizontal="center" vertical="center" wrapText="1"/>
    </xf>
    <xf numFmtId="1" fontId="15" fillId="0" borderId="61" xfId="2758" applyNumberFormat="1" applyFont="1" applyFill="1" applyBorder="1" applyAlignment="1">
      <alignment horizontal="center" vertical="center" wrapText="1"/>
    </xf>
    <xf numFmtId="0" fontId="115" fillId="0" borderId="50" xfId="2758" applyFont="1" applyBorder="1" applyAlignment="1">
      <alignment vertical="center" wrapText="1"/>
    </xf>
    <xf numFmtId="1" fontId="115" fillId="0" borderId="54" xfId="2758" applyNumberFormat="1" applyFont="1" applyBorder="1" applyAlignment="1">
      <alignment horizontal="center" vertical="center" wrapText="1"/>
    </xf>
    <xf numFmtId="1" fontId="115" fillId="0" borderId="55" xfId="2758" applyNumberFormat="1" applyFont="1" applyBorder="1" applyAlignment="1">
      <alignment horizontal="center" vertical="center" wrapText="1"/>
    </xf>
    <xf numFmtId="0" fontId="115" fillId="0" borderId="52" xfId="2758" applyFont="1" applyBorder="1" applyAlignment="1">
      <alignment horizontal="left" vertical="center" wrapText="1" indent="1"/>
    </xf>
    <xf numFmtId="1" fontId="115" fillId="0" borderId="51" xfId="2758" applyNumberFormat="1" applyFont="1" applyBorder="1" applyAlignment="1">
      <alignment horizontal="center" vertical="center" wrapText="1"/>
    </xf>
    <xf numFmtId="1" fontId="115" fillId="0" borderId="56" xfId="2758" applyNumberFormat="1" applyFont="1" applyBorder="1" applyAlignment="1">
      <alignment horizontal="center" vertical="center" wrapText="1"/>
    </xf>
    <xf numFmtId="1" fontId="115" fillId="0" borderId="0" xfId="2758" applyNumberFormat="1" applyFont="1" applyBorder="1" applyAlignment="1">
      <alignment horizontal="center" vertical="center" wrapText="1"/>
    </xf>
    <xf numFmtId="1" fontId="115" fillId="0" borderId="57" xfId="2758" applyNumberFormat="1" applyFont="1" applyBorder="1" applyAlignment="1">
      <alignment horizontal="center" vertical="center" wrapText="1"/>
    </xf>
    <xf numFmtId="0" fontId="115" fillId="0" borderId="60" xfId="2758" applyFont="1" applyBorder="1" applyAlignment="1">
      <alignment vertical="center" wrapText="1"/>
    </xf>
    <xf numFmtId="1" fontId="115" fillId="0" borderId="51" xfId="2758" applyNumberFormat="1" applyFont="1" applyFill="1" applyBorder="1" applyAlignment="1">
      <alignment horizontal="center" vertical="center" wrapText="1"/>
    </xf>
    <xf numFmtId="0" fontId="115" fillId="0" borderId="52" xfId="2758" applyFont="1" applyFill="1" applyBorder="1" applyAlignment="1">
      <alignment horizontal="left" vertical="center" wrapText="1" indent="1"/>
    </xf>
    <xf numFmtId="0" fontId="115" fillId="0" borderId="0" xfId="2758" applyFont="1" applyBorder="1" applyAlignment="1">
      <alignment vertical="center" wrapText="1"/>
    </xf>
    <xf numFmtId="0" fontId="115" fillId="0" borderId="57" xfId="2758" applyFont="1" applyBorder="1" applyAlignment="1">
      <alignment vertical="center" wrapText="1"/>
    </xf>
    <xf numFmtId="1" fontId="115" fillId="0" borderId="57" xfId="2758" applyNumberFormat="1" applyFont="1" applyFill="1" applyBorder="1" applyAlignment="1">
      <alignment horizontal="center" vertical="center" wrapText="1"/>
    </xf>
    <xf numFmtId="0" fontId="115" fillId="0" borderId="59" xfId="2759" applyFont="1" applyBorder="1" applyAlignment="1">
      <alignment horizontal="center" vertical="center" wrapText="1"/>
    </xf>
    <xf numFmtId="0" fontId="115" fillId="0" borderId="61" xfId="2759" applyFont="1" applyBorder="1" applyAlignment="1">
      <alignment horizontal="center" vertical="center" wrapText="1"/>
    </xf>
    <xf numFmtId="0" fontId="115" fillId="0" borderId="61" xfId="2759" applyFont="1" applyFill="1" applyBorder="1" applyAlignment="1">
      <alignment vertical="center" wrapText="1"/>
    </xf>
    <xf numFmtId="1" fontId="115" fillId="0" borderId="59" xfId="2759" applyNumberFormat="1" applyFont="1" applyBorder="1" applyAlignment="1">
      <alignment horizontal="center" vertical="center" wrapText="1"/>
    </xf>
    <xf numFmtId="1" fontId="115" fillId="0" borderId="61" xfId="2759" applyNumberFormat="1" applyFont="1" applyBorder="1" applyAlignment="1">
      <alignment horizontal="center" vertical="center" wrapText="1"/>
    </xf>
    <xf numFmtId="0" fontId="124" fillId="2" borderId="0" xfId="2758" applyFont="1" applyFill="1" applyBorder="1" applyAlignment="1">
      <alignment vertical="center" wrapText="1"/>
    </xf>
    <xf numFmtId="0" fontId="15" fillId="0" borderId="0" xfId="2758" applyFont="1" applyFill="1" applyBorder="1" applyAlignment="1">
      <alignment horizontal="left" vertical="center" wrapText="1"/>
    </xf>
    <xf numFmtId="0" fontId="15" fillId="0" borderId="59" xfId="2758" applyFont="1" applyFill="1" applyBorder="1" applyAlignment="1">
      <alignment horizontal="center" vertical="center" wrapText="1"/>
    </xf>
    <xf numFmtId="3" fontId="15" fillId="0" borderId="61" xfId="2758" applyNumberFormat="1" applyFont="1" applyFill="1" applyBorder="1" applyAlignment="1">
      <alignment horizontal="center" vertical="center" wrapText="1"/>
    </xf>
    <xf numFmtId="0" fontId="2" fillId="0" borderId="0" xfId="2758" applyAlignment="1">
      <alignment horizontal="right"/>
    </xf>
    <xf numFmtId="0" fontId="115" fillId="0" borderId="59" xfId="2758" applyFont="1" applyFill="1" applyBorder="1" applyAlignment="1">
      <alignment horizontal="left" vertical="center" wrapText="1"/>
    </xf>
    <xf numFmtId="0" fontId="115" fillId="0" borderId="60" xfId="2758" applyFont="1" applyFill="1" applyBorder="1" applyAlignment="1">
      <alignment horizontal="center" vertical="center" wrapText="1"/>
    </xf>
    <xf numFmtId="0" fontId="126" fillId="0" borderId="60" xfId="2758" applyFont="1" applyFill="1" applyBorder="1" applyAlignment="1">
      <alignment horizontal="center" vertical="center" wrapText="1"/>
    </xf>
    <xf numFmtId="1" fontId="126" fillId="0" borderId="21" xfId="2758" applyNumberFormat="1" applyFont="1" applyFill="1" applyBorder="1" applyAlignment="1">
      <alignment horizontal="center" vertical="center" wrapText="1"/>
    </xf>
    <xf numFmtId="0" fontId="115" fillId="0" borderId="60" xfId="2758" applyFont="1" applyFill="1" applyBorder="1" applyAlignment="1">
      <alignment horizontal="left" vertical="center" wrapText="1"/>
    </xf>
    <xf numFmtId="0" fontId="288" fillId="0" borderId="0" xfId="2758" applyFont="1"/>
    <xf numFmtId="3" fontId="288" fillId="0" borderId="0" xfId="2758" applyNumberFormat="1" applyFont="1"/>
    <xf numFmtId="0" fontId="115" fillId="0" borderId="59" xfId="2758" applyFont="1" applyFill="1" applyBorder="1" applyAlignment="1">
      <alignment horizontal="center" vertical="center" wrapText="1"/>
    </xf>
    <xf numFmtId="0" fontId="126" fillId="0" borderId="59" xfId="2758" applyFont="1" applyFill="1" applyBorder="1" applyAlignment="1">
      <alignment horizontal="center" vertical="center" wrapText="1"/>
    </xf>
    <xf numFmtId="0" fontId="115" fillId="0" borderId="0" xfId="2758" applyFont="1" applyFill="1" applyBorder="1" applyAlignment="1">
      <alignment horizontal="left" vertical="center" wrapText="1"/>
    </xf>
    <xf numFmtId="0" fontId="115" fillId="0" borderId="55" xfId="2758" applyFont="1" applyFill="1" applyBorder="1" applyAlignment="1">
      <alignment horizontal="center" vertical="center" wrapText="1"/>
    </xf>
    <xf numFmtId="0" fontId="126" fillId="0" borderId="55" xfId="2758" applyFont="1" applyFill="1" applyBorder="1" applyAlignment="1">
      <alignment horizontal="center" vertical="center" wrapText="1"/>
    </xf>
    <xf numFmtId="1" fontId="126" fillId="0" borderId="61" xfId="2758" applyNumberFormat="1" applyFont="1" applyFill="1" applyBorder="1" applyAlignment="1">
      <alignment horizontal="center" vertical="center" wrapText="1"/>
    </xf>
    <xf numFmtId="0" fontId="290" fillId="0" borderId="0" xfId="2758" applyFont="1" applyAlignment="1">
      <alignment vertical="center"/>
    </xf>
    <xf numFmtId="209" fontId="291" fillId="0" borderId="0" xfId="2758" applyNumberFormat="1" applyFont="1" applyAlignment="1">
      <alignment vertical="center"/>
    </xf>
    <xf numFmtId="1" fontId="2" fillId="0" borderId="0" xfId="2758" applyNumberFormat="1"/>
    <xf numFmtId="0" fontId="123" fillId="2" borderId="63" xfId="2758" applyFont="1" applyFill="1" applyBorder="1" applyAlignment="1">
      <alignment horizontal="justify" vertical="center" wrapText="1"/>
    </xf>
    <xf numFmtId="0" fontId="15" fillId="0" borderId="22" xfId="2758" applyFont="1" applyBorder="1" applyAlignment="1">
      <alignment horizontal="justify" vertical="center" wrapText="1"/>
    </xf>
    <xf numFmtId="0" fontId="121" fillId="0" borderId="22" xfId="2758" applyFont="1" applyBorder="1" applyAlignment="1">
      <alignment horizontal="center" vertical="center" wrapText="1"/>
    </xf>
    <xf numFmtId="0" fontId="15" fillId="0" borderId="0" xfId="2758" applyFont="1" applyBorder="1" applyAlignment="1">
      <alignment horizontal="center" vertical="center" wrapText="1"/>
    </xf>
    <xf numFmtId="0" fontId="115" fillId="0" borderId="0" xfId="2758" applyFont="1" applyAlignment="1">
      <alignment horizontal="justify" vertical="center" wrapText="1"/>
    </xf>
    <xf numFmtId="0" fontId="115" fillId="0" borderId="0" xfId="2758" applyFont="1" applyAlignment="1">
      <alignment horizontal="center" vertical="center" wrapText="1"/>
    </xf>
    <xf numFmtId="0" fontId="115" fillId="0" borderId="22" xfId="2758" applyFont="1" applyBorder="1" applyAlignment="1">
      <alignment horizontal="justify" vertical="center" wrapText="1"/>
    </xf>
    <xf numFmtId="0" fontId="115" fillId="0" borderId="22" xfId="2758" applyFont="1" applyBorder="1" applyAlignment="1">
      <alignment horizontal="center" vertical="center" wrapText="1"/>
    </xf>
    <xf numFmtId="0" fontId="121" fillId="0" borderId="0" xfId="2758" applyFont="1" applyBorder="1" applyAlignment="1">
      <alignment horizontal="justify" vertical="center" wrapText="1"/>
    </xf>
    <xf numFmtId="0" fontId="121" fillId="0" borderId="0" xfId="2758" applyFont="1" applyBorder="1" applyAlignment="1">
      <alignment horizontal="center" vertical="center" wrapText="1"/>
    </xf>
    <xf numFmtId="0" fontId="15" fillId="0" borderId="22" xfId="2758" applyFont="1" applyBorder="1" applyAlignment="1">
      <alignment horizontal="center" vertical="center" wrapText="1"/>
    </xf>
    <xf numFmtId="210" fontId="293" fillId="2" borderId="74" xfId="2758" applyNumberFormat="1" applyFont="1" applyFill="1" applyBorder="1" applyAlignment="1">
      <alignment horizontal="center" vertical="center" wrapText="1"/>
    </xf>
    <xf numFmtId="210" fontId="293" fillId="2" borderId="72" xfId="2758" applyNumberFormat="1" applyFont="1" applyFill="1" applyBorder="1" applyAlignment="1">
      <alignment horizontal="center" vertical="center" wrapText="1"/>
    </xf>
    <xf numFmtId="210" fontId="293" fillId="2" borderId="75" xfId="2758" applyNumberFormat="1" applyFont="1" applyFill="1" applyBorder="1" applyAlignment="1">
      <alignment horizontal="center" vertical="center" wrapText="1"/>
    </xf>
    <xf numFmtId="210" fontId="294" fillId="2" borderId="76" xfId="2758" applyNumberFormat="1" applyFont="1" applyFill="1" applyBorder="1" applyAlignment="1">
      <alignment horizontal="center"/>
    </xf>
    <xf numFmtId="210" fontId="294" fillId="2" borderId="77" xfId="2758" applyNumberFormat="1" applyFont="1" applyFill="1" applyBorder="1" applyAlignment="1">
      <alignment horizontal="center"/>
    </xf>
    <xf numFmtId="210" fontId="294" fillId="2" borderId="78" xfId="2758" applyNumberFormat="1" applyFont="1" applyFill="1" applyBorder="1" applyAlignment="1">
      <alignment horizontal="center"/>
    </xf>
    <xf numFmtId="210" fontId="294" fillId="2" borderId="79" xfId="2758" applyNumberFormat="1" applyFont="1" applyFill="1" applyBorder="1" applyAlignment="1">
      <alignment horizontal="center"/>
    </xf>
    <xf numFmtId="0" fontId="2" fillId="0" borderId="0" xfId="2758" applyAlignment="1">
      <alignment horizontal="center"/>
    </xf>
    <xf numFmtId="210" fontId="294" fillId="2" borderId="66" xfId="2758" applyNumberFormat="1" applyFont="1" applyFill="1" applyBorder="1" applyAlignment="1">
      <alignment horizontal="center" vertical="center" wrapText="1"/>
    </xf>
    <xf numFmtId="210" fontId="294" fillId="2" borderId="0" xfId="2758" applyNumberFormat="1" applyFont="1" applyFill="1" applyBorder="1" applyAlignment="1">
      <alignment horizontal="center" vertical="center"/>
    </xf>
    <xf numFmtId="210" fontId="294" fillId="2" borderId="68" xfId="2758" applyNumberFormat="1" applyFont="1" applyFill="1" applyBorder="1" applyAlignment="1">
      <alignment horizontal="center" vertical="center"/>
    </xf>
    <xf numFmtId="210" fontId="294" fillId="2" borderId="0" xfId="2758" applyNumberFormat="1" applyFont="1" applyFill="1" applyBorder="1" applyAlignment="1">
      <alignment horizontal="center" vertical="center" wrapText="1"/>
    </xf>
    <xf numFmtId="210" fontId="294" fillId="2" borderId="68" xfId="2758" applyNumberFormat="1" applyFont="1" applyFill="1" applyBorder="1" applyAlignment="1">
      <alignment horizontal="center" vertical="center" wrapText="1"/>
    </xf>
    <xf numFmtId="210" fontId="294" fillId="2" borderId="69" xfId="2758" applyNumberFormat="1" applyFont="1" applyFill="1" applyBorder="1" applyAlignment="1">
      <alignment horizontal="center" vertical="center" wrapText="1"/>
    </xf>
    <xf numFmtId="210" fontId="294" fillId="2" borderId="0" xfId="2758" quotePrefix="1" applyNumberFormat="1" applyFont="1" applyFill="1" applyBorder="1" applyAlignment="1">
      <alignment horizontal="center" vertical="center" wrapText="1"/>
    </xf>
    <xf numFmtId="211" fontId="295" fillId="0" borderId="51" xfId="2758" applyNumberFormat="1" applyFont="1" applyFill="1" applyBorder="1"/>
    <xf numFmtId="212" fontId="295" fillId="0" borderId="56" xfId="2758" applyNumberFormat="1" applyFont="1" applyFill="1" applyBorder="1"/>
    <xf numFmtId="212" fontId="295" fillId="0" borderId="52" xfId="2758" applyNumberFormat="1" applyFont="1" applyFill="1" applyBorder="1"/>
    <xf numFmtId="212" fontId="295" fillId="0" borderId="51" xfId="2758" applyNumberFormat="1" applyFont="1" applyFill="1" applyBorder="1"/>
    <xf numFmtId="212" fontId="296" fillId="0" borderId="51" xfId="2758" applyNumberFormat="1" applyFont="1" applyFill="1" applyBorder="1"/>
    <xf numFmtId="212" fontId="283" fillId="0" borderId="56" xfId="2758" applyNumberFormat="1" applyFont="1" applyFill="1" applyBorder="1"/>
    <xf numFmtId="212" fontId="283" fillId="0" borderId="52" xfId="2758" applyNumberFormat="1" applyFont="1" applyFill="1" applyBorder="1"/>
    <xf numFmtId="211" fontId="295" fillId="0" borderId="57" xfId="2758" applyNumberFormat="1" applyFont="1" applyFill="1" applyBorder="1"/>
    <xf numFmtId="212" fontId="295" fillId="0" borderId="58" xfId="2758" applyNumberFormat="1" applyFont="1" applyFill="1" applyBorder="1"/>
    <xf numFmtId="212" fontId="295" fillId="0" borderId="53" xfId="2758" applyNumberFormat="1" applyFont="1" applyFill="1" applyBorder="1"/>
    <xf numFmtId="212" fontId="295" fillId="0" borderId="57" xfId="2758" applyNumberFormat="1" applyFont="1" applyFill="1" applyBorder="1"/>
    <xf numFmtId="212" fontId="296" fillId="0" borderId="57" xfId="2758" applyNumberFormat="1" applyFont="1" applyFill="1" applyBorder="1"/>
    <xf numFmtId="212" fontId="283" fillId="0" borderId="58" xfId="2758" applyNumberFormat="1" applyFont="1" applyFill="1" applyBorder="1"/>
    <xf numFmtId="212" fontId="283" fillId="0" borderId="53" xfId="2758" applyNumberFormat="1" applyFont="1" applyFill="1" applyBorder="1"/>
    <xf numFmtId="0" fontId="2" fillId="0" borderId="56" xfId="2758" applyBorder="1"/>
    <xf numFmtId="0" fontId="285" fillId="2" borderId="0" xfId="2758" applyFont="1" applyFill="1"/>
    <xf numFmtId="0" fontId="285" fillId="2" borderId="0" xfId="2758" applyFont="1" applyFill="1" applyAlignment="1">
      <alignment horizontal="right"/>
    </xf>
    <xf numFmtId="3" fontId="283" fillId="0" borderId="0" xfId="2758" applyNumberFormat="1" applyFont="1"/>
    <xf numFmtId="1" fontId="283" fillId="0" borderId="0" xfId="2758" applyNumberFormat="1" applyFont="1"/>
    <xf numFmtId="1" fontId="286" fillId="0" borderId="22" xfId="2758" applyNumberFormat="1" applyFont="1" applyBorder="1"/>
    <xf numFmtId="0" fontId="2" fillId="0" borderId="0" xfId="2759"/>
    <xf numFmtId="0" fontId="124" fillId="2" borderId="0" xfId="2759" applyFont="1" applyFill="1" applyAlignment="1">
      <alignment horizontal="center" vertical="center"/>
    </xf>
    <xf numFmtId="0" fontId="124" fillId="2" borderId="0" xfId="2759" applyFont="1" applyFill="1" applyAlignment="1">
      <alignment horizontal="right" vertical="center"/>
    </xf>
    <xf numFmtId="0" fontId="115" fillId="0" borderId="0" xfId="2759" applyFont="1"/>
    <xf numFmtId="3" fontId="115" fillId="0" borderId="0" xfId="2759" applyNumberFormat="1" applyFont="1" applyAlignment="1">
      <alignment vertical="center"/>
    </xf>
    <xf numFmtId="3" fontId="115" fillId="0" borderId="0" xfId="2759" applyNumberFormat="1" applyFont="1" applyFill="1" applyAlignment="1">
      <alignment vertical="center"/>
    </xf>
    <xf numFmtId="207" fontId="115" fillId="0" borderId="0" xfId="2760" applyNumberFormat="1" applyFont="1" applyAlignment="1">
      <alignment horizontal="right" vertical="center"/>
    </xf>
    <xf numFmtId="207" fontId="115" fillId="0" borderId="0" xfId="2760" applyNumberFormat="1" applyFont="1" applyAlignment="1">
      <alignment vertical="center"/>
    </xf>
    <xf numFmtId="3" fontId="115" fillId="0" borderId="0" xfId="2758" applyNumberFormat="1" applyFont="1" applyFill="1" applyBorder="1" applyAlignment="1">
      <alignment horizontal="right" vertical="center"/>
    </xf>
    <xf numFmtId="0" fontId="115" fillId="0" borderId="22" xfId="2759" applyFont="1" applyBorder="1"/>
    <xf numFmtId="2" fontId="115" fillId="0" borderId="22" xfId="2759" applyNumberFormat="1" applyFont="1" applyBorder="1" applyAlignment="1">
      <alignment vertical="center"/>
    </xf>
    <xf numFmtId="0" fontId="119" fillId="0" borderId="0" xfId="2759" applyFont="1" applyAlignment="1">
      <alignment vertical="center"/>
    </xf>
    <xf numFmtId="0" fontId="119" fillId="0" borderId="23" xfId="2759" applyFont="1" applyBorder="1" applyAlignment="1"/>
    <xf numFmtId="3" fontId="115" fillId="0" borderId="0" xfId="2759" applyNumberFormat="1" applyFont="1"/>
    <xf numFmtId="0" fontId="0" fillId="0" borderId="0" xfId="2759" applyFont="1"/>
    <xf numFmtId="0" fontId="109" fillId="0" borderId="0" xfId="2759" applyFont="1" applyBorder="1" applyAlignment="1">
      <alignment horizontal="left" vertical="center"/>
    </xf>
    <xf numFmtId="0" fontId="124" fillId="2" borderId="55" xfId="2759" applyFont="1" applyFill="1" applyBorder="1" applyAlignment="1">
      <alignment vertical="center"/>
    </xf>
    <xf numFmtId="49" fontId="124" fillId="2" borderId="55" xfId="2759" applyNumberFormat="1" applyFont="1" applyFill="1" applyBorder="1" applyAlignment="1">
      <alignment horizontal="center" vertical="center" wrapText="1"/>
    </xf>
    <xf numFmtId="49" fontId="124" fillId="2" borderId="23" xfId="2759" applyNumberFormat="1" applyFont="1" applyFill="1" applyBorder="1" applyAlignment="1">
      <alignment horizontal="center" vertical="center" wrapText="1"/>
    </xf>
    <xf numFmtId="49" fontId="124" fillId="2" borderId="50" xfId="2759" applyNumberFormat="1" applyFont="1" applyFill="1" applyBorder="1" applyAlignment="1">
      <alignment horizontal="center" vertical="center" wrapText="1"/>
    </xf>
    <xf numFmtId="49" fontId="124" fillId="2" borderId="0" xfId="2759" applyNumberFormat="1" applyFont="1" applyFill="1" applyBorder="1" applyAlignment="1">
      <alignment horizontal="center" vertical="center" wrapText="1"/>
    </xf>
    <xf numFmtId="0" fontId="15" fillId="0" borderId="0" xfId="2759" applyFont="1"/>
    <xf numFmtId="0" fontId="121" fillId="0" borderId="0" xfId="2759" applyFont="1"/>
    <xf numFmtId="3" fontId="121" fillId="0" borderId="0" xfId="2759" applyNumberFormat="1" applyFont="1"/>
    <xf numFmtId="0" fontId="121" fillId="0" borderId="22" xfId="2759" applyFont="1" applyBorder="1"/>
    <xf numFmtId="3" fontId="121" fillId="0" borderId="22" xfId="2759" applyNumberFormat="1" applyFont="1" applyBorder="1"/>
    <xf numFmtId="3" fontId="2" fillId="0" borderId="0" xfId="2758" applyNumberFormat="1"/>
    <xf numFmtId="0" fontId="115" fillId="0" borderId="21" xfId="2759" applyFont="1" applyBorder="1"/>
    <xf numFmtId="3" fontId="115" fillId="0" borderId="21" xfId="2759" applyNumberFormat="1" applyFont="1" applyBorder="1"/>
    <xf numFmtId="0" fontId="287" fillId="0" borderId="0" xfId="2759" applyFont="1" applyBorder="1" applyAlignment="1">
      <alignment horizontal="right"/>
    </xf>
    <xf numFmtId="3" fontId="165" fillId="0" borderId="0" xfId="2759" applyNumberFormat="1" applyFont="1" applyBorder="1" applyAlignment="1">
      <alignment horizontal="right"/>
    </xf>
    <xf numFmtId="0" fontId="119" fillId="0" borderId="0" xfId="2759" applyFont="1" applyBorder="1"/>
    <xf numFmtId="0" fontId="115" fillId="0" borderId="0" xfId="2759" applyFont="1" applyAlignment="1">
      <alignment vertical="center"/>
    </xf>
    <xf numFmtId="208" fontId="2" fillId="0" borderId="0" xfId="2759" applyNumberFormat="1"/>
    <xf numFmtId="0" fontId="115" fillId="0" borderId="0" xfId="2759" applyFont="1" applyBorder="1" applyAlignment="1">
      <alignment vertical="center"/>
    </xf>
    <xf numFmtId="3" fontId="115" fillId="0" borderId="0" xfId="2759" applyNumberFormat="1" applyFont="1" applyFill="1" applyBorder="1" applyAlignment="1">
      <alignment vertical="center"/>
    </xf>
    <xf numFmtId="0" fontId="115" fillId="0" borderId="22" xfId="2759" applyFont="1" applyBorder="1" applyAlignment="1">
      <alignment vertical="center"/>
    </xf>
    <xf numFmtId="3" fontId="115" fillId="0" borderId="22" xfId="2759" applyNumberFormat="1" applyFont="1" applyFill="1" applyBorder="1" applyAlignment="1">
      <alignment vertical="center"/>
    </xf>
    <xf numFmtId="3" fontId="2" fillId="0" borderId="0" xfId="2759" applyNumberFormat="1"/>
    <xf numFmtId="3" fontId="121" fillId="0" borderId="0" xfId="2759" applyNumberFormat="1" applyFont="1" applyAlignment="1">
      <alignment vertical="center"/>
    </xf>
    <xf numFmtId="3" fontId="115" fillId="0" borderId="0" xfId="2759" applyNumberFormat="1" applyFont="1" applyBorder="1" applyAlignment="1">
      <alignment vertical="center"/>
    </xf>
    <xf numFmtId="3" fontId="115" fillId="0" borderId="22" xfId="2759" applyNumberFormat="1" applyFont="1" applyBorder="1" applyAlignment="1">
      <alignment vertical="center"/>
    </xf>
    <xf numFmtId="0" fontId="121" fillId="0" borderId="22" xfId="2759" applyFont="1" applyBorder="1" applyAlignment="1">
      <alignment vertical="center"/>
    </xf>
    <xf numFmtId="3" fontId="121" fillId="0" borderId="22" xfId="2759" applyNumberFormat="1" applyFont="1" applyBorder="1" applyAlignment="1">
      <alignment vertical="center"/>
    </xf>
    <xf numFmtId="203" fontId="115" fillId="0" borderId="0" xfId="2759" applyNumberFormat="1" applyFont="1" applyAlignment="1">
      <alignment vertical="center"/>
    </xf>
    <xf numFmtId="0" fontId="109" fillId="0" borderId="0" xfId="2758" applyFont="1" applyAlignment="1">
      <alignment horizontal="left" vertical="center"/>
    </xf>
    <xf numFmtId="0" fontId="260" fillId="2" borderId="0" xfId="2758" applyFont="1" applyFill="1"/>
    <xf numFmtId="0" fontId="120" fillId="2" borderId="0" xfId="2758" applyFont="1" applyFill="1" applyAlignment="1">
      <alignment horizontal="right" vertical="center"/>
    </xf>
    <xf numFmtId="0" fontId="120" fillId="0" borderId="0" xfId="2758" applyFont="1" applyFill="1" applyBorder="1" applyAlignment="1">
      <alignment horizontal="right" vertical="center"/>
    </xf>
    <xf numFmtId="3" fontId="121" fillId="0" borderId="22" xfId="2758" applyNumberFormat="1" applyFont="1" applyBorder="1" applyAlignment="1">
      <alignment vertical="center"/>
    </xf>
    <xf numFmtId="3" fontId="121" fillId="0" borderId="0" xfId="2758" applyNumberFormat="1" applyFont="1" applyBorder="1" applyAlignment="1">
      <alignment vertical="center"/>
    </xf>
    <xf numFmtId="3" fontId="119" fillId="0" borderId="0" xfId="2758" applyNumberFormat="1" applyFont="1"/>
    <xf numFmtId="3" fontId="119" fillId="0" borderId="0" xfId="2758" applyNumberFormat="1" applyFont="1" applyBorder="1" applyAlignment="1">
      <alignment horizontal="right" vertical="center"/>
    </xf>
    <xf numFmtId="0" fontId="115" fillId="0" borderId="21" xfId="2758" applyFont="1" applyBorder="1"/>
    <xf numFmtId="0" fontId="2" fillId="0" borderId="21" xfId="2758" applyBorder="1"/>
    <xf numFmtId="167" fontId="115" fillId="0" borderId="21" xfId="2758" applyNumberFormat="1" applyFont="1" applyBorder="1" applyAlignment="1">
      <alignment vertical="center"/>
    </xf>
    <xf numFmtId="3" fontId="287" fillId="0" borderId="0" xfId="2758" applyNumberFormat="1" applyFont="1"/>
    <xf numFmtId="0" fontId="2" fillId="2" borderId="0" xfId="2758" applyFill="1" applyAlignment="1">
      <alignment vertical="center"/>
    </xf>
    <xf numFmtId="1" fontId="115" fillId="0" borderId="0" xfId="2758" applyNumberFormat="1" applyFont="1" applyAlignment="1">
      <alignment vertical="center"/>
    </xf>
    <xf numFmtId="0" fontId="286" fillId="0" borderId="22" xfId="2758" applyFont="1" applyBorder="1" applyAlignment="1">
      <alignment vertical="center"/>
    </xf>
    <xf numFmtId="3" fontId="286" fillId="0" borderId="22" xfId="2758" applyNumberFormat="1" applyFont="1" applyBorder="1" applyAlignment="1">
      <alignment vertical="center"/>
    </xf>
    <xf numFmtId="0" fontId="121" fillId="0" borderId="0" xfId="2758" applyFont="1" applyFill="1" applyBorder="1" applyAlignment="1">
      <alignment vertical="center"/>
    </xf>
    <xf numFmtId="0" fontId="113" fillId="2" borderId="0" xfId="2761" applyFont="1" applyFill="1" applyBorder="1" applyAlignment="1">
      <alignment horizontal="left" vertical="center"/>
    </xf>
    <xf numFmtId="0" fontId="113" fillId="2" borderId="0" xfId="2761" applyFont="1" applyFill="1" applyBorder="1" applyAlignment="1">
      <alignment horizontal="center" vertical="center"/>
    </xf>
    <xf numFmtId="0" fontId="113" fillId="2" borderId="80" xfId="2761" applyFont="1" applyFill="1" applyBorder="1" applyAlignment="1">
      <alignment horizontal="center" vertical="center"/>
    </xf>
    <xf numFmtId="0" fontId="121" fillId="0" borderId="0" xfId="2758" applyFont="1" applyAlignment="1">
      <alignment horizontal="left" vertical="center"/>
    </xf>
    <xf numFmtId="0" fontId="121" fillId="0" borderId="0" xfId="2758" applyFont="1" applyAlignment="1">
      <alignment horizontal="center" vertical="center"/>
    </xf>
    <xf numFmtId="3" fontId="121" fillId="0" borderId="0" xfId="2758" applyNumberFormat="1" applyFont="1" applyAlignment="1">
      <alignment horizontal="center" vertical="center"/>
    </xf>
    <xf numFmtId="3" fontId="121" fillId="0" borderId="52" xfId="2758" applyNumberFormat="1" applyFont="1" applyBorder="1" applyAlignment="1">
      <alignment horizontal="center" vertical="center"/>
    </xf>
    <xf numFmtId="4" fontId="121" fillId="0" borderId="0" xfId="2758" applyNumberFormat="1" applyFont="1" applyAlignment="1">
      <alignment horizontal="center" vertical="center"/>
    </xf>
    <xf numFmtId="0" fontId="115" fillId="0" borderId="0" xfId="2758" applyFont="1" applyAlignment="1">
      <alignment horizontal="center" vertical="center"/>
    </xf>
    <xf numFmtId="3" fontId="115" fillId="0" borderId="0" xfId="2758" applyNumberFormat="1" applyFont="1" applyAlignment="1">
      <alignment horizontal="center" vertical="center"/>
    </xf>
    <xf numFmtId="3" fontId="115" fillId="0" borderId="52" xfId="2758" applyNumberFormat="1" applyFont="1" applyBorder="1" applyAlignment="1">
      <alignment horizontal="center" vertical="center"/>
    </xf>
    <xf numFmtId="4" fontId="115" fillId="0" borderId="0" xfId="2758" applyNumberFormat="1" applyFont="1" applyAlignment="1">
      <alignment horizontal="center" vertical="center"/>
    </xf>
    <xf numFmtId="0" fontId="121" fillId="0" borderId="22" xfId="2758" applyFont="1" applyBorder="1" applyAlignment="1">
      <alignment horizontal="left" vertical="center"/>
    </xf>
    <xf numFmtId="0" fontId="121" fillId="0" borderId="22" xfId="2758" applyFont="1" applyBorder="1" applyAlignment="1">
      <alignment horizontal="center" vertical="center"/>
    </xf>
    <xf numFmtId="3" fontId="121" fillId="0" borderId="22" xfId="2758" applyNumberFormat="1" applyFont="1" applyBorder="1" applyAlignment="1">
      <alignment horizontal="center" vertical="center"/>
    </xf>
    <xf numFmtId="3" fontId="121" fillId="0" borderId="53" xfId="2758" applyNumberFormat="1" applyFont="1" applyBorder="1" applyAlignment="1">
      <alignment horizontal="center" vertical="center"/>
    </xf>
    <xf numFmtId="4" fontId="121" fillId="0" borderId="22" xfId="2758" applyNumberFormat="1" applyFont="1" applyBorder="1" applyAlignment="1">
      <alignment horizontal="center" vertical="center"/>
    </xf>
    <xf numFmtId="0" fontId="115" fillId="0" borderId="0" xfId="2758" applyFont="1" applyAlignment="1">
      <alignment horizontal="left" vertical="center"/>
    </xf>
    <xf numFmtId="0" fontId="289" fillId="0" borderId="23" xfId="2758" applyFont="1" applyBorder="1" applyAlignment="1">
      <alignment horizontal="right" vertical="center"/>
    </xf>
    <xf numFmtId="0" fontId="120" fillId="2" borderId="0" xfId="2758" applyFont="1" applyFill="1"/>
    <xf numFmtId="0" fontId="120" fillId="2" borderId="0" xfId="2758" applyFont="1" applyFill="1" applyAlignment="1">
      <alignment horizontal="center" vertical="center"/>
    </xf>
    <xf numFmtId="0" fontId="16" fillId="0" borderId="0" xfId="2758" applyFont="1" applyFill="1" applyBorder="1"/>
    <xf numFmtId="0" fontId="115" fillId="0" borderId="0" xfId="2758" applyFont="1" applyFill="1"/>
    <xf numFmtId="3" fontId="115" fillId="0" borderId="0" xfId="2758" applyNumberFormat="1" applyFont="1" applyFill="1" applyAlignment="1">
      <alignment horizontal="center" vertical="center"/>
    </xf>
    <xf numFmtId="0" fontId="115" fillId="0" borderId="0" xfId="2758" applyFont="1" applyFill="1" applyBorder="1"/>
    <xf numFmtId="0" fontId="115" fillId="0" borderId="22" xfId="2758" applyFont="1" applyBorder="1"/>
    <xf numFmtId="0" fontId="115" fillId="0" borderId="22" xfId="2758" applyFont="1" applyFill="1" applyBorder="1"/>
    <xf numFmtId="0" fontId="121" fillId="0" borderId="0" xfId="2758" applyFont="1" applyFill="1" applyBorder="1"/>
    <xf numFmtId="2" fontId="121" fillId="0" borderId="0" xfId="2758" applyNumberFormat="1" applyFont="1" applyFill="1"/>
    <xf numFmtId="0" fontId="113" fillId="2" borderId="0" xfId="2761" applyFont="1" applyFill="1" applyBorder="1" applyAlignment="1">
      <alignment horizontal="right" vertical="center"/>
    </xf>
    <xf numFmtId="0" fontId="120" fillId="2" borderId="0" xfId="2761" applyFont="1" applyFill="1" applyBorder="1" applyAlignment="1">
      <alignment horizontal="right" vertical="center"/>
    </xf>
    <xf numFmtId="0" fontId="120" fillId="2" borderId="0" xfId="2761" applyFont="1" applyFill="1" applyBorder="1" applyAlignment="1">
      <alignment horizontal="center" vertical="center"/>
    </xf>
    <xf numFmtId="2" fontId="115" fillId="0" borderId="0" xfId="2758" applyNumberFormat="1" applyFont="1" applyAlignment="1">
      <alignment horizontal="center" vertical="center"/>
    </xf>
    <xf numFmtId="0" fontId="121" fillId="0" borderId="22" xfId="2758" applyFont="1" applyFill="1" applyBorder="1" applyAlignment="1">
      <alignment vertical="center"/>
    </xf>
    <xf numFmtId="0" fontId="300" fillId="0" borderId="22" xfId="2758" applyFont="1" applyFill="1" applyBorder="1" applyAlignment="1">
      <alignment vertical="center"/>
    </xf>
    <xf numFmtId="2" fontId="121" fillId="0" borderId="22" xfId="2758" applyNumberFormat="1" applyFont="1" applyFill="1" applyBorder="1" applyAlignment="1">
      <alignment horizontal="center" vertical="center"/>
    </xf>
    <xf numFmtId="0" fontId="289" fillId="0" borderId="0" xfId="2758" applyFont="1" applyAlignment="1">
      <alignment vertical="center"/>
    </xf>
    <xf numFmtId="0" fontId="2" fillId="0" borderId="0" xfId="2758" applyAlignment="1">
      <alignment vertical="center"/>
    </xf>
    <xf numFmtId="0" fontId="301" fillId="2" borderId="0" xfId="2758" applyFont="1" applyFill="1" applyAlignment="1">
      <alignment horizontal="right" vertical="center"/>
    </xf>
    <xf numFmtId="0" fontId="302" fillId="2" borderId="0" xfId="2758" applyFont="1" applyFill="1" applyAlignment="1">
      <alignment horizontal="center" vertical="center"/>
    </xf>
    <xf numFmtId="0" fontId="303" fillId="0" borderId="0" xfId="2758" applyFont="1" applyAlignment="1">
      <alignment horizontal="justify" vertical="center"/>
    </xf>
    <xf numFmtId="4" fontId="303" fillId="0" borderId="0" xfId="2758" applyNumberFormat="1" applyFont="1" applyAlignment="1">
      <alignment horizontal="center" vertical="center"/>
    </xf>
    <xf numFmtId="0" fontId="304" fillId="0" borderId="0" xfId="2758" applyFont="1" applyAlignment="1">
      <alignment horizontal="justify" vertical="center"/>
    </xf>
    <xf numFmtId="2" fontId="304" fillId="0" borderId="0" xfId="2758" applyNumberFormat="1" applyFont="1" applyFill="1" applyAlignment="1">
      <alignment horizontal="center" vertical="center"/>
    </xf>
    <xf numFmtId="4" fontId="304" fillId="0" borderId="0" xfId="2758" applyNumberFormat="1" applyFont="1" applyFill="1" applyAlignment="1">
      <alignment horizontal="center" vertical="center"/>
    </xf>
    <xf numFmtId="0" fontId="304" fillId="0" borderId="22" xfId="2758" applyFont="1" applyBorder="1" applyAlignment="1">
      <alignment horizontal="justify" vertical="center"/>
    </xf>
    <xf numFmtId="4" fontId="304" fillId="0" borderId="22" xfId="2758" applyNumberFormat="1" applyFont="1" applyFill="1" applyBorder="1" applyAlignment="1">
      <alignment horizontal="center" vertical="center"/>
    </xf>
    <xf numFmtId="0" fontId="303" fillId="0" borderId="21" xfId="2758" applyFont="1" applyBorder="1" applyAlignment="1">
      <alignment horizontal="justify" vertical="center"/>
    </xf>
    <xf numFmtId="4" fontId="303" fillId="0" borderId="21" xfId="2758" applyNumberFormat="1" applyFont="1" applyFill="1" applyBorder="1" applyAlignment="1">
      <alignment horizontal="center" vertical="center"/>
    </xf>
    <xf numFmtId="0" fontId="305" fillId="0" borderId="0" xfId="2758" applyFont="1"/>
    <xf numFmtId="0" fontId="305" fillId="0" borderId="0" xfId="2758" applyFont="1" applyAlignment="1">
      <alignment vertical="center"/>
    </xf>
    <xf numFmtId="4" fontId="2" fillId="0" borderId="0" xfId="2758" applyNumberFormat="1"/>
    <xf numFmtId="0" fontId="121" fillId="0" borderId="0" xfId="2758" applyFont="1" applyBorder="1" applyAlignment="1">
      <alignment horizontal="left" vertical="center"/>
    </xf>
    <xf numFmtId="3" fontId="121" fillId="0" borderId="56" xfId="2758" applyNumberFormat="1" applyFont="1" applyBorder="1" applyAlignment="1">
      <alignment vertical="center"/>
    </xf>
    <xf numFmtId="0" fontId="115" fillId="0" borderId="0" xfId="2758" applyFont="1" applyBorder="1" applyAlignment="1">
      <alignment horizontal="left" vertical="center" indent="1"/>
    </xf>
    <xf numFmtId="3" fontId="115" fillId="0" borderId="0" xfId="2758" applyNumberFormat="1" applyFont="1" applyBorder="1" applyAlignment="1">
      <alignment vertical="center"/>
    </xf>
    <xf numFmtId="3" fontId="115" fillId="0" borderId="56" xfId="2758" applyNumberFormat="1" applyFont="1" applyBorder="1" applyAlignment="1">
      <alignment vertical="center"/>
    </xf>
    <xf numFmtId="0" fontId="115" fillId="0" borderId="0" xfId="2758" applyFont="1" applyFill="1" applyBorder="1" applyAlignment="1">
      <alignment horizontal="left" vertical="center" indent="1"/>
    </xf>
    <xf numFmtId="3" fontId="121" fillId="0" borderId="0" xfId="2758" applyNumberFormat="1" applyFont="1" applyFill="1" applyBorder="1" applyAlignment="1">
      <alignment vertical="center"/>
    </xf>
    <xf numFmtId="3" fontId="115" fillId="0" borderId="56" xfId="2758" applyNumberFormat="1" applyFont="1" applyBorder="1" applyAlignment="1">
      <alignment horizontal="right" vertical="center"/>
    </xf>
    <xf numFmtId="3" fontId="121" fillId="0" borderId="22" xfId="2758" applyNumberFormat="1" applyFont="1" applyFill="1" applyBorder="1" applyAlignment="1">
      <alignment vertical="center"/>
    </xf>
    <xf numFmtId="3" fontId="121" fillId="0" borderId="58" xfId="2758" applyNumberFormat="1" applyFont="1" applyBorder="1" applyAlignment="1">
      <alignment vertical="center"/>
    </xf>
    <xf numFmtId="3" fontId="121" fillId="0" borderId="58" xfId="2758" applyNumberFormat="1" applyFont="1" applyBorder="1" applyAlignment="1">
      <alignment horizontal="right" vertical="center"/>
    </xf>
    <xf numFmtId="167" fontId="115" fillId="0" borderId="0" xfId="2758" applyNumberFormat="1" applyFont="1"/>
    <xf numFmtId="0" fontId="115" fillId="0" borderId="0" xfId="2758" applyFont="1" applyFill="1" applyBorder="1" applyAlignment="1">
      <alignment horizontal="left" vertical="center"/>
    </xf>
    <xf numFmtId="167" fontId="121" fillId="0" borderId="0" xfId="2758" applyNumberFormat="1" applyFont="1" applyBorder="1" applyAlignment="1">
      <alignment vertical="center"/>
    </xf>
    <xf numFmtId="167" fontId="121" fillId="0" borderId="56" xfId="2758" applyNumberFormat="1" applyFont="1" applyBorder="1" applyAlignment="1">
      <alignment vertical="center"/>
    </xf>
    <xf numFmtId="167" fontId="115" fillId="0" borderId="0" xfId="2758" applyNumberFormat="1" applyFont="1" applyBorder="1" applyAlignment="1">
      <alignment vertical="center"/>
    </xf>
    <xf numFmtId="167" fontId="115" fillId="0" borderId="56" xfId="2758" applyNumberFormat="1" applyFont="1" applyBorder="1" applyAlignment="1">
      <alignment vertical="center"/>
    </xf>
    <xf numFmtId="167" fontId="115" fillId="0" borderId="0" xfId="2758" applyNumberFormat="1" applyFont="1" applyBorder="1" applyAlignment="1">
      <alignment horizontal="right" vertical="center"/>
    </xf>
    <xf numFmtId="167" fontId="115" fillId="0" borderId="56" xfId="2758" applyNumberFormat="1" applyFont="1" applyBorder="1" applyAlignment="1">
      <alignment horizontal="right" vertical="center"/>
    </xf>
    <xf numFmtId="167" fontId="121" fillId="0" borderId="22" xfId="2758" applyNumberFormat="1" applyFont="1" applyBorder="1" applyAlignment="1">
      <alignment vertical="center"/>
    </xf>
    <xf numFmtId="167" fontId="121" fillId="0" borderId="58" xfId="2758" applyNumberFormat="1" applyFont="1" applyBorder="1" applyAlignment="1">
      <alignment vertical="center"/>
    </xf>
    <xf numFmtId="167" fontId="121" fillId="0" borderId="58" xfId="2758" applyNumberFormat="1" applyFont="1" applyBorder="1" applyAlignment="1">
      <alignment horizontal="right" vertical="center"/>
    </xf>
    <xf numFmtId="0" fontId="289" fillId="0" borderId="0" xfId="2758" applyFont="1" applyFill="1" applyBorder="1" applyAlignment="1">
      <alignment horizontal="left" vertical="center"/>
    </xf>
    <xf numFmtId="0" fontId="287" fillId="0" borderId="0" xfId="2758" applyFont="1" applyFill="1" applyBorder="1" applyAlignment="1">
      <alignment horizontal="left" vertical="center"/>
    </xf>
    <xf numFmtId="0" fontId="284" fillId="0" borderId="0" xfId="2758" applyFont="1" applyBorder="1"/>
    <xf numFmtId="167" fontId="286" fillId="0" borderId="0" xfId="2758" applyNumberFormat="1" applyFont="1" applyBorder="1"/>
    <xf numFmtId="0" fontId="283" fillId="0" borderId="22" xfId="2758" applyFont="1" applyBorder="1"/>
    <xf numFmtId="0" fontId="2" fillId="0" borderId="22" xfId="2758" applyBorder="1"/>
    <xf numFmtId="167" fontId="283" fillId="0" borderId="22" xfId="2758" applyNumberFormat="1" applyFont="1" applyBorder="1"/>
    <xf numFmtId="167" fontId="287" fillId="0" borderId="0" xfId="2758" applyNumberFormat="1" applyFont="1" applyAlignment="1">
      <alignment horizontal="right" vertical="center"/>
    </xf>
    <xf numFmtId="0" fontId="115" fillId="0" borderId="0" xfId="2746" applyFont="1"/>
    <xf numFmtId="0" fontId="138" fillId="0" borderId="0" xfId="2746"/>
    <xf numFmtId="0" fontId="120" fillId="2" borderId="0" xfId="2746" applyFont="1" applyFill="1"/>
    <xf numFmtId="0" fontId="120" fillId="2" borderId="0" xfId="2746" applyFont="1" applyFill="1" applyAlignment="1">
      <alignment horizontal="right" vertical="center"/>
    </xf>
    <xf numFmtId="0" fontId="115" fillId="0" borderId="0" xfId="2746" applyFont="1" applyAlignment="1">
      <alignment vertical="center"/>
    </xf>
    <xf numFmtId="3" fontId="115" fillId="0" borderId="0" xfId="2746" applyNumberFormat="1" applyFont="1" applyAlignment="1">
      <alignment vertical="center"/>
    </xf>
    <xf numFmtId="0" fontId="115" fillId="0" borderId="0" xfId="2746" applyFont="1" applyAlignment="1">
      <alignment horizontal="left" vertical="center" indent="1"/>
    </xf>
    <xf numFmtId="3" fontId="115" fillId="0" borderId="0" xfId="2746" applyNumberFormat="1" applyFont="1" applyAlignment="1">
      <alignment horizontal="right" vertical="center"/>
    </xf>
    <xf numFmtId="0" fontId="16" fillId="0" borderId="0" xfId="2746" applyFont="1" applyFill="1" applyBorder="1" applyAlignment="1">
      <alignment horizontal="left" vertical="center" indent="1"/>
    </xf>
    <xf numFmtId="3" fontId="115" fillId="0" borderId="0" xfId="2746" applyNumberFormat="1" applyFont="1" applyFill="1" applyAlignment="1">
      <alignment horizontal="right" vertical="center"/>
    </xf>
    <xf numFmtId="0" fontId="138" fillId="0" borderId="0" xfId="2746" applyFill="1"/>
    <xf numFmtId="0" fontId="115" fillId="0" borderId="0" xfId="2746" applyFont="1" applyFill="1" applyBorder="1" applyAlignment="1">
      <alignment horizontal="left" vertical="center" indent="1"/>
    </xf>
    <xf numFmtId="0" fontId="16" fillId="0" borderId="0" xfId="2746" applyFont="1" applyFill="1" applyBorder="1"/>
    <xf numFmtId="3" fontId="115" fillId="0" borderId="0" xfId="2746" applyNumberFormat="1" applyFont="1" applyBorder="1" applyAlignment="1">
      <alignment horizontal="right" vertical="center"/>
    </xf>
    <xf numFmtId="0" fontId="126" fillId="0" borderId="0" xfId="2746" applyFont="1"/>
    <xf numFmtId="0" fontId="115" fillId="0" borderId="0" xfId="2746" applyFont="1" applyFill="1" applyBorder="1" applyAlignment="1">
      <alignment horizontal="left" vertical="center"/>
    </xf>
    <xf numFmtId="0" fontId="115" fillId="0" borderId="0" xfId="2746" applyFont="1" applyFill="1" applyAlignment="1">
      <alignment horizontal="right"/>
    </xf>
    <xf numFmtId="0" fontId="121" fillId="0" borderId="0" xfId="2746" applyFont="1" applyBorder="1" applyAlignment="1">
      <alignment vertical="center"/>
    </xf>
    <xf numFmtId="3" fontId="121" fillId="0" borderId="0" xfId="2746" applyNumberFormat="1" applyFont="1" applyBorder="1" applyAlignment="1">
      <alignment vertical="center"/>
    </xf>
    <xf numFmtId="0" fontId="121" fillId="0" borderId="22" xfId="2746" applyFont="1" applyBorder="1" applyAlignment="1">
      <alignment horizontal="left" vertical="center" indent="1"/>
    </xf>
    <xf numFmtId="167" fontId="121" fillId="0" borderId="22" xfId="2746" applyNumberFormat="1" applyFont="1" applyBorder="1" applyAlignment="1">
      <alignment vertical="center"/>
    </xf>
    <xf numFmtId="0" fontId="119" fillId="0" borderId="0" xfId="2746" applyFont="1"/>
    <xf numFmtId="3" fontId="115" fillId="0" borderId="0" xfId="2746" applyNumberFormat="1" applyFont="1"/>
    <xf numFmtId="3" fontId="119" fillId="0" borderId="23" xfId="2746" applyNumberFormat="1" applyFont="1" applyBorder="1" applyAlignment="1">
      <alignment horizontal="right" vertical="center"/>
    </xf>
    <xf numFmtId="4" fontId="115" fillId="0" borderId="0" xfId="2746" applyNumberFormat="1" applyFont="1"/>
    <xf numFmtId="0" fontId="120" fillId="2" borderId="0" xfId="2746" applyFont="1" applyFill="1" applyAlignment="1">
      <alignment horizontal="center" vertical="center"/>
    </xf>
    <xf numFmtId="0" fontId="120" fillId="2" borderId="0" xfId="2746" applyFont="1" applyFill="1" applyBorder="1" applyAlignment="1">
      <alignment horizontal="center" vertical="center"/>
    </xf>
    <xf numFmtId="0" fontId="121" fillId="0" borderId="0" xfId="2746" applyFont="1" applyAlignment="1">
      <alignment vertical="center"/>
    </xf>
    <xf numFmtId="167" fontId="121" fillId="0" borderId="0" xfId="2746" applyNumberFormat="1" applyFont="1" applyAlignment="1">
      <alignment horizontal="center" vertical="center"/>
    </xf>
    <xf numFmtId="167" fontId="121" fillId="0" borderId="0" xfId="2746" applyNumberFormat="1" applyFont="1" applyBorder="1" applyAlignment="1">
      <alignment horizontal="center" vertical="center"/>
    </xf>
    <xf numFmtId="167" fontId="115" fillId="0" borderId="0" xfId="2746" applyNumberFormat="1" applyFont="1" applyAlignment="1">
      <alignment horizontal="center" vertical="center"/>
    </xf>
    <xf numFmtId="167" fontId="115" fillId="0" borderId="0" xfId="2746" applyNumberFormat="1" applyFont="1" applyBorder="1" applyAlignment="1">
      <alignment horizontal="center" vertical="center"/>
    </xf>
    <xf numFmtId="0" fontId="15" fillId="0" borderId="0" xfId="2746" applyFont="1" applyAlignment="1">
      <alignment vertical="center"/>
    </xf>
    <xf numFmtId="167" fontId="15" fillId="0" borderId="0" xfId="2746" applyNumberFormat="1" applyFont="1" applyAlignment="1">
      <alignment horizontal="center" vertical="center"/>
    </xf>
    <xf numFmtId="0" fontId="115" fillId="0" borderId="0" xfId="2746" applyFont="1" applyAlignment="1">
      <alignment horizontal="left" vertical="center" indent="2"/>
    </xf>
    <xf numFmtId="0" fontId="115" fillId="0" borderId="22" xfId="2746" applyFont="1" applyBorder="1" applyAlignment="1">
      <alignment horizontal="left" vertical="center" indent="2"/>
    </xf>
    <xf numFmtId="167" fontId="115" fillId="0" borderId="22" xfId="2746" applyNumberFormat="1" applyFont="1" applyBorder="1" applyAlignment="1">
      <alignment horizontal="center" vertical="center"/>
    </xf>
    <xf numFmtId="0" fontId="306" fillId="0" borderId="0" xfId="2746" applyFont="1"/>
    <xf numFmtId="0" fontId="109" fillId="0" borderId="0" xfId="2758" applyFont="1"/>
    <xf numFmtId="0" fontId="306" fillId="2" borderId="0" xfId="2758" applyFont="1" applyFill="1" applyAlignment="1">
      <alignment vertical="center"/>
    </xf>
    <xf numFmtId="0" fontId="15" fillId="0" borderId="0" xfId="2758" applyFont="1" applyAlignment="1">
      <alignment vertical="center"/>
    </xf>
    <xf numFmtId="3" fontId="115" fillId="0" borderId="0" xfId="2758" applyNumberFormat="1" applyFont="1" applyFill="1" applyAlignment="1">
      <alignment vertical="center"/>
    </xf>
    <xf numFmtId="0" fontId="121" fillId="0" borderId="22" xfId="2758" applyFont="1" applyBorder="1" applyAlignment="1">
      <alignment vertical="center"/>
    </xf>
    <xf numFmtId="167" fontId="121" fillId="0" borderId="22" xfId="2758" applyNumberFormat="1" applyFont="1" applyFill="1" applyBorder="1" applyAlignment="1">
      <alignment vertical="center"/>
    </xf>
    <xf numFmtId="3" fontId="115" fillId="0" borderId="22" xfId="2758" applyNumberFormat="1" applyFont="1" applyFill="1" applyBorder="1" applyAlignment="1">
      <alignment vertical="center"/>
    </xf>
    <xf numFmtId="0" fontId="15" fillId="0" borderId="0" xfId="2758" applyFont="1"/>
    <xf numFmtId="3" fontId="115" fillId="0" borderId="0" xfId="2758" applyNumberFormat="1" applyFont="1" applyFill="1"/>
    <xf numFmtId="0" fontId="121" fillId="0" borderId="22" xfId="2758" applyFont="1" applyBorder="1"/>
    <xf numFmtId="167" fontId="121" fillId="0" borderId="22" xfId="2758" applyNumberFormat="1" applyFont="1" applyFill="1" applyBorder="1"/>
    <xf numFmtId="166" fontId="121" fillId="0" borderId="22" xfId="2758" applyNumberFormat="1" applyFont="1" applyFill="1" applyBorder="1"/>
    <xf numFmtId="0" fontId="116" fillId="0" borderId="0" xfId="2758" applyFont="1" applyAlignment="1">
      <alignment vertical="center"/>
    </xf>
    <xf numFmtId="3" fontId="116" fillId="0" borderId="0" xfId="2758" applyNumberFormat="1" applyFont="1" applyFill="1" applyAlignment="1">
      <alignment vertical="center"/>
    </xf>
    <xf numFmtId="0" fontId="116" fillId="0" borderId="0" xfId="2758" applyFont="1" applyFill="1" applyAlignment="1">
      <alignment vertical="center"/>
    </xf>
    <xf numFmtId="2" fontId="115" fillId="0" borderId="0" xfId="2758" applyNumberFormat="1" applyFont="1" applyFill="1"/>
    <xf numFmtId="167" fontId="115" fillId="0" borderId="0" xfId="2758" applyNumberFormat="1" applyFont="1" applyFill="1" applyAlignment="1">
      <alignment vertical="center"/>
    </xf>
    <xf numFmtId="167" fontId="2" fillId="0" borderId="0" xfId="2758" applyNumberFormat="1"/>
    <xf numFmtId="166" fontId="121" fillId="0" borderId="0" xfId="2758" applyNumberFormat="1" applyFont="1" applyFill="1"/>
    <xf numFmtId="0" fontId="120" fillId="2" borderId="0" xfId="2758" applyFont="1" applyFill="1" applyAlignment="1">
      <alignment horizontal="center"/>
    </xf>
    <xf numFmtId="0" fontId="121" fillId="0" borderId="0" xfId="2758" applyFont="1"/>
    <xf numFmtId="3" fontId="121" fillId="0" borderId="0" xfId="2758" applyNumberFormat="1" applyFont="1" applyAlignment="1">
      <alignment horizontal="center"/>
    </xf>
    <xf numFmtId="4" fontId="121" fillId="0" borderId="0" xfId="2758" applyNumberFormat="1" applyFont="1" applyAlignment="1">
      <alignment horizontal="center"/>
    </xf>
    <xf numFmtId="3" fontId="115" fillId="0" borderId="0" xfId="2758" applyNumberFormat="1" applyFont="1" applyFill="1" applyAlignment="1">
      <alignment horizontal="center"/>
    </xf>
    <xf numFmtId="2" fontId="115" fillId="0" borderId="0" xfId="2758" applyNumberFormat="1" applyFont="1" applyAlignment="1">
      <alignment horizontal="center"/>
    </xf>
    <xf numFmtId="4" fontId="115" fillId="0" borderId="0" xfId="2758" applyNumberFormat="1" applyFont="1"/>
    <xf numFmtId="4" fontId="115" fillId="0" borderId="0" xfId="2758" applyNumberFormat="1" applyFont="1" applyAlignment="1">
      <alignment horizontal="center"/>
    </xf>
    <xf numFmtId="3" fontId="115" fillId="0" borderId="0" xfId="2758" applyNumberFormat="1" applyFont="1" applyAlignment="1">
      <alignment horizontal="center"/>
    </xf>
    <xf numFmtId="0" fontId="115" fillId="0" borderId="0" xfId="2758" applyFont="1" applyAlignment="1">
      <alignment horizontal="center"/>
    </xf>
    <xf numFmtId="3" fontId="115" fillId="0" borderId="22" xfId="2758" applyNumberFormat="1" applyFont="1" applyFill="1" applyBorder="1" applyAlignment="1">
      <alignment horizontal="center"/>
    </xf>
    <xf numFmtId="4" fontId="115" fillId="0" borderId="22" xfId="2758" applyNumberFormat="1" applyFont="1" applyBorder="1" applyAlignment="1">
      <alignment horizontal="center"/>
    </xf>
    <xf numFmtId="2" fontId="115" fillId="0" borderId="22" xfId="2758" applyNumberFormat="1" applyFont="1" applyBorder="1" applyAlignment="1">
      <alignment horizontal="center"/>
    </xf>
    <xf numFmtId="0" fontId="119" fillId="0" borderId="0" xfId="2758" applyFont="1" applyFill="1" applyBorder="1"/>
    <xf numFmtId="0" fontId="285" fillId="0" borderId="0" xfId="2758" applyFont="1" applyFill="1" applyAlignment="1">
      <alignment horizontal="center" vertical="center"/>
    </xf>
    <xf numFmtId="3" fontId="285" fillId="0" borderId="0" xfId="2758" applyNumberFormat="1" applyFont="1" applyFill="1" applyAlignment="1">
      <alignment horizontal="center" vertical="center"/>
    </xf>
    <xf numFmtId="4" fontId="285" fillId="0" borderId="0" xfId="2758" applyNumberFormat="1" applyFont="1" applyFill="1" applyAlignment="1">
      <alignment horizontal="center" vertical="center"/>
    </xf>
    <xf numFmtId="0" fontId="112" fillId="0" borderId="0" xfId="2758" applyFont="1"/>
    <xf numFmtId="3" fontId="115" fillId="0" borderId="0" xfId="2758" applyNumberFormat="1" applyFont="1" applyFill="1" applyBorder="1"/>
    <xf numFmtId="0" fontId="115" fillId="0" borderId="22" xfId="2758" applyFont="1" applyBorder="1" applyAlignment="1">
      <alignment horizontal="left" indent="1"/>
    </xf>
    <xf numFmtId="167" fontId="115" fillId="0" borderId="22" xfId="2758" applyNumberFormat="1" applyFont="1" applyFill="1" applyBorder="1"/>
    <xf numFmtId="0" fontId="112" fillId="0" borderId="0" xfId="2758" applyFont="1" applyAlignment="1">
      <alignment horizontal="left" indent="1"/>
    </xf>
    <xf numFmtId="3" fontId="112" fillId="0" borderId="0" xfId="2758" applyNumberFormat="1" applyFont="1" applyFill="1"/>
    <xf numFmtId="0" fontId="116" fillId="0" borderId="0" xfId="2758" applyFont="1"/>
    <xf numFmtId="3" fontId="116" fillId="0" borderId="0" xfId="2758" applyNumberFormat="1" applyFont="1" applyFill="1"/>
    <xf numFmtId="3" fontId="112" fillId="0" borderId="0" xfId="2758" applyNumberFormat="1" applyFont="1"/>
    <xf numFmtId="167" fontId="112" fillId="0" borderId="0" xfId="2758" applyNumberFormat="1" applyFont="1"/>
    <xf numFmtId="0" fontId="111" fillId="0" borderId="0" xfId="2758" applyFont="1"/>
    <xf numFmtId="167" fontId="111" fillId="0" borderId="0" xfId="2758" applyNumberFormat="1" applyFont="1" applyFill="1"/>
    <xf numFmtId="167" fontId="112" fillId="0" borderId="0" xfId="2758" applyNumberFormat="1" applyFont="1" applyFill="1"/>
    <xf numFmtId="203" fontId="112" fillId="0" borderId="0" xfId="2758" applyNumberFormat="1" applyFont="1" applyFill="1"/>
    <xf numFmtId="0" fontId="112" fillId="2" borderId="0" xfId="2758" applyFont="1" applyFill="1"/>
    <xf numFmtId="167" fontId="121" fillId="0" borderId="22" xfId="2758" applyNumberFormat="1" applyFont="1" applyBorder="1"/>
    <xf numFmtId="166" fontId="112" fillId="0" borderId="0" xfId="2758" applyNumberFormat="1" applyFont="1"/>
    <xf numFmtId="0" fontId="285" fillId="2" borderId="0" xfId="2758" applyFont="1" applyFill="1" applyAlignment="1">
      <alignment horizontal="center" vertical="center" wrapText="1"/>
    </xf>
    <xf numFmtId="0" fontId="285" fillId="2" borderId="0" xfId="2758" applyFont="1" applyFill="1" applyAlignment="1">
      <alignment horizontal="center" wrapText="1"/>
    </xf>
    <xf numFmtId="0" fontId="286" fillId="0" borderId="0" xfId="2758" applyFont="1" applyAlignment="1">
      <alignment horizontal="center" vertical="center"/>
    </xf>
    <xf numFmtId="166" fontId="304" fillId="0" borderId="0" xfId="2758" applyNumberFormat="1" applyFont="1" applyFill="1" applyBorder="1" applyAlignment="1">
      <alignment horizontal="center" vertical="center"/>
    </xf>
    <xf numFmtId="166" fontId="304" fillId="0" borderId="56" xfId="2758" applyNumberFormat="1" applyFont="1" applyFill="1" applyBorder="1" applyAlignment="1">
      <alignment horizontal="center"/>
    </xf>
    <xf numFmtId="166" fontId="304" fillId="0" borderId="0" xfId="2758" applyNumberFormat="1" applyFont="1" applyFill="1" applyBorder="1" applyAlignment="1">
      <alignment horizontal="center"/>
    </xf>
    <xf numFmtId="166" fontId="283" fillId="0" borderId="0" xfId="2758" applyNumberFormat="1" applyFont="1" applyBorder="1"/>
    <xf numFmtId="0" fontId="2" fillId="0" borderId="0" xfId="2758" applyBorder="1" applyAlignment="1">
      <alignment horizontal="center"/>
    </xf>
    <xf numFmtId="0" fontId="283" fillId="0" borderId="0" xfId="2758" applyFont="1" applyFill="1" applyAlignment="1">
      <alignment horizontal="center" vertical="center"/>
    </xf>
    <xf numFmtId="0" fontId="286" fillId="0" borderId="22" xfId="2758" applyFont="1" applyBorder="1" applyAlignment="1">
      <alignment horizontal="center" vertical="center"/>
    </xf>
    <xf numFmtId="166" fontId="304" fillId="0" borderId="22" xfId="2758" applyNumberFormat="1" applyFont="1" applyFill="1" applyBorder="1" applyAlignment="1">
      <alignment horizontal="center" vertical="center"/>
    </xf>
    <xf numFmtId="0" fontId="283" fillId="0" borderId="22" xfId="2758" applyFont="1" applyFill="1" applyBorder="1" applyAlignment="1">
      <alignment horizontal="center" vertical="center"/>
    </xf>
    <xf numFmtId="166" fontId="304" fillId="0" borderId="58" xfId="2758" applyNumberFormat="1" applyFont="1" applyFill="1" applyBorder="1" applyAlignment="1">
      <alignment horizontal="center"/>
    </xf>
    <xf numFmtId="0" fontId="2" fillId="0" borderId="22" xfId="2758" applyBorder="1" applyAlignment="1">
      <alignment horizontal="center"/>
    </xf>
    <xf numFmtId="0" fontId="283" fillId="0" borderId="0" xfId="2758" applyFont="1" applyBorder="1"/>
    <xf numFmtId="166" fontId="304" fillId="0" borderId="56" xfId="2758" applyNumberFormat="1" applyFont="1" applyFill="1" applyBorder="1" applyAlignment="1">
      <alignment horizontal="center" vertical="center"/>
    </xf>
    <xf numFmtId="0" fontId="2" fillId="0" borderId="0" xfId="2758" applyBorder="1" applyAlignment="1">
      <alignment horizontal="center" vertical="center"/>
    </xf>
    <xf numFmtId="166" fontId="304" fillId="0" borderId="58" xfId="2758" applyNumberFormat="1" applyFont="1" applyFill="1" applyBorder="1" applyAlignment="1">
      <alignment horizontal="center" vertical="center"/>
    </xf>
    <xf numFmtId="0" fontId="2" fillId="0" borderId="22" xfId="2758" applyBorder="1" applyAlignment="1">
      <alignment horizontal="center" vertical="center"/>
    </xf>
    <xf numFmtId="0" fontId="109" fillId="0" borderId="0" xfId="2762" applyFont="1" applyAlignment="1">
      <alignment vertical="center"/>
    </xf>
    <xf numFmtId="0" fontId="2" fillId="0" borderId="0" xfId="2762"/>
    <xf numFmtId="0" fontId="109" fillId="80" borderId="0" xfId="2762" applyFont="1" applyFill="1"/>
    <xf numFmtId="0" fontId="120" fillId="2" borderId="0" xfId="2762" applyFont="1" applyFill="1" applyAlignment="1">
      <alignment horizontal="left" vertical="center"/>
    </xf>
    <xf numFmtId="0" fontId="120" fillId="2" borderId="0" xfId="2762" applyFont="1" applyFill="1" applyAlignment="1">
      <alignment horizontal="center" vertical="center"/>
    </xf>
    <xf numFmtId="0" fontId="2" fillId="80" borderId="0" xfId="2762" applyFill="1"/>
    <xf numFmtId="0" fontId="2" fillId="81" borderId="0" xfId="2762" applyFill="1"/>
    <xf numFmtId="0" fontId="15" fillId="0" borderId="0" xfId="2762" applyFont="1" applyFill="1"/>
    <xf numFmtId="3" fontId="15" fillId="0" borderId="0" xfId="2762" applyNumberFormat="1" applyFont="1" applyFill="1"/>
    <xf numFmtId="167" fontId="15" fillId="0" borderId="0" xfId="2762" applyNumberFormat="1" applyFont="1" applyFill="1"/>
    <xf numFmtId="0" fontId="115" fillId="0" borderId="0" xfId="2762" applyFont="1" applyFill="1" applyAlignment="1">
      <alignment horizontal="left" indent="2"/>
    </xf>
    <xf numFmtId="3" fontId="283" fillId="0" borderId="0" xfId="2762" applyNumberFormat="1" applyFont="1" applyFill="1"/>
    <xf numFmtId="167" fontId="17" fillId="0" borderId="0" xfId="2762" applyNumberFormat="1" applyFont="1" applyFill="1"/>
    <xf numFmtId="0" fontId="115" fillId="80" borderId="0" xfId="2762" applyFont="1" applyFill="1"/>
    <xf numFmtId="0" fontId="15" fillId="0" borderId="22" xfId="2762" applyFont="1" applyFill="1" applyBorder="1"/>
    <xf numFmtId="3" fontId="15" fillId="0" borderId="22" xfId="2762" applyNumberFormat="1" applyFont="1" applyFill="1" applyBorder="1"/>
    <xf numFmtId="167" fontId="15" fillId="0" borderId="22" xfId="2762" applyNumberFormat="1" applyFont="1" applyFill="1" applyBorder="1"/>
    <xf numFmtId="3" fontId="283" fillId="0" borderId="21" xfId="2762" applyNumberFormat="1" applyFont="1" applyFill="1" applyBorder="1"/>
    <xf numFmtId="0" fontId="2" fillId="0" borderId="21" xfId="2762" applyBorder="1"/>
    <xf numFmtId="0" fontId="307" fillId="80" borderId="0" xfId="2762" applyFont="1" applyFill="1"/>
    <xf numFmtId="0" fontId="307" fillId="0" borderId="0" xfId="2762" applyFont="1" applyFill="1"/>
    <xf numFmtId="0" fontId="307" fillId="0" borderId="0" xfId="2762" applyFont="1"/>
    <xf numFmtId="0" fontId="115" fillId="0" borderId="0" xfId="2762" applyFont="1"/>
    <xf numFmtId="1" fontId="115" fillId="0" borderId="0" xfId="2758" applyNumberFormat="1" applyFont="1"/>
    <xf numFmtId="1" fontId="115" fillId="0" borderId="22" xfId="2758" applyNumberFormat="1" applyFont="1" applyBorder="1"/>
    <xf numFmtId="0" fontId="289" fillId="0" borderId="0" xfId="2758" applyFont="1" applyAlignment="1">
      <alignment horizontal="right"/>
    </xf>
    <xf numFmtId="49" fontId="120" fillId="2" borderId="0" xfId="2758" applyNumberFormat="1" applyFont="1" applyFill="1" applyAlignment="1">
      <alignment horizontal="center" vertical="center"/>
    </xf>
    <xf numFmtId="3" fontId="115" fillId="0" borderId="22" xfId="2758" applyNumberFormat="1" applyFont="1" applyBorder="1"/>
    <xf numFmtId="167" fontId="115" fillId="0" borderId="22" xfId="2758" applyNumberFormat="1" applyFont="1" applyBorder="1"/>
    <xf numFmtId="167" fontId="115" fillId="0" borderId="0" xfId="2758" applyNumberFormat="1" applyFont="1" applyBorder="1"/>
    <xf numFmtId="3" fontId="116" fillId="0" borderId="0" xfId="2758" applyNumberFormat="1" applyFont="1"/>
    <xf numFmtId="0" fontId="113" fillId="2" borderId="69" xfId="2758" applyFont="1" applyFill="1" applyBorder="1" applyAlignment="1">
      <alignment horizontal="center" vertical="center"/>
    </xf>
    <xf numFmtId="0" fontId="309" fillId="2" borderId="0" xfId="2758" applyFont="1" applyFill="1" applyBorder="1"/>
    <xf numFmtId="0" fontId="112" fillId="0" borderId="0" xfId="2758" applyFont="1" applyFill="1" applyBorder="1"/>
    <xf numFmtId="0" fontId="112" fillId="0" borderId="0" xfId="2758" applyFont="1" applyFill="1"/>
    <xf numFmtId="0" fontId="113" fillId="2" borderId="0" xfId="2758" applyFont="1" applyFill="1" applyBorder="1" applyAlignment="1">
      <alignment vertical="center"/>
    </xf>
    <xf numFmtId="0" fontId="113" fillId="2" borderId="81" xfId="2758" applyFont="1" applyFill="1" applyBorder="1" applyAlignment="1">
      <alignment horizontal="center" vertical="center" wrapText="1"/>
    </xf>
    <xf numFmtId="0" fontId="310" fillId="0" borderId="0" xfId="2758" applyFont="1" applyFill="1" applyBorder="1" applyAlignment="1">
      <alignment horizontal="center" vertical="center" wrapText="1"/>
    </xf>
    <xf numFmtId="0" fontId="113" fillId="2" borderId="0" xfId="2758" applyFont="1" applyFill="1" applyBorder="1" applyAlignment="1">
      <alignment horizontal="center" vertical="center" wrapText="1"/>
    </xf>
    <xf numFmtId="0" fontId="15" fillId="81" borderId="0" xfId="2758" applyFont="1" applyFill="1" applyBorder="1" applyAlignment="1">
      <alignment vertical="center"/>
    </xf>
    <xf numFmtId="0" fontId="15" fillId="81" borderId="0" xfId="2758" applyFont="1" applyFill="1" applyBorder="1" applyAlignment="1">
      <alignment horizontal="center" vertical="center"/>
    </xf>
    <xf numFmtId="3" fontId="15" fillId="81" borderId="51" xfId="2758" applyNumberFormat="1" applyFont="1" applyFill="1" applyBorder="1" applyAlignment="1">
      <alignment horizontal="right" vertical="center"/>
    </xf>
    <xf numFmtId="3" fontId="15" fillId="81" borderId="56" xfId="2758" applyNumberFormat="1" applyFont="1" applyFill="1" applyBorder="1" applyAlignment="1">
      <alignment horizontal="right" vertical="center"/>
    </xf>
    <xf numFmtId="3" fontId="15" fillId="81" borderId="0" xfId="2758" applyNumberFormat="1" applyFont="1" applyFill="1" applyBorder="1" applyAlignment="1">
      <alignment horizontal="right" vertical="center"/>
    </xf>
    <xf numFmtId="3" fontId="15" fillId="81" borderId="52" xfId="2758" applyNumberFormat="1" applyFont="1" applyFill="1" applyBorder="1" applyAlignment="1">
      <alignment horizontal="right" vertical="center"/>
    </xf>
    <xf numFmtId="201" fontId="115" fillId="0" borderId="0" xfId="2758" applyNumberFormat="1" applyFont="1" applyFill="1" applyBorder="1"/>
    <xf numFmtId="3" fontId="15" fillId="81" borderId="85" xfId="2758" applyNumberFormat="1" applyFont="1" applyFill="1" applyBorder="1" applyAlignment="1">
      <alignment horizontal="right" vertical="center"/>
    </xf>
    <xf numFmtId="3" fontId="15" fillId="81" borderId="86" xfId="2758" applyNumberFormat="1" applyFont="1" applyFill="1" applyBorder="1" applyAlignment="1">
      <alignment horizontal="right" vertical="center"/>
    </xf>
    <xf numFmtId="167" fontId="15" fillId="81" borderId="52" xfId="2758" applyNumberFormat="1" applyFont="1" applyFill="1" applyBorder="1" applyAlignment="1">
      <alignment horizontal="right" vertical="center"/>
    </xf>
    <xf numFmtId="0" fontId="121" fillId="0" borderId="0" xfId="2758" applyFont="1" applyBorder="1" applyAlignment="1">
      <alignment vertical="center"/>
    </xf>
    <xf numFmtId="0" fontId="121" fillId="0" borderId="0" xfId="2758" applyFont="1" applyBorder="1" applyAlignment="1">
      <alignment horizontal="center" vertical="center"/>
    </xf>
    <xf numFmtId="3" fontId="125" fillId="0" borderId="51" xfId="2758" applyNumberFormat="1" applyFont="1" applyFill="1" applyBorder="1" applyAlignment="1">
      <alignment horizontal="right" vertical="center"/>
    </xf>
    <xf numFmtId="3" fontId="125" fillId="0" borderId="56" xfId="2758" applyNumberFormat="1" applyFont="1" applyBorder="1" applyAlignment="1">
      <alignment horizontal="right" vertical="center"/>
    </xf>
    <xf numFmtId="3" fontId="125" fillId="0" borderId="0" xfId="2758" applyNumberFormat="1" applyFont="1" applyBorder="1" applyAlignment="1">
      <alignment horizontal="right" vertical="center"/>
    </xf>
    <xf numFmtId="3" fontId="125" fillId="0" borderId="52" xfId="2758" applyNumberFormat="1" applyFont="1" applyBorder="1" applyAlignment="1">
      <alignment horizontal="right" vertical="center"/>
    </xf>
    <xf numFmtId="3" fontId="17" fillId="0" borderId="0" xfId="2758" applyNumberFormat="1" applyFont="1" applyBorder="1" applyAlignment="1">
      <alignment horizontal="right" vertical="center"/>
    </xf>
    <xf numFmtId="3" fontId="17" fillId="0" borderId="52" xfId="2758" applyNumberFormat="1" applyFont="1" applyBorder="1" applyAlignment="1">
      <alignment horizontal="right" vertical="center"/>
    </xf>
    <xf numFmtId="3" fontId="125" fillId="0" borderId="51" xfId="2758" applyNumberFormat="1" applyFont="1" applyBorder="1" applyAlignment="1">
      <alignment horizontal="right" vertical="center"/>
    </xf>
    <xf numFmtId="167" fontId="125" fillId="0" borderId="52" xfId="2758" applyNumberFormat="1" applyFont="1" applyBorder="1" applyAlignment="1">
      <alignment horizontal="right" vertical="center"/>
    </xf>
    <xf numFmtId="0" fontId="111" fillId="0" borderId="0" xfId="2758" applyFont="1" applyFill="1"/>
    <xf numFmtId="0" fontId="115" fillId="0" borderId="0" xfId="2758" applyFont="1" applyBorder="1" applyAlignment="1">
      <alignment horizontal="center" vertical="center"/>
    </xf>
    <xf numFmtId="3" fontId="126" fillId="0" borderId="51" xfId="2758" applyNumberFormat="1" applyFont="1" applyBorder="1" applyAlignment="1">
      <alignment horizontal="right" vertical="center"/>
    </xf>
    <xf numFmtId="3" fontId="126" fillId="0" borderId="56" xfId="2758" applyNumberFormat="1" applyFont="1" applyFill="1" applyBorder="1" applyAlignment="1">
      <alignment horizontal="right" vertical="center"/>
    </xf>
    <xf numFmtId="3" fontId="126" fillId="0" borderId="0" xfId="2758" applyNumberFormat="1" applyFont="1" applyFill="1" applyBorder="1" applyAlignment="1">
      <alignment horizontal="right" vertical="center"/>
    </xf>
    <xf numFmtId="3" fontId="126" fillId="0" borderId="52" xfId="2758" applyNumberFormat="1" applyFont="1" applyFill="1" applyBorder="1" applyAlignment="1">
      <alignment horizontal="right" vertical="center"/>
    </xf>
    <xf numFmtId="3" fontId="16" fillId="0" borderId="0" xfId="2758" applyNumberFormat="1" applyFont="1" applyFill="1" applyBorder="1" applyAlignment="1">
      <alignment horizontal="right" vertical="center"/>
    </xf>
    <xf numFmtId="3" fontId="16" fillId="0" borderId="52" xfId="2758" applyNumberFormat="1" applyFont="1" applyFill="1" applyBorder="1" applyAlignment="1">
      <alignment horizontal="right" vertical="center"/>
    </xf>
    <xf numFmtId="3" fontId="126" fillId="0" borderId="51" xfId="2758" applyNumberFormat="1" applyFont="1" applyFill="1" applyBorder="1" applyAlignment="1">
      <alignment horizontal="right" vertical="center"/>
    </xf>
    <xf numFmtId="167" fontId="126" fillId="0" borderId="52" xfId="2758" applyNumberFormat="1" applyFont="1" applyFill="1" applyBorder="1" applyAlignment="1">
      <alignment horizontal="right" vertical="center"/>
    </xf>
    <xf numFmtId="0" fontId="115" fillId="0" borderId="0" xfId="2758" applyFont="1" applyFill="1" applyBorder="1" applyAlignment="1">
      <alignment vertical="center"/>
    </xf>
    <xf numFmtId="0" fontId="115" fillId="0" borderId="0" xfId="2758" applyFont="1" applyFill="1" applyBorder="1" applyAlignment="1">
      <alignment horizontal="center" vertical="center"/>
    </xf>
    <xf numFmtId="3" fontId="126" fillId="0" borderId="51" xfId="2758" applyNumberFormat="1" applyFont="1" applyFill="1" applyBorder="1" applyAlignment="1">
      <alignment horizontal="right"/>
    </xf>
    <xf numFmtId="3" fontId="126" fillId="0" borderId="56" xfId="2758" applyNumberFormat="1" applyFont="1" applyFill="1" applyBorder="1" applyAlignment="1">
      <alignment horizontal="right"/>
    </xf>
    <xf numFmtId="3" fontId="126" fillId="0" borderId="0" xfId="2758" applyNumberFormat="1" applyFont="1" applyFill="1" applyBorder="1" applyAlignment="1">
      <alignment horizontal="right"/>
    </xf>
    <xf numFmtId="3" fontId="126" fillId="0" borderId="52" xfId="2758" applyNumberFormat="1" applyFont="1" applyFill="1" applyBorder="1" applyAlignment="1">
      <alignment horizontal="right"/>
    </xf>
    <xf numFmtId="3" fontId="16" fillId="0" borderId="0" xfId="2758" applyNumberFormat="1" applyFont="1" applyFill="1" applyBorder="1" applyAlignment="1">
      <alignment horizontal="right"/>
    </xf>
    <xf numFmtId="3" fontId="16" fillId="0" borderId="52" xfId="2758" applyNumberFormat="1" applyFont="1" applyFill="1" applyBorder="1" applyAlignment="1">
      <alignment horizontal="right"/>
    </xf>
    <xf numFmtId="0" fontId="121" fillId="0" borderId="0" xfId="2758" applyFont="1" applyFill="1" applyBorder="1" applyAlignment="1">
      <alignment horizontal="center" vertical="center"/>
    </xf>
    <xf numFmtId="3" fontId="125" fillId="0" borderId="56" xfId="2758" applyNumberFormat="1" applyFont="1" applyFill="1" applyBorder="1" applyAlignment="1">
      <alignment horizontal="right" vertical="center" wrapText="1"/>
    </xf>
    <xf numFmtId="3" fontId="125" fillId="0" borderId="0" xfId="2758" applyNumberFormat="1" applyFont="1" applyFill="1" applyBorder="1" applyAlignment="1">
      <alignment horizontal="right" vertical="center"/>
    </xf>
    <xf numFmtId="3" fontId="125" fillId="0" borderId="52" xfId="2758" applyNumberFormat="1" applyFont="1" applyFill="1" applyBorder="1" applyAlignment="1">
      <alignment horizontal="right" vertical="center"/>
    </xf>
    <xf numFmtId="3" fontId="17" fillId="0" borderId="0" xfId="2758" applyNumberFormat="1" applyFont="1" applyFill="1" applyBorder="1" applyAlignment="1">
      <alignment horizontal="right" vertical="center"/>
    </xf>
    <xf numFmtId="3" fontId="17" fillId="0" borderId="52" xfId="2758" applyNumberFormat="1" applyFont="1" applyFill="1" applyBorder="1" applyAlignment="1">
      <alignment horizontal="right" vertical="center"/>
    </xf>
    <xf numFmtId="3" fontId="125" fillId="0" borderId="56" xfId="2758" applyNumberFormat="1" applyFont="1" applyFill="1" applyBorder="1" applyAlignment="1">
      <alignment horizontal="right" vertical="center"/>
    </xf>
    <xf numFmtId="167" fontId="125" fillId="0" borderId="52" xfId="2758" applyNumberFormat="1" applyFont="1" applyFill="1" applyBorder="1" applyAlignment="1">
      <alignment horizontal="right" vertical="center"/>
    </xf>
    <xf numFmtId="3" fontId="126" fillId="0" borderId="56" xfId="2758" applyNumberFormat="1" applyFont="1" applyFill="1" applyBorder="1" applyAlignment="1">
      <alignment horizontal="right" vertical="center" wrapText="1"/>
    </xf>
    <xf numFmtId="3" fontId="126" fillId="0" borderId="0" xfId="2758" applyNumberFormat="1" applyFont="1" applyFill="1" applyBorder="1" applyAlignment="1">
      <alignment horizontal="right" vertical="center" wrapText="1"/>
    </xf>
    <xf numFmtId="3" fontId="126" fillId="0" borderId="52" xfId="2758" applyNumberFormat="1" applyFont="1" applyFill="1" applyBorder="1" applyAlignment="1">
      <alignment horizontal="right" vertical="center" wrapText="1"/>
    </xf>
    <xf numFmtId="3" fontId="126" fillId="0" borderId="51" xfId="2758" applyNumberFormat="1" applyFont="1" applyFill="1" applyBorder="1" applyAlignment="1">
      <alignment horizontal="right" vertical="center" wrapText="1"/>
    </xf>
    <xf numFmtId="3" fontId="16" fillId="0" borderId="0" xfId="2758" applyNumberFormat="1" applyFont="1" applyFill="1" applyBorder="1" applyAlignment="1">
      <alignment horizontal="right" vertical="center" wrapText="1"/>
    </xf>
    <xf numFmtId="3" fontId="16" fillId="0" borderId="52" xfId="2758" applyNumberFormat="1" applyFont="1" applyFill="1" applyBorder="1" applyAlignment="1">
      <alignment horizontal="right" vertical="center" wrapText="1"/>
    </xf>
    <xf numFmtId="0" fontId="115" fillId="0" borderId="56" xfId="2758" applyFont="1" applyFill="1" applyBorder="1"/>
    <xf numFmtId="3" fontId="16" fillId="0" borderId="56" xfId="2758" applyNumberFormat="1" applyFont="1" applyFill="1" applyBorder="1" applyAlignment="1">
      <alignment horizontal="right" vertical="center"/>
    </xf>
    <xf numFmtId="167" fontId="16" fillId="0" borderId="52" xfId="2758" applyNumberFormat="1" applyFont="1" applyFill="1" applyBorder="1" applyAlignment="1">
      <alignment horizontal="right" vertical="center"/>
    </xf>
    <xf numFmtId="0" fontId="112" fillId="82" borderId="0" xfId="2758" applyFont="1" applyFill="1"/>
    <xf numFmtId="3" fontId="111" fillId="0" borderId="0" xfId="2758" applyNumberFormat="1" applyFont="1" applyFill="1"/>
    <xf numFmtId="0" fontId="115" fillId="0" borderId="22" xfId="2758" applyFont="1" applyFill="1" applyBorder="1" applyAlignment="1">
      <alignment vertical="center"/>
    </xf>
    <xf numFmtId="0" fontId="121" fillId="0" borderId="22" xfId="2758" applyFont="1" applyFill="1" applyBorder="1" applyAlignment="1">
      <alignment horizontal="center" vertical="center"/>
    </xf>
    <xf numFmtId="3" fontId="126" fillId="0" borderId="57" xfId="2758" applyNumberFormat="1" applyFont="1" applyFill="1" applyBorder="1" applyAlignment="1">
      <alignment horizontal="right" vertical="center"/>
    </xf>
    <xf numFmtId="3" fontId="126" fillId="0" borderId="58" xfId="2758" applyNumberFormat="1" applyFont="1" applyFill="1" applyBorder="1" applyAlignment="1">
      <alignment horizontal="right" vertical="center"/>
    </xf>
    <xf numFmtId="3" fontId="126" fillId="0" borderId="22" xfId="2758" applyNumberFormat="1" applyFont="1" applyFill="1" applyBorder="1" applyAlignment="1">
      <alignment horizontal="right" vertical="center"/>
    </xf>
    <xf numFmtId="3" fontId="126" fillId="0" borderId="53" xfId="2758" applyNumberFormat="1" applyFont="1" applyFill="1" applyBorder="1" applyAlignment="1">
      <alignment horizontal="right" vertical="center"/>
    </xf>
    <xf numFmtId="3" fontId="16" fillId="0" borderId="22" xfId="2758" applyNumberFormat="1" applyFont="1" applyFill="1" applyBorder="1" applyAlignment="1">
      <alignment horizontal="right" vertical="center"/>
    </xf>
    <xf numFmtId="3" fontId="16" fillId="0" borderId="53" xfId="2758" applyNumberFormat="1" applyFont="1" applyFill="1" applyBorder="1" applyAlignment="1">
      <alignment horizontal="right" vertical="center"/>
    </xf>
    <xf numFmtId="167" fontId="126" fillId="0" borderId="53" xfId="2758" applyNumberFormat="1" applyFont="1" applyFill="1" applyBorder="1" applyAlignment="1">
      <alignment horizontal="right" vertical="center"/>
    </xf>
    <xf numFmtId="0" fontId="15" fillId="0" borderId="0" xfId="2758" applyFont="1" applyFill="1" applyBorder="1" applyAlignment="1">
      <alignment vertical="center"/>
    </xf>
    <xf numFmtId="0" fontId="15" fillId="0" borderId="0" xfId="2758" applyFont="1" applyFill="1" applyBorder="1" applyAlignment="1">
      <alignment horizontal="center" vertical="center"/>
    </xf>
    <xf numFmtId="3" fontId="15" fillId="0" borderId="51" xfId="2758" applyNumberFormat="1" applyFont="1" applyFill="1" applyBorder="1" applyAlignment="1">
      <alignment horizontal="right" vertical="center"/>
    </xf>
    <xf numFmtId="3" fontId="15" fillId="0" borderId="56" xfId="2758" applyNumberFormat="1" applyFont="1" applyFill="1" applyBorder="1" applyAlignment="1">
      <alignment horizontal="right" vertical="center"/>
    </xf>
    <xf numFmtId="3" fontId="15" fillId="0" borderId="0" xfId="2758" applyNumberFormat="1" applyFont="1" applyFill="1" applyBorder="1" applyAlignment="1">
      <alignment horizontal="right" vertical="center"/>
    </xf>
    <xf numFmtId="3" fontId="15" fillId="0" borderId="52" xfId="2758" applyNumberFormat="1" applyFont="1" applyFill="1" applyBorder="1" applyAlignment="1">
      <alignment horizontal="right" vertical="center"/>
    </xf>
    <xf numFmtId="167" fontId="15" fillId="0" borderId="52" xfId="2758" applyNumberFormat="1" applyFont="1" applyFill="1" applyBorder="1" applyAlignment="1">
      <alignment horizontal="right" vertical="center"/>
    </xf>
    <xf numFmtId="3" fontId="17" fillId="0" borderId="52" xfId="2758" applyNumberFormat="1" applyFont="1" applyFill="1" applyBorder="1" applyAlignment="1"/>
    <xf numFmtId="3" fontId="121" fillId="0" borderId="0" xfId="2758" applyNumberFormat="1" applyFont="1" applyFill="1" applyAlignment="1">
      <alignment horizontal="right"/>
    </xf>
    <xf numFmtId="3" fontId="121" fillId="0" borderId="52" xfId="2758" applyNumberFormat="1" applyFont="1" applyFill="1" applyBorder="1" applyAlignment="1">
      <alignment horizontal="right"/>
    </xf>
    <xf numFmtId="3" fontId="17" fillId="0" borderId="0" xfId="2758" applyNumberFormat="1" applyFont="1" applyFill="1" applyBorder="1" applyAlignment="1">
      <alignment horizontal="right"/>
    </xf>
    <xf numFmtId="3" fontId="17" fillId="0" borderId="52" xfId="2758" applyNumberFormat="1" applyFont="1" applyFill="1" applyBorder="1" applyAlignment="1">
      <alignment horizontal="right"/>
    </xf>
    <xf numFmtId="3" fontId="121" fillId="0" borderId="0" xfId="2758" applyNumberFormat="1" applyFont="1" applyFill="1" applyBorder="1"/>
    <xf numFmtId="203" fontId="111" fillId="0" borderId="0" xfId="2758" applyNumberFormat="1" applyFont="1" applyFill="1"/>
    <xf numFmtId="3" fontId="125" fillId="0" borderId="0" xfId="2758" applyNumberFormat="1" applyFont="1" applyFill="1" applyBorder="1" applyAlignment="1">
      <alignment horizontal="right" vertical="center" wrapText="1"/>
    </xf>
    <xf numFmtId="3" fontId="125" fillId="0" borderId="52" xfId="2758" applyNumberFormat="1" applyFont="1" applyFill="1" applyBorder="1" applyAlignment="1">
      <alignment horizontal="right" vertical="center" wrapText="1"/>
    </xf>
    <xf numFmtId="3" fontId="17" fillId="0" borderId="0" xfId="2758" applyNumberFormat="1" applyFont="1" applyFill="1" applyBorder="1" applyAlignment="1">
      <alignment horizontal="right" vertical="center" wrapText="1"/>
    </xf>
    <xf numFmtId="3" fontId="17" fillId="0" borderId="52" xfId="2758" applyNumberFormat="1" applyFont="1" applyFill="1" applyBorder="1" applyAlignment="1">
      <alignment horizontal="right" vertical="center" wrapText="1"/>
    </xf>
    <xf numFmtId="0" fontId="121" fillId="0" borderId="56" xfId="2758" applyFont="1" applyFill="1" applyBorder="1"/>
    <xf numFmtId="3" fontId="16" fillId="0" borderId="56" xfId="2758" applyNumberFormat="1" applyFont="1" applyFill="1" applyBorder="1" applyAlignment="1">
      <alignment horizontal="right" vertical="center" wrapText="1"/>
    </xf>
    <xf numFmtId="3" fontId="115" fillId="0" borderId="56" xfId="2758" applyNumberFormat="1" applyFont="1" applyFill="1" applyBorder="1"/>
    <xf numFmtId="0" fontId="115" fillId="0" borderId="22" xfId="2758" applyFont="1" applyBorder="1" applyAlignment="1">
      <alignment vertical="center"/>
    </xf>
    <xf numFmtId="0" fontId="115" fillId="0" borderId="22" xfId="2758" applyFont="1" applyBorder="1" applyAlignment="1">
      <alignment horizontal="center" vertical="center"/>
    </xf>
    <xf numFmtId="0" fontId="15" fillId="81" borderId="22" xfId="2758" applyFont="1" applyFill="1" applyBorder="1" applyAlignment="1">
      <alignment vertical="center"/>
    </xf>
    <xf numFmtId="0" fontId="15" fillId="81" borderId="22" xfId="2758" applyFont="1" applyFill="1" applyBorder="1" applyAlignment="1">
      <alignment horizontal="center" vertical="center"/>
    </xf>
    <xf numFmtId="4" fontId="15" fillId="81" borderId="57" xfId="2758" applyNumberFormat="1" applyFont="1" applyFill="1" applyBorder="1" applyAlignment="1">
      <alignment horizontal="right" vertical="center"/>
    </xf>
    <xf numFmtId="4" fontId="15" fillId="81" borderId="58" xfId="2758" applyNumberFormat="1" applyFont="1" applyFill="1" applyBorder="1" applyAlignment="1">
      <alignment horizontal="right" vertical="center"/>
    </xf>
    <xf numFmtId="4" fontId="15" fillId="81" borderId="22" xfId="2758" applyNumberFormat="1" applyFont="1" applyFill="1" applyBorder="1" applyAlignment="1">
      <alignment horizontal="right" vertical="center"/>
    </xf>
    <xf numFmtId="4" fontId="15" fillId="81" borderId="53" xfId="2758" applyNumberFormat="1" applyFont="1" applyFill="1" applyBorder="1" applyAlignment="1">
      <alignment horizontal="right" vertical="center"/>
    </xf>
    <xf numFmtId="4" fontId="115" fillId="0" borderId="0" xfId="2758" applyNumberFormat="1" applyFont="1" applyBorder="1"/>
    <xf numFmtId="0" fontId="15" fillId="81" borderId="21" xfId="2758" applyFont="1" applyFill="1" applyBorder="1" applyAlignment="1">
      <alignment vertical="center"/>
    </xf>
    <xf numFmtId="0" fontId="15" fillId="81" borderId="21" xfId="2758" applyFont="1" applyFill="1" applyBorder="1" applyAlignment="1">
      <alignment horizontal="center" vertical="center"/>
    </xf>
    <xf numFmtId="3" fontId="15" fillId="81" borderId="59" xfId="2758" applyNumberFormat="1" applyFont="1" applyFill="1" applyBorder="1" applyAlignment="1">
      <alignment horizontal="right" vertical="center"/>
    </xf>
    <xf numFmtId="3" fontId="15" fillId="81" borderId="61" xfId="2758" applyNumberFormat="1" applyFont="1" applyFill="1" applyBorder="1" applyAlignment="1">
      <alignment horizontal="right" vertical="center"/>
    </xf>
    <xf numFmtId="3" fontId="15" fillId="81" borderId="21" xfId="2758" applyNumberFormat="1" applyFont="1" applyFill="1" applyBorder="1" applyAlignment="1">
      <alignment horizontal="right" vertical="center"/>
    </xf>
    <xf numFmtId="3" fontId="15" fillId="81" borderId="60" xfId="2758" applyNumberFormat="1" applyFont="1" applyFill="1" applyBorder="1" applyAlignment="1">
      <alignment horizontal="right" vertical="center"/>
    </xf>
    <xf numFmtId="3" fontId="15" fillId="81" borderId="22" xfId="2758" applyNumberFormat="1" applyFont="1" applyFill="1" applyBorder="1" applyAlignment="1">
      <alignment horizontal="right" vertical="center"/>
    </xf>
    <xf numFmtId="3" fontId="15" fillId="81" borderId="53" xfId="2758" applyNumberFormat="1" applyFont="1" applyFill="1" applyBorder="1" applyAlignment="1">
      <alignment horizontal="right" vertical="center"/>
    </xf>
    <xf numFmtId="167" fontId="15" fillId="81" borderId="60" xfId="2758" applyNumberFormat="1" applyFont="1" applyFill="1" applyBorder="1" applyAlignment="1">
      <alignment horizontal="right" vertical="center"/>
    </xf>
    <xf numFmtId="0" fontId="16" fillId="81" borderId="21" xfId="2758" applyFont="1" applyFill="1" applyBorder="1" applyAlignment="1">
      <alignment vertical="center"/>
    </xf>
    <xf numFmtId="0" fontId="16" fillId="81" borderId="21" xfId="2758" applyFont="1" applyFill="1" applyBorder="1" applyAlignment="1">
      <alignment horizontal="center" vertical="center"/>
    </xf>
    <xf numFmtId="3" fontId="16" fillId="81" borderId="59" xfId="2758" applyNumberFormat="1" applyFont="1" applyFill="1" applyBorder="1" applyAlignment="1">
      <alignment horizontal="right" vertical="center"/>
    </xf>
    <xf numFmtId="3" fontId="16" fillId="81" borderId="61" xfId="2758" applyNumberFormat="1" applyFont="1" applyFill="1" applyBorder="1" applyAlignment="1">
      <alignment horizontal="right" vertical="center"/>
    </xf>
    <xf numFmtId="3" fontId="16" fillId="81" borderId="21" xfId="2758" applyNumberFormat="1" applyFont="1" applyFill="1" applyBorder="1" applyAlignment="1">
      <alignment horizontal="right" vertical="center"/>
    </xf>
    <xf numFmtId="3" fontId="16" fillId="81" borderId="60" xfId="2758" applyNumberFormat="1" applyFont="1" applyFill="1" applyBorder="1" applyAlignment="1">
      <alignment horizontal="right" vertical="center"/>
    </xf>
    <xf numFmtId="3" fontId="16" fillId="81" borderId="22" xfId="2758" applyNumberFormat="1" applyFont="1" applyFill="1" applyBorder="1" applyAlignment="1">
      <alignment horizontal="right" vertical="center"/>
    </xf>
    <xf numFmtId="3" fontId="16" fillId="81" borderId="53" xfId="2758" applyNumberFormat="1" applyFont="1" applyFill="1" applyBorder="1" applyAlignment="1">
      <alignment horizontal="right" vertical="center"/>
    </xf>
    <xf numFmtId="3" fontId="16" fillId="0" borderId="0" xfId="2758" applyNumberFormat="1" applyFont="1" applyBorder="1"/>
    <xf numFmtId="3" fontId="126" fillId="0" borderId="61" xfId="2758" applyNumberFormat="1" applyFont="1" applyFill="1" applyBorder="1" applyAlignment="1">
      <alignment horizontal="right" vertical="center"/>
    </xf>
    <xf numFmtId="3" fontId="16" fillId="0" borderId="0" xfId="2758" applyNumberFormat="1" applyFont="1" applyFill="1" applyBorder="1"/>
    <xf numFmtId="4" fontId="112" fillId="0" borderId="0" xfId="2758" applyNumberFormat="1" applyFont="1"/>
    <xf numFmtId="3" fontId="284" fillId="0" borderId="52" xfId="2758" applyNumberFormat="1" applyFont="1" applyBorder="1"/>
    <xf numFmtId="3" fontId="284" fillId="0" borderId="0" xfId="2758" applyNumberFormat="1" applyFont="1"/>
    <xf numFmtId="4" fontId="284" fillId="0" borderId="51" xfId="2758" applyNumberFormat="1" applyFont="1" applyBorder="1"/>
    <xf numFmtId="3" fontId="284" fillId="0" borderId="51" xfId="2758" applyNumberFormat="1" applyFont="1" applyBorder="1"/>
    <xf numFmtId="3" fontId="284" fillId="0" borderId="84" xfId="2758" applyNumberFormat="1" applyFont="1" applyBorder="1"/>
    <xf numFmtId="0" fontId="284" fillId="0" borderId="0" xfId="2758" applyFont="1" applyFill="1" applyBorder="1"/>
    <xf numFmtId="3" fontId="112" fillId="0" borderId="52" xfId="2758" applyNumberFormat="1" applyFont="1" applyBorder="1"/>
    <xf numFmtId="3" fontId="112" fillId="0" borderId="51" xfId="2758" applyNumberFormat="1" applyFont="1" applyBorder="1"/>
    <xf numFmtId="0" fontId="284" fillId="0" borderId="22" xfId="2758" applyFont="1" applyBorder="1"/>
    <xf numFmtId="3" fontId="284" fillId="0" borderId="53" xfId="2758" applyNumberFormat="1" applyFont="1" applyBorder="1"/>
    <xf numFmtId="3" fontId="284" fillId="0" borderId="22" xfId="2758" applyNumberFormat="1" applyFont="1" applyBorder="1"/>
    <xf numFmtId="3" fontId="284" fillId="0" borderId="57" xfId="2758" applyNumberFormat="1" applyFont="1" applyBorder="1"/>
    <xf numFmtId="3" fontId="284" fillId="0" borderId="58" xfId="2758" applyNumberFormat="1" applyFont="1" applyBorder="1"/>
    <xf numFmtId="3" fontId="284" fillId="0" borderId="0" xfId="2758" applyNumberFormat="1" applyFont="1" applyBorder="1"/>
    <xf numFmtId="0" fontId="112" fillId="0" borderId="55" xfId="2758" applyFont="1" applyBorder="1"/>
    <xf numFmtId="0" fontId="112" fillId="0" borderId="23" xfId="2758" applyFont="1" applyBorder="1"/>
    <xf numFmtId="3" fontId="112" fillId="0" borderId="55" xfId="2758" applyNumberFormat="1" applyFont="1" applyBorder="1"/>
    <xf numFmtId="3" fontId="112" fillId="0" borderId="23" xfId="2758" applyNumberFormat="1" applyFont="1" applyBorder="1"/>
    <xf numFmtId="3" fontId="112" fillId="0" borderId="50" xfId="2758" applyNumberFormat="1" applyFont="1" applyBorder="1"/>
    <xf numFmtId="3" fontId="112" fillId="0" borderId="0" xfId="2758" applyNumberFormat="1" applyFont="1" applyBorder="1"/>
    <xf numFmtId="4" fontId="112" fillId="0" borderId="55" xfId="2758" applyNumberFormat="1" applyFont="1" applyBorder="1"/>
    <xf numFmtId="3" fontId="112" fillId="0" borderId="54" xfId="2758" applyNumberFormat="1" applyFont="1" applyBorder="1"/>
    <xf numFmtId="2" fontId="112" fillId="0" borderId="0" xfId="2758" applyNumberFormat="1" applyFont="1"/>
    <xf numFmtId="0" fontId="112" fillId="0" borderId="56" xfId="2758" applyFont="1" applyBorder="1"/>
    <xf numFmtId="0" fontId="112" fillId="0" borderId="0" xfId="2758" applyFont="1" applyBorder="1"/>
    <xf numFmtId="3" fontId="112" fillId="0" borderId="51" xfId="2758" applyNumberFormat="1" applyFont="1" applyFill="1" applyBorder="1"/>
    <xf numFmtId="3" fontId="112" fillId="0" borderId="56" xfId="2758" applyNumberFormat="1" applyFont="1" applyFill="1" applyBorder="1"/>
    <xf numFmtId="3" fontId="112" fillId="0" borderId="0" xfId="2758" applyNumberFormat="1" applyFont="1" applyFill="1" applyBorder="1"/>
    <xf numFmtId="3" fontId="112" fillId="0" borderId="52" xfId="2758" applyNumberFormat="1" applyFont="1" applyFill="1" applyBorder="1"/>
    <xf numFmtId="2" fontId="112" fillId="0" borderId="56" xfId="2758" applyNumberFormat="1" applyFont="1" applyBorder="1"/>
    <xf numFmtId="3" fontId="112" fillId="0" borderId="56" xfId="2758" applyNumberFormat="1" applyFont="1" applyBorder="1"/>
    <xf numFmtId="0" fontId="112" fillId="0" borderId="58" xfId="2758" applyFont="1" applyBorder="1"/>
    <xf numFmtId="0" fontId="112" fillId="0" borderId="22" xfId="2758" applyFont="1" applyBorder="1"/>
    <xf numFmtId="3" fontId="112" fillId="0" borderId="57" xfId="2758" applyNumberFormat="1" applyFont="1" applyBorder="1"/>
    <xf numFmtId="3" fontId="112" fillId="0" borderId="58" xfId="2758" applyNumberFormat="1" applyFont="1" applyBorder="1"/>
    <xf numFmtId="3" fontId="112" fillId="0" borderId="22" xfId="2758" applyNumberFormat="1" applyFont="1" applyBorder="1"/>
    <xf numFmtId="3" fontId="112" fillId="0" borderId="53" xfId="2758" applyNumberFormat="1" applyFont="1" applyBorder="1"/>
    <xf numFmtId="4" fontId="112" fillId="0" borderId="58" xfId="2758" applyNumberFormat="1" applyFont="1" applyBorder="1"/>
    <xf numFmtId="0" fontId="112" fillId="0" borderId="51" xfId="2758" applyFont="1" applyBorder="1"/>
    <xf numFmtId="2" fontId="112" fillId="0" borderId="0" xfId="2758" applyNumberFormat="1" applyFont="1" applyBorder="1"/>
    <xf numFmtId="2" fontId="112" fillId="0" borderId="52" xfId="2758" applyNumberFormat="1" applyFont="1" applyFill="1" applyBorder="1"/>
    <xf numFmtId="2" fontId="112" fillId="0" borderId="0" xfId="2758" applyNumberFormat="1" applyFont="1" applyFill="1" applyBorder="1"/>
    <xf numFmtId="4" fontId="112" fillId="0" borderId="56" xfId="2758" applyNumberFormat="1" applyFont="1" applyBorder="1"/>
    <xf numFmtId="4" fontId="112" fillId="0" borderId="0" xfId="2758" applyNumberFormat="1" applyFont="1" applyBorder="1"/>
    <xf numFmtId="4" fontId="112" fillId="0" borderId="52" xfId="2758" applyNumberFormat="1" applyFont="1" applyBorder="1"/>
    <xf numFmtId="0" fontId="111" fillId="0" borderId="56" xfId="2758" applyFont="1" applyBorder="1"/>
    <xf numFmtId="0" fontId="111" fillId="0" borderId="0" xfId="2758" applyFont="1" applyBorder="1"/>
    <xf numFmtId="0" fontId="111" fillId="0" borderId="51" xfId="2758" applyFont="1" applyBorder="1"/>
    <xf numFmtId="2" fontId="111" fillId="0" borderId="56" xfId="2758" applyNumberFormat="1" applyFont="1" applyBorder="1"/>
    <xf numFmtId="2" fontId="111" fillId="0" borderId="0" xfId="2758" applyNumberFormat="1" applyFont="1" applyBorder="1"/>
    <xf numFmtId="2" fontId="111" fillId="0" borderId="52" xfId="2758" applyNumberFormat="1" applyFont="1" applyFill="1" applyBorder="1"/>
    <xf numFmtId="2" fontId="111" fillId="0" borderId="0" xfId="2758" applyNumberFormat="1" applyFont="1" applyFill="1" applyBorder="1"/>
    <xf numFmtId="4" fontId="111" fillId="0" borderId="56" xfId="2758" applyNumberFormat="1" applyFont="1" applyBorder="1"/>
    <xf numFmtId="4" fontId="111" fillId="0" borderId="0" xfId="2758" applyNumberFormat="1" applyFont="1" applyBorder="1"/>
    <xf numFmtId="4" fontId="111" fillId="0" borderId="52" xfId="2758" applyNumberFormat="1" applyFont="1" applyBorder="1"/>
    <xf numFmtId="4" fontId="111" fillId="0" borderId="0" xfId="2758" applyNumberFormat="1" applyFont="1"/>
    <xf numFmtId="2" fontId="112" fillId="0" borderId="51" xfId="2758" applyNumberFormat="1" applyFont="1" applyBorder="1"/>
    <xf numFmtId="0" fontId="112" fillId="0" borderId="52" xfId="2758" applyFont="1" applyBorder="1"/>
    <xf numFmtId="1" fontId="112" fillId="0" borderId="51" xfId="2758" applyNumberFormat="1" applyFont="1" applyBorder="1"/>
    <xf numFmtId="208" fontId="112" fillId="0" borderId="0" xfId="2758" applyNumberFormat="1" applyFont="1"/>
    <xf numFmtId="2" fontId="112" fillId="0" borderId="57" xfId="2758" applyNumberFormat="1" applyFont="1" applyBorder="1"/>
    <xf numFmtId="2" fontId="112" fillId="0" borderId="58" xfId="2758" applyNumberFormat="1" applyFont="1" applyBorder="1"/>
    <xf numFmtId="2" fontId="112" fillId="0" borderId="22" xfId="2758" applyNumberFormat="1" applyFont="1" applyBorder="1"/>
    <xf numFmtId="0" fontId="112" fillId="0" borderId="53" xfId="2758" applyFont="1" applyBorder="1"/>
    <xf numFmtId="1" fontId="112" fillId="0" borderId="57" xfId="2758" applyNumberFormat="1" applyFont="1" applyBorder="1"/>
    <xf numFmtId="0" fontId="111" fillId="0" borderId="55" xfId="2758" applyFont="1" applyBorder="1"/>
    <xf numFmtId="0" fontId="111" fillId="0" borderId="50" xfId="2758" applyFont="1" applyBorder="1"/>
    <xf numFmtId="3" fontId="111" fillId="0" borderId="54" xfId="2758" applyNumberFormat="1" applyFont="1" applyBorder="1"/>
    <xf numFmtId="3" fontId="111" fillId="0" borderId="55" xfId="2758" applyNumberFormat="1" applyFont="1" applyBorder="1"/>
    <xf numFmtId="3" fontId="111" fillId="0" borderId="23" xfId="2758" applyNumberFormat="1" applyFont="1" applyBorder="1"/>
    <xf numFmtId="3" fontId="111" fillId="0" borderId="50" xfId="2758" applyNumberFormat="1" applyFont="1" applyBorder="1"/>
    <xf numFmtId="3" fontId="111" fillId="0" borderId="0" xfId="2758" applyNumberFormat="1" applyFont="1" applyBorder="1"/>
    <xf numFmtId="3" fontId="111" fillId="0" borderId="52" xfId="2758" applyNumberFormat="1" applyFont="1" applyBorder="1"/>
    <xf numFmtId="4" fontId="112" fillId="0" borderId="54" xfId="2758" applyNumberFormat="1" applyFont="1" applyBorder="1"/>
    <xf numFmtId="0" fontId="111" fillId="0" borderId="52" xfId="2758" applyFont="1" applyBorder="1"/>
    <xf numFmtId="3" fontId="111" fillId="0" borderId="51" xfId="2758" applyNumberFormat="1" applyFont="1" applyBorder="1"/>
    <xf numFmtId="3" fontId="111" fillId="0" borderId="56" xfId="2758" applyNumberFormat="1" applyFont="1" applyBorder="1"/>
    <xf numFmtId="0" fontId="111" fillId="0" borderId="0" xfId="2758" applyFont="1" applyFill="1" applyBorder="1"/>
    <xf numFmtId="0" fontId="112" fillId="0" borderId="57" xfId="2758" applyFont="1" applyBorder="1"/>
    <xf numFmtId="167" fontId="15" fillId="81" borderId="51" xfId="2758" applyNumberFormat="1" applyFont="1" applyFill="1" applyBorder="1" applyAlignment="1">
      <alignment horizontal="right" vertical="center"/>
    </xf>
    <xf numFmtId="167" fontId="15" fillId="81" borderId="56" xfId="2758" applyNumberFormat="1" applyFont="1" applyFill="1" applyBorder="1" applyAlignment="1">
      <alignment horizontal="right" vertical="center"/>
    </xf>
    <xf numFmtId="167" fontId="15" fillId="81" borderId="0" xfId="2758" applyNumberFormat="1" applyFont="1" applyFill="1" applyBorder="1" applyAlignment="1">
      <alignment horizontal="right" vertical="center"/>
    </xf>
    <xf numFmtId="167" fontId="115" fillId="0" borderId="0" xfId="2758" applyNumberFormat="1" applyFont="1" applyFill="1" applyBorder="1"/>
    <xf numFmtId="167" fontId="15" fillId="81" borderId="85" xfId="2758" applyNumberFormat="1" applyFont="1" applyFill="1" applyBorder="1" applyAlignment="1">
      <alignment horizontal="right" vertical="center"/>
    </xf>
    <xf numFmtId="167" fontId="15" fillId="81" borderId="86" xfId="2758" applyNumberFormat="1" applyFont="1" applyFill="1" applyBorder="1" applyAlignment="1">
      <alignment horizontal="right" vertical="center"/>
    </xf>
    <xf numFmtId="167" fontId="125" fillId="0" borderId="51" xfId="2758" applyNumberFormat="1" applyFont="1" applyFill="1" applyBorder="1" applyAlignment="1">
      <alignment horizontal="right" vertical="center"/>
    </xf>
    <xf numFmtId="167" fontId="125" fillId="0" borderId="56" xfId="2758" applyNumberFormat="1" applyFont="1" applyBorder="1" applyAlignment="1">
      <alignment horizontal="right" vertical="center"/>
    </xf>
    <xf numFmtId="167" fontId="125" fillId="0" borderId="0" xfId="2758" applyNumberFormat="1" applyFont="1" applyBorder="1" applyAlignment="1">
      <alignment horizontal="right" vertical="center"/>
    </xf>
    <xf numFmtId="167" fontId="17" fillId="0" borderId="0" xfId="2758" applyNumberFormat="1" applyFont="1" applyBorder="1" applyAlignment="1">
      <alignment horizontal="right" vertical="center"/>
    </xf>
    <xf numFmtId="167" fontId="17" fillId="0" borderId="52" xfId="2758" applyNumberFormat="1" applyFont="1" applyBorder="1" applyAlignment="1">
      <alignment horizontal="right" vertical="center"/>
    </xf>
    <xf numFmtId="167" fontId="17" fillId="0" borderId="51" xfId="2758" applyNumberFormat="1" applyFont="1" applyBorder="1" applyAlignment="1">
      <alignment horizontal="right" vertical="center"/>
    </xf>
    <xf numFmtId="167" fontId="125" fillId="0" borderId="51" xfId="2758" applyNumberFormat="1" applyFont="1" applyBorder="1" applyAlignment="1">
      <alignment horizontal="right" vertical="center"/>
    </xf>
    <xf numFmtId="167" fontId="126" fillId="0" borderId="51" xfId="2758" applyNumberFormat="1" applyFont="1" applyBorder="1" applyAlignment="1">
      <alignment horizontal="right" vertical="center"/>
    </xf>
    <xf numFmtId="167" fontId="126" fillId="0" borderId="56" xfId="2758" applyNumberFormat="1" applyFont="1" applyFill="1" applyBorder="1" applyAlignment="1">
      <alignment horizontal="right" vertical="center"/>
    </xf>
    <xf numFmtId="167" fontId="126" fillId="0" borderId="0" xfId="2758" applyNumberFormat="1" applyFont="1" applyFill="1" applyBorder="1" applyAlignment="1">
      <alignment horizontal="right" vertical="center"/>
    </xf>
    <xf numFmtId="167" fontId="16" fillId="0" borderId="0" xfId="2758" applyNumberFormat="1" applyFont="1" applyFill="1" applyBorder="1" applyAlignment="1">
      <alignment horizontal="right" vertical="center"/>
    </xf>
    <xf numFmtId="167" fontId="16" fillId="0" borderId="51" xfId="2758" applyNumberFormat="1" applyFont="1" applyFill="1" applyBorder="1" applyAlignment="1">
      <alignment horizontal="right" vertical="center"/>
    </xf>
    <xf numFmtId="167" fontId="126" fillId="0" borderId="51" xfId="2758" applyNumberFormat="1" applyFont="1" applyFill="1" applyBorder="1" applyAlignment="1">
      <alignment horizontal="right" vertical="center"/>
    </xf>
    <xf numFmtId="167" fontId="126" fillId="0" borderId="51" xfId="2758" applyNumberFormat="1" applyFont="1" applyFill="1" applyBorder="1" applyAlignment="1">
      <alignment horizontal="right"/>
    </xf>
    <xf numFmtId="167" fontId="126" fillId="0" borderId="56" xfId="2758" applyNumberFormat="1" applyFont="1" applyFill="1" applyBorder="1" applyAlignment="1">
      <alignment horizontal="right"/>
    </xf>
    <xf numFmtId="167" fontId="126" fillId="0" borderId="0" xfId="2758" applyNumberFormat="1" applyFont="1" applyFill="1" applyBorder="1" applyAlignment="1">
      <alignment horizontal="right"/>
    </xf>
    <xf numFmtId="167" fontId="126" fillId="0" borderId="52" xfId="2758" applyNumberFormat="1" applyFont="1" applyFill="1" applyBorder="1" applyAlignment="1">
      <alignment horizontal="right"/>
    </xf>
    <xf numFmtId="167" fontId="16" fillId="0" borderId="0" xfId="2758" applyNumberFormat="1" applyFont="1" applyFill="1" applyBorder="1" applyAlignment="1">
      <alignment horizontal="right"/>
    </xf>
    <xf numFmtId="167" fontId="16" fillId="0" borderId="52" xfId="2758" applyNumberFormat="1" applyFont="1" applyFill="1" applyBorder="1" applyAlignment="1">
      <alignment horizontal="right"/>
    </xf>
    <xf numFmtId="167" fontId="125" fillId="0" borderId="56" xfId="2758" applyNumberFormat="1" applyFont="1" applyFill="1" applyBorder="1" applyAlignment="1">
      <alignment horizontal="right" vertical="center" wrapText="1"/>
    </xf>
    <xf numFmtId="167" fontId="125" fillId="0" borderId="0" xfId="2758" applyNumberFormat="1" applyFont="1" applyFill="1" applyBorder="1" applyAlignment="1">
      <alignment horizontal="right" vertical="center"/>
    </xf>
    <xf numFmtId="167" fontId="17" fillId="0" borderId="0" xfId="2758" applyNumberFormat="1" applyFont="1" applyFill="1" applyBorder="1" applyAlignment="1">
      <alignment horizontal="right" vertical="center"/>
    </xf>
    <xf numFmtId="167" fontId="17" fillId="0" borderId="52" xfId="2758" applyNumberFormat="1" applyFont="1" applyFill="1" applyBorder="1" applyAlignment="1">
      <alignment horizontal="right" vertical="center"/>
    </xf>
    <xf numFmtId="167" fontId="125" fillId="0" borderId="56" xfId="2758" applyNumberFormat="1" applyFont="1" applyFill="1" applyBorder="1" applyAlignment="1">
      <alignment horizontal="right" vertical="center"/>
    </xf>
    <xf numFmtId="167" fontId="17" fillId="0" borderId="51" xfId="2758" applyNumberFormat="1" applyFont="1" applyFill="1" applyBorder="1" applyAlignment="1">
      <alignment horizontal="right" vertical="center"/>
    </xf>
    <xf numFmtId="167" fontId="126" fillId="0" borderId="56" xfId="2758" applyNumberFormat="1" applyFont="1" applyFill="1" applyBorder="1" applyAlignment="1">
      <alignment horizontal="right" vertical="center" wrapText="1"/>
    </xf>
    <xf numFmtId="167" fontId="126" fillId="0" borderId="0" xfId="2758" applyNumberFormat="1" applyFont="1" applyFill="1" applyBorder="1" applyAlignment="1">
      <alignment horizontal="right" vertical="center" wrapText="1"/>
    </xf>
    <xf numFmtId="167" fontId="126" fillId="0" borderId="52" xfId="2758" applyNumberFormat="1" applyFont="1" applyFill="1" applyBorder="1" applyAlignment="1">
      <alignment horizontal="right" vertical="center" wrapText="1"/>
    </xf>
    <xf numFmtId="167" fontId="126" fillId="0" borderId="51" xfId="2758" applyNumberFormat="1" applyFont="1" applyFill="1" applyBorder="1" applyAlignment="1">
      <alignment horizontal="right" vertical="center" wrapText="1"/>
    </xf>
    <xf numFmtId="167" fontId="16" fillId="0" borderId="0" xfId="2758" applyNumberFormat="1" applyFont="1" applyFill="1" applyBorder="1" applyAlignment="1">
      <alignment horizontal="right" vertical="center" wrapText="1"/>
    </xf>
    <xf numFmtId="167" fontId="16" fillId="0" borderId="52" xfId="2758" applyNumberFormat="1" applyFont="1" applyFill="1" applyBorder="1" applyAlignment="1">
      <alignment horizontal="right" vertical="center" wrapText="1"/>
    </xf>
    <xf numFmtId="167" fontId="115" fillId="0" borderId="56" xfId="2758" applyNumberFormat="1" applyFont="1" applyFill="1" applyBorder="1"/>
    <xf numFmtId="167" fontId="16" fillId="0" borderId="56" xfId="2758" applyNumberFormat="1" applyFont="1" applyFill="1" applyBorder="1" applyAlignment="1">
      <alignment horizontal="right" vertical="center"/>
    </xf>
    <xf numFmtId="167" fontId="126" fillId="0" borderId="57" xfId="2758" applyNumberFormat="1" applyFont="1" applyFill="1" applyBorder="1" applyAlignment="1">
      <alignment horizontal="right" vertical="center"/>
    </xf>
    <xf numFmtId="167" fontId="126" fillId="0" borderId="58" xfId="2758" applyNumberFormat="1" applyFont="1" applyFill="1" applyBorder="1" applyAlignment="1">
      <alignment horizontal="right" vertical="center"/>
    </xf>
    <xf numFmtId="167" fontId="126" fillId="0" borderId="22" xfId="2758" applyNumberFormat="1" applyFont="1" applyFill="1" applyBorder="1" applyAlignment="1">
      <alignment horizontal="right" vertical="center"/>
    </xf>
    <xf numFmtId="167" fontId="16" fillId="0" borderId="22" xfId="2758" applyNumberFormat="1" applyFont="1" applyFill="1" applyBorder="1" applyAlignment="1">
      <alignment horizontal="right" vertical="center"/>
    </xf>
    <xf numFmtId="167" fontId="16" fillId="0" borderId="53" xfId="2758" applyNumberFormat="1" applyFont="1" applyFill="1" applyBorder="1" applyAlignment="1">
      <alignment horizontal="right" vertical="center"/>
    </xf>
    <xf numFmtId="167" fontId="16" fillId="0" borderId="57" xfId="2758" applyNumberFormat="1" applyFont="1" applyFill="1" applyBorder="1" applyAlignment="1">
      <alignment horizontal="right" vertical="center"/>
    </xf>
    <xf numFmtId="167" fontId="15" fillId="0" borderId="51" xfId="2758" applyNumberFormat="1" applyFont="1" applyFill="1" applyBorder="1" applyAlignment="1">
      <alignment horizontal="right" vertical="center"/>
    </xf>
    <xf numFmtId="167" fontId="15" fillId="0" borderId="56" xfId="2758" applyNumberFormat="1" applyFont="1" applyFill="1" applyBorder="1" applyAlignment="1">
      <alignment horizontal="right" vertical="center"/>
    </xf>
    <xf numFmtId="167" fontId="15" fillId="0" borderId="0" xfId="2758" applyNumberFormat="1" applyFont="1" applyFill="1" applyBorder="1" applyAlignment="1">
      <alignment horizontal="right" vertical="center"/>
    </xf>
    <xf numFmtId="167" fontId="17" fillId="0" borderId="52" xfId="2758" applyNumberFormat="1" applyFont="1" applyFill="1" applyBorder="1" applyAlignment="1"/>
    <xf numFmtId="167" fontId="121" fillId="0" borderId="0" xfId="2758" applyNumberFormat="1" applyFont="1" applyFill="1" applyAlignment="1">
      <alignment horizontal="right"/>
    </xf>
    <xf numFmtId="167" fontId="121" fillId="0" borderId="52" xfId="2758" applyNumberFormat="1" applyFont="1" applyFill="1" applyBorder="1" applyAlignment="1">
      <alignment horizontal="right"/>
    </xf>
    <xf numFmtId="167" fontId="17" fillId="0" borderId="0" xfId="2758" applyNumberFormat="1" applyFont="1" applyFill="1" applyBorder="1" applyAlignment="1">
      <alignment horizontal="right"/>
    </xf>
    <xf numFmtId="167" fontId="17" fillId="0" borderId="52" xfId="2758" applyNumberFormat="1" applyFont="1" applyFill="1" applyBorder="1" applyAlignment="1">
      <alignment horizontal="right"/>
    </xf>
    <xf numFmtId="167" fontId="121" fillId="0" borderId="0" xfId="2758" applyNumberFormat="1" applyFont="1" applyFill="1" applyBorder="1"/>
    <xf numFmtId="167" fontId="125" fillId="0" borderId="0" xfId="2758" applyNumberFormat="1" applyFont="1" applyFill="1" applyBorder="1" applyAlignment="1">
      <alignment horizontal="right" vertical="center" wrapText="1"/>
    </xf>
    <xf numFmtId="167" fontId="125" fillId="0" borderId="52" xfId="2758" applyNumberFormat="1" applyFont="1" applyFill="1" applyBorder="1" applyAlignment="1">
      <alignment horizontal="right" vertical="center" wrapText="1"/>
    </xf>
    <xf numFmtId="167" fontId="17" fillId="0" borderId="0" xfId="2758" applyNumberFormat="1" applyFont="1" applyFill="1" applyBorder="1" applyAlignment="1">
      <alignment horizontal="right" vertical="center" wrapText="1"/>
    </xf>
    <xf numFmtId="167" fontId="17" fillId="0" borderId="52" xfId="2758" applyNumberFormat="1" applyFont="1" applyFill="1" applyBorder="1" applyAlignment="1">
      <alignment horizontal="right" vertical="center" wrapText="1"/>
    </xf>
    <xf numFmtId="167" fontId="121" fillId="0" borderId="56" xfId="2758" applyNumberFormat="1" applyFont="1" applyFill="1" applyBorder="1"/>
    <xf numFmtId="167" fontId="16" fillId="0" borderId="56" xfId="2758" applyNumberFormat="1" applyFont="1" applyFill="1" applyBorder="1" applyAlignment="1">
      <alignment horizontal="right" vertical="center" wrapText="1"/>
    </xf>
    <xf numFmtId="167" fontId="15" fillId="81" borderId="57" xfId="2758" applyNumberFormat="1" applyFont="1" applyFill="1" applyBorder="1" applyAlignment="1">
      <alignment horizontal="right" vertical="center"/>
    </xf>
    <xf numFmtId="167" fontId="15" fillId="81" borderId="58" xfId="2758" applyNumberFormat="1" applyFont="1" applyFill="1" applyBorder="1" applyAlignment="1">
      <alignment horizontal="right" vertical="center"/>
    </xf>
    <xf numFmtId="167" fontId="15" fillId="81" borderId="22" xfId="2758" applyNumberFormat="1" applyFont="1" applyFill="1" applyBorder="1" applyAlignment="1">
      <alignment horizontal="right" vertical="center"/>
    </xf>
    <xf numFmtId="167" fontId="15" fillId="81" borderId="53" xfId="2758" applyNumberFormat="1" applyFont="1" applyFill="1" applyBorder="1" applyAlignment="1">
      <alignment horizontal="right" vertical="center"/>
    </xf>
    <xf numFmtId="167" fontId="15" fillId="81" borderId="59" xfId="2758" applyNumberFormat="1" applyFont="1" applyFill="1" applyBorder="1" applyAlignment="1">
      <alignment horizontal="right" vertical="center"/>
    </xf>
    <xf numFmtId="167" fontId="15" fillId="81" borderId="61" xfId="2758" applyNumberFormat="1" applyFont="1" applyFill="1" applyBorder="1" applyAlignment="1">
      <alignment horizontal="right" vertical="center"/>
    </xf>
    <xf numFmtId="167" fontId="15" fillId="81" borderId="21" xfId="2758" applyNumberFormat="1" applyFont="1" applyFill="1" applyBorder="1" applyAlignment="1">
      <alignment horizontal="right" vertical="center"/>
    </xf>
    <xf numFmtId="203" fontId="112" fillId="0" borderId="0" xfId="2758" applyNumberFormat="1" applyFont="1" applyBorder="1"/>
    <xf numFmtId="4" fontId="111" fillId="0" borderId="54" xfId="2758" applyNumberFormat="1" applyFont="1" applyBorder="1"/>
    <xf numFmtId="4" fontId="111" fillId="0" borderId="55" xfId="2758" applyNumberFormat="1" applyFont="1" applyBorder="1"/>
    <xf numFmtId="4" fontId="111" fillId="0" borderId="23" xfId="2758" applyNumberFormat="1" applyFont="1" applyBorder="1"/>
    <xf numFmtId="4" fontId="111" fillId="0" borderId="50" xfId="2758" applyNumberFormat="1" applyFont="1" applyBorder="1"/>
    <xf numFmtId="4" fontId="112" fillId="0" borderId="51" xfId="2758" applyNumberFormat="1" applyFont="1" applyBorder="1"/>
    <xf numFmtId="4" fontId="111" fillId="0" borderId="51" xfId="2758" applyNumberFormat="1" applyFont="1" applyBorder="1"/>
    <xf numFmtId="4" fontId="112" fillId="0" borderId="57" xfId="2758" applyNumberFormat="1" applyFont="1" applyBorder="1"/>
    <xf numFmtId="4" fontId="112" fillId="0" borderId="22" xfId="2758" applyNumberFormat="1" applyFont="1" applyBorder="1"/>
    <xf numFmtId="4" fontId="112" fillId="0" borderId="53" xfId="2758" applyNumberFormat="1" applyFont="1" applyBorder="1"/>
    <xf numFmtId="0" fontId="109" fillId="0" borderId="0" xfId="2763" applyFont="1" applyBorder="1" applyAlignment="1">
      <alignment vertical="center"/>
    </xf>
    <xf numFmtId="0" fontId="14" fillId="0" borderId="0" xfId="2763" applyFont="1"/>
    <xf numFmtId="0" fontId="124" fillId="83" borderId="91" xfId="2763" applyFont="1" applyFill="1" applyBorder="1" applyAlignment="1">
      <alignment vertical="center"/>
    </xf>
    <xf numFmtId="0" fontId="124" fillId="83" borderId="92" xfId="2763" applyFont="1" applyFill="1" applyBorder="1" applyAlignment="1">
      <alignment horizontal="center" vertical="center"/>
    </xf>
    <xf numFmtId="0" fontId="124" fillId="83" borderId="94" xfId="2763" applyFont="1" applyFill="1" applyBorder="1" applyAlignment="1">
      <alignment horizontal="left" vertical="center" indent="1"/>
    </xf>
    <xf numFmtId="0" fontId="124" fillId="83" borderId="69" xfId="2763" applyFont="1" applyFill="1" applyBorder="1" applyAlignment="1">
      <alignment horizontal="center" vertical="center"/>
    </xf>
    <xf numFmtId="0" fontId="124" fillId="83" borderId="95" xfId="2763" applyFont="1" applyFill="1" applyBorder="1" applyAlignment="1">
      <alignment horizontal="center" vertical="center"/>
    </xf>
    <xf numFmtId="0" fontId="124" fillId="83" borderId="44" xfId="2763" applyFont="1" applyFill="1" applyBorder="1" applyAlignment="1">
      <alignment horizontal="center" vertical="center"/>
    </xf>
    <xf numFmtId="0" fontId="124" fillId="83" borderId="68" xfId="2763" applyFont="1" applyFill="1" applyBorder="1" applyAlignment="1">
      <alignment horizontal="center" vertical="center"/>
    </xf>
    <xf numFmtId="0" fontId="124" fillId="83" borderId="44" xfId="2763" applyFont="1" applyFill="1" applyBorder="1" applyAlignment="1">
      <alignment horizontal="center" vertical="center" wrapText="1"/>
    </xf>
    <xf numFmtId="0" fontId="124" fillId="83" borderId="96" xfId="2763" applyFont="1" applyFill="1" applyBorder="1" applyAlignment="1">
      <alignment horizontal="center" vertical="center" wrapText="1"/>
    </xf>
    <xf numFmtId="0" fontId="126" fillId="0" borderId="51" xfId="2763" applyFont="1" applyBorder="1" applyAlignment="1">
      <alignment horizontal="left" vertical="center" indent="1"/>
    </xf>
    <xf numFmtId="0" fontId="16" fillId="0" borderId="54" xfId="2763" applyNumberFormat="1" applyFont="1" applyBorder="1" applyAlignment="1">
      <alignment horizontal="center" vertical="center"/>
    </xf>
    <xf numFmtId="166" fontId="16" fillId="0" borderId="0" xfId="2763" applyNumberFormat="1" applyFont="1" applyAlignment="1">
      <alignment horizontal="center" vertical="center"/>
    </xf>
    <xf numFmtId="166" fontId="16" fillId="0" borderId="50" xfId="2763" applyNumberFormat="1" applyFont="1" applyBorder="1" applyAlignment="1">
      <alignment horizontal="center" vertical="center"/>
    </xf>
    <xf numFmtId="166" fontId="17" fillId="0" borderId="45" xfId="2763" applyNumberFormat="1" applyFont="1" applyBorder="1" applyAlignment="1">
      <alignment horizontal="center" vertical="center" wrapText="1"/>
    </xf>
    <xf numFmtId="166" fontId="17" fillId="0" borderId="97" xfId="2763" applyNumberFormat="1" applyFont="1" applyBorder="1" applyAlignment="1">
      <alignment horizontal="center" vertical="center" wrapText="1"/>
    </xf>
    <xf numFmtId="0" fontId="312" fillId="0" borderId="51" xfId="2763" applyFont="1" applyBorder="1" applyAlignment="1">
      <alignment horizontal="left" vertical="center" indent="2"/>
    </xf>
    <xf numFmtId="0" fontId="18" fillId="0" borderId="51" xfId="2763" applyNumberFormat="1" applyFont="1" applyBorder="1" applyAlignment="1">
      <alignment horizontal="center" vertical="center"/>
    </xf>
    <xf numFmtId="166" fontId="18" fillId="0" borderId="0" xfId="2763" applyNumberFormat="1" applyFont="1" applyAlignment="1">
      <alignment horizontal="center" vertical="center"/>
    </xf>
    <xf numFmtId="166" fontId="18" fillId="0" borderId="52" xfId="2763" applyNumberFormat="1" applyFont="1" applyBorder="1" applyAlignment="1">
      <alignment horizontal="center" vertical="center"/>
    </xf>
    <xf numFmtId="166" fontId="17" fillId="0" borderId="0" xfId="2763" applyNumberFormat="1" applyFont="1" applyBorder="1" applyAlignment="1">
      <alignment horizontal="center" vertical="center" wrapText="1"/>
    </xf>
    <xf numFmtId="166" fontId="17" fillId="0" borderId="52" xfId="2763" applyNumberFormat="1" applyFont="1" applyBorder="1" applyAlignment="1">
      <alignment horizontal="center" vertical="center" wrapText="1"/>
    </xf>
    <xf numFmtId="0" fontId="126" fillId="0" borderId="51" xfId="2763" applyNumberFormat="1" applyFont="1" applyBorder="1" applyAlignment="1">
      <alignment horizontal="center" vertical="center"/>
    </xf>
    <xf numFmtId="166" fontId="126" fillId="0" borderId="0" xfId="2763" applyNumberFormat="1" applyFont="1" applyAlignment="1">
      <alignment horizontal="center" vertical="center"/>
    </xf>
    <xf numFmtId="166" fontId="126" fillId="0" borderId="52" xfId="2763" applyNumberFormat="1" applyFont="1" applyBorder="1" applyAlignment="1">
      <alignment horizontal="center" vertical="center"/>
    </xf>
    <xf numFmtId="0" fontId="126" fillId="0" borderId="98" xfId="2763" applyFont="1" applyBorder="1" applyAlignment="1">
      <alignment horizontal="left" vertical="center" indent="1"/>
    </xf>
    <xf numFmtId="0" fontId="16" fillId="0" borderId="98" xfId="2763" applyNumberFormat="1" applyFont="1" applyBorder="1" applyAlignment="1">
      <alignment horizontal="center" vertical="center"/>
    </xf>
    <xf numFmtId="166" fontId="16" fillId="0" borderId="99" xfId="2763" applyNumberFormat="1" applyFont="1" applyBorder="1" applyAlignment="1">
      <alignment horizontal="center" vertical="center"/>
    </xf>
    <xf numFmtId="166" fontId="16" fillId="0" borderId="100" xfId="2763" applyNumberFormat="1" applyFont="1" applyBorder="1" applyAlignment="1">
      <alignment horizontal="center" vertical="center"/>
    </xf>
    <xf numFmtId="166" fontId="17" fillId="0" borderId="99" xfId="2763" applyNumberFormat="1" applyFont="1" applyBorder="1" applyAlignment="1">
      <alignment horizontal="center" vertical="center" wrapText="1"/>
    </xf>
    <xf numFmtId="166" fontId="17" fillId="0" borderId="100" xfId="2763" applyNumberFormat="1" applyFont="1" applyBorder="1" applyAlignment="1">
      <alignment horizontal="center" vertical="center" wrapText="1"/>
    </xf>
    <xf numFmtId="166" fontId="126" fillId="0" borderId="51" xfId="2763" applyNumberFormat="1" applyFont="1" applyBorder="1" applyAlignment="1">
      <alignment horizontal="center" vertical="center"/>
    </xf>
    <xf numFmtId="166" fontId="16" fillId="0" borderId="98" xfId="2763" applyNumberFormat="1" applyFont="1" applyBorder="1" applyAlignment="1">
      <alignment horizontal="center" vertical="center"/>
    </xf>
    <xf numFmtId="0" fontId="313" fillId="0" borderId="0" xfId="2737" applyFont="1" applyAlignment="1">
      <alignment vertical="center"/>
    </xf>
    <xf numFmtId="0" fontId="14" fillId="0" borderId="0" xfId="2737"/>
    <xf numFmtId="0" fontId="314" fillId="83" borderId="0" xfId="2737" applyFont="1" applyFill="1" applyBorder="1" applyAlignment="1">
      <alignment horizontal="left" vertical="center"/>
    </xf>
    <xf numFmtId="0" fontId="315" fillId="83" borderId="0" xfId="2737" applyFont="1" applyFill="1" applyBorder="1" applyAlignment="1">
      <alignment vertical="center"/>
    </xf>
    <xf numFmtId="9" fontId="314" fillId="83" borderId="69" xfId="2737" applyNumberFormat="1" applyFont="1" applyFill="1" applyBorder="1" applyAlignment="1">
      <alignment horizontal="center" vertical="center"/>
    </xf>
    <xf numFmtId="0" fontId="314" fillId="83" borderId="69" xfId="2737" applyFont="1" applyFill="1" applyBorder="1" applyAlignment="1">
      <alignment horizontal="center" vertical="center"/>
    </xf>
    <xf numFmtId="9" fontId="314" fillId="83" borderId="102" xfId="2737" applyNumberFormat="1" applyFont="1" applyFill="1" applyBorder="1" applyAlignment="1">
      <alignment horizontal="center" vertical="center"/>
    </xf>
    <xf numFmtId="0" fontId="126" fillId="0" borderId="0" xfId="2737" applyFont="1" applyBorder="1" applyAlignment="1">
      <alignment vertical="center"/>
    </xf>
    <xf numFmtId="2" fontId="126" fillId="0" borderId="103" xfId="2737" applyNumberFormat="1" applyFont="1" applyBorder="1" applyAlignment="1">
      <alignment horizontal="center" vertical="center"/>
    </xf>
    <xf numFmtId="0" fontId="126" fillId="0" borderId="22" xfId="2737" applyFont="1" applyBorder="1" applyAlignment="1">
      <alignment vertical="center"/>
    </xf>
    <xf numFmtId="2" fontId="126" fillId="0" borderId="104" xfId="2737" applyNumberFormat="1" applyFont="1" applyBorder="1" applyAlignment="1">
      <alignment horizontal="center" vertical="center"/>
    </xf>
    <xf numFmtId="0" fontId="316" fillId="0" borderId="46" xfId="2764" applyFont="1" applyBorder="1" applyAlignment="1">
      <alignment horizontal="left"/>
    </xf>
    <xf numFmtId="166" fontId="112" fillId="0" borderId="46" xfId="2764" applyNumberFormat="1" applyFont="1" applyBorder="1"/>
    <xf numFmtId="0" fontId="317" fillId="0" borderId="0" xfId="2737" applyFont="1"/>
    <xf numFmtId="0" fontId="119" fillId="0" borderId="0" xfId="2763" applyFont="1" applyBorder="1" applyAlignment="1">
      <alignment horizontal="right" vertical="center"/>
    </xf>
    <xf numFmtId="0" fontId="314" fillId="83" borderId="67" xfId="2737" applyFont="1" applyFill="1" applyBorder="1" applyAlignment="1">
      <alignment horizontal="center" vertical="center"/>
    </xf>
    <xf numFmtId="0" fontId="314" fillId="83" borderId="68" xfId="2737" applyFont="1" applyFill="1" applyBorder="1" applyAlignment="1">
      <alignment horizontal="center" vertical="center"/>
    </xf>
    <xf numFmtId="0" fontId="314" fillId="83" borderId="0" xfId="2737" applyFont="1" applyFill="1" applyBorder="1" applyAlignment="1">
      <alignment horizontal="center" vertical="center"/>
    </xf>
    <xf numFmtId="0" fontId="314" fillId="83" borderId="0" xfId="2737" applyFont="1" applyFill="1" applyAlignment="1">
      <alignment horizontal="center" vertical="center"/>
    </xf>
    <xf numFmtId="166" fontId="126" fillId="0" borderId="105" xfId="2737" applyNumberFormat="1" applyFont="1" applyBorder="1" applyAlignment="1">
      <alignment horizontal="center" vertical="center"/>
    </xf>
    <xf numFmtId="166" fontId="126" fillId="0" borderId="106" xfId="2737" applyNumberFormat="1" applyFont="1" applyBorder="1" applyAlignment="1">
      <alignment horizontal="center" vertical="center"/>
    </xf>
    <xf numFmtId="166" fontId="126" fillId="0" borderId="0" xfId="2737" applyNumberFormat="1" applyFont="1" applyAlignment="1">
      <alignment horizontal="center" vertical="center"/>
    </xf>
    <xf numFmtId="166" fontId="126" fillId="0" borderId="107" xfId="2737" applyNumberFormat="1" applyFont="1" applyBorder="1" applyAlignment="1">
      <alignment horizontal="center" vertical="center"/>
    </xf>
    <xf numFmtId="166" fontId="126" fillId="0" borderId="108" xfId="2737" applyNumberFormat="1" applyFont="1" applyBorder="1" applyAlignment="1">
      <alignment horizontal="center" vertical="center"/>
    </xf>
    <xf numFmtId="166" fontId="126" fillId="0" borderId="22" xfId="2737" applyNumberFormat="1" applyFont="1" applyBorder="1" applyAlignment="1">
      <alignment horizontal="center" vertical="center"/>
    </xf>
    <xf numFmtId="0" fontId="289" fillId="0" borderId="0" xfId="2737" applyFont="1" applyAlignment="1">
      <alignment vertical="center"/>
    </xf>
    <xf numFmtId="0" fontId="235" fillId="0" borderId="0" xfId="2765" applyFont="1"/>
    <xf numFmtId="0" fontId="115" fillId="0" borderId="0" xfId="2765" applyFont="1"/>
    <xf numFmtId="0" fontId="120" fillId="79" borderId="83" xfId="2765" applyFont="1" applyFill="1" applyBorder="1" applyAlignment="1">
      <alignment horizontal="center" vertical="center"/>
    </xf>
    <xf numFmtId="0" fontId="120" fillId="79" borderId="0" xfId="2765" applyFont="1" applyFill="1" applyBorder="1" applyAlignment="1">
      <alignment horizontal="center" vertical="center"/>
    </xf>
    <xf numFmtId="0" fontId="121" fillId="0" borderId="109" xfId="2765" applyFont="1" applyBorder="1" applyAlignment="1">
      <alignment horizontal="left" indent="2"/>
    </xf>
    <xf numFmtId="2" fontId="121" fillId="0" borderId="0" xfId="2765" applyNumberFormat="1" applyFont="1" applyBorder="1" applyAlignment="1">
      <alignment horizontal="center" vertical="center"/>
    </xf>
    <xf numFmtId="0" fontId="115" fillId="0" borderId="109" xfId="2765" applyFont="1" applyBorder="1" applyAlignment="1">
      <alignment horizontal="left" indent="3"/>
    </xf>
    <xf numFmtId="2" fontId="115" fillId="0" borderId="0" xfId="2765" applyNumberFormat="1" applyFont="1" applyBorder="1" applyAlignment="1">
      <alignment horizontal="center" vertical="center"/>
    </xf>
    <xf numFmtId="0" fontId="121" fillId="0" borderId="110" xfId="2765" applyFont="1" applyBorder="1" applyAlignment="1">
      <alignment horizontal="left" indent="2"/>
    </xf>
    <xf numFmtId="2" fontId="121" fillId="0" borderId="46" xfId="2765" applyNumberFormat="1" applyFont="1" applyBorder="1" applyAlignment="1">
      <alignment horizontal="center" vertical="center"/>
    </xf>
    <xf numFmtId="0" fontId="121" fillId="0" borderId="110" xfId="2765" applyFont="1" applyBorder="1" applyAlignment="1">
      <alignment horizontal="left" indent="1"/>
    </xf>
    <xf numFmtId="0" fontId="115" fillId="0" borderId="0" xfId="2765" applyFont="1" applyBorder="1"/>
    <xf numFmtId="0" fontId="319" fillId="0" borderId="0" xfId="2765" applyFont="1" applyAlignment="1">
      <alignment horizontal="right"/>
    </xf>
    <xf numFmtId="0" fontId="120" fillId="79" borderId="68" xfId="2765" applyFont="1" applyFill="1" applyBorder="1" applyAlignment="1">
      <alignment horizontal="center" vertical="center"/>
    </xf>
    <xf numFmtId="0" fontId="115" fillId="0" borderId="109" xfId="2765" applyFont="1" applyBorder="1" applyAlignment="1">
      <alignment horizontal="left" indent="2"/>
    </xf>
    <xf numFmtId="166" fontId="115" fillId="0" borderId="109" xfId="2765" applyNumberFormat="1" applyFont="1" applyBorder="1" applyAlignment="1">
      <alignment horizontal="center"/>
    </xf>
    <xf numFmtId="166" fontId="115" fillId="0" borderId="0" xfId="2765" applyNumberFormat="1" applyFont="1" applyBorder="1" applyAlignment="1">
      <alignment horizontal="center"/>
    </xf>
    <xf numFmtId="166" fontId="116" fillId="0" borderId="0" xfId="2765" applyNumberFormat="1" applyFont="1" applyBorder="1" applyAlignment="1">
      <alignment horizontal="center"/>
    </xf>
    <xf numFmtId="213" fontId="320" fillId="0" borderId="0" xfId="2765" applyNumberFormat="1" applyFont="1" applyBorder="1" applyAlignment="1">
      <alignment horizontal="right"/>
    </xf>
    <xf numFmtId="166" fontId="116" fillId="0" borderId="0" xfId="2765" applyNumberFormat="1" applyFont="1" applyBorder="1" applyAlignment="1">
      <alignment horizontal="left" vertical="center"/>
    </xf>
    <xf numFmtId="166" fontId="116" fillId="0" borderId="0" xfId="2765" applyNumberFormat="1" applyFont="1" applyAlignment="1">
      <alignment horizontal="left"/>
    </xf>
    <xf numFmtId="166" fontId="116" fillId="0" borderId="0" xfId="2765" applyNumberFormat="1" applyFont="1" applyAlignment="1">
      <alignment horizontal="left" vertical="center"/>
    </xf>
    <xf numFmtId="0" fontId="115" fillId="0" borderId="110" xfId="2765" applyFont="1" applyBorder="1" applyAlignment="1">
      <alignment horizontal="left" indent="2"/>
    </xf>
    <xf numFmtId="166" fontId="115" fillId="0" borderId="110" xfId="2765" applyNumberFormat="1" applyFont="1" applyBorder="1" applyAlignment="1">
      <alignment horizontal="center"/>
    </xf>
    <xf numFmtId="166" fontId="115" fillId="0" borderId="46" xfId="2765" applyNumberFormat="1" applyFont="1" applyBorder="1" applyAlignment="1">
      <alignment horizontal="center"/>
    </xf>
    <xf numFmtId="166" fontId="116" fillId="0" borderId="46" xfId="2765" applyNumberFormat="1" applyFont="1" applyBorder="1" applyAlignment="1">
      <alignment horizontal="center"/>
    </xf>
    <xf numFmtId="213" fontId="320" fillId="0" borderId="46" xfId="2765" applyNumberFormat="1" applyFont="1" applyBorder="1" applyAlignment="1">
      <alignment horizontal="right"/>
    </xf>
    <xf numFmtId="166" fontId="116" fillId="0" borderId="46" xfId="2765" applyNumberFormat="1" applyFont="1" applyBorder="1" applyAlignment="1">
      <alignment horizontal="left" vertical="center"/>
    </xf>
    <xf numFmtId="166" fontId="116" fillId="0" borderId="46" xfId="2765" applyNumberFormat="1" applyFont="1" applyBorder="1" applyAlignment="1">
      <alignment horizontal="left"/>
    </xf>
    <xf numFmtId="0" fontId="121" fillId="0" borderId="109" xfId="2765" applyFont="1" applyBorder="1" applyAlignment="1">
      <alignment horizontal="left" indent="1"/>
    </xf>
    <xf numFmtId="0" fontId="109" fillId="0" borderId="0" xfId="2765" applyFont="1" applyAlignment="1">
      <alignment vertical="center"/>
    </xf>
    <xf numFmtId="0" fontId="1" fillId="0" borderId="0" xfId="2765"/>
    <xf numFmtId="0" fontId="124" fillId="83" borderId="111" xfId="2765" applyFont="1" applyFill="1" applyBorder="1" applyAlignment="1">
      <alignment horizontal="center" vertical="center"/>
    </xf>
    <xf numFmtId="0" fontId="124" fillId="83" borderId="112" xfId="2765" applyFont="1" applyFill="1" applyBorder="1" applyAlignment="1">
      <alignment horizontal="center" vertical="center"/>
    </xf>
    <xf numFmtId="0" fontId="1" fillId="0" borderId="0" xfId="2765" applyAlignment="1">
      <alignment vertical="center" wrapText="1"/>
    </xf>
    <xf numFmtId="0" fontId="315" fillId="83" borderId="113" xfId="2765" applyFont="1" applyFill="1" applyBorder="1" applyAlignment="1">
      <alignment vertical="center"/>
    </xf>
    <xf numFmtId="0" fontId="314" fillId="83" borderId="68" xfId="2765" applyFont="1" applyFill="1" applyBorder="1" applyAlignment="1">
      <alignment horizontal="center" vertical="center"/>
    </xf>
    <xf numFmtId="0" fontId="314" fillId="83" borderId="0" xfId="2765" applyFont="1" applyFill="1" applyBorder="1" applyAlignment="1">
      <alignment horizontal="center" vertical="center"/>
    </xf>
    <xf numFmtId="0" fontId="125" fillId="0" borderId="114" xfId="2765" applyFont="1" applyBorder="1" applyAlignment="1">
      <alignment vertical="center"/>
    </xf>
    <xf numFmtId="166" fontId="121" fillId="0" borderId="103" xfId="2765" applyNumberFormat="1" applyFont="1" applyFill="1" applyBorder="1" applyAlignment="1">
      <alignment horizontal="center" vertical="center"/>
    </xf>
    <xf numFmtId="166" fontId="121" fillId="0" borderId="0" xfId="2765" applyNumberFormat="1" applyFont="1" applyFill="1" applyBorder="1" applyAlignment="1">
      <alignment horizontal="center" vertical="center"/>
    </xf>
    <xf numFmtId="0" fontId="126" fillId="0" borderId="114" xfId="2765" applyFont="1" applyBorder="1" applyAlignment="1">
      <alignment horizontal="left" vertical="center" indent="3"/>
    </xf>
    <xf numFmtId="166" fontId="126" fillId="0" borderId="103" xfId="2765" applyNumberFormat="1" applyFont="1" applyBorder="1" applyAlignment="1">
      <alignment horizontal="center" vertical="center"/>
    </xf>
    <xf numFmtId="0" fontId="126" fillId="0" borderId="0" xfId="2765" applyFont="1" applyBorder="1" applyAlignment="1">
      <alignment horizontal="center" vertical="center"/>
    </xf>
    <xf numFmtId="0" fontId="126" fillId="0" borderId="115" xfId="2765" applyFont="1" applyBorder="1" applyAlignment="1">
      <alignment horizontal="left" vertical="center" indent="3"/>
    </xf>
    <xf numFmtId="166" fontId="126" fillId="0" borderId="116" xfId="2765" applyNumberFormat="1" applyFont="1" applyBorder="1" applyAlignment="1">
      <alignment horizontal="center" vertical="center"/>
    </xf>
    <xf numFmtId="0" fontId="126" fillId="0" borderId="46" xfId="2765" applyFont="1" applyBorder="1" applyAlignment="1">
      <alignment horizontal="center" vertical="center"/>
    </xf>
    <xf numFmtId="0" fontId="126" fillId="0" borderId="0" xfId="2765" applyFont="1" applyBorder="1" applyAlignment="1">
      <alignment vertical="center"/>
    </xf>
    <xf numFmtId="214" fontId="109" fillId="0" borderId="0" xfId="2737" applyNumberFormat="1" applyFont="1"/>
    <xf numFmtId="0" fontId="115" fillId="0" borderId="0" xfId="2765" applyFont="1" applyFill="1"/>
    <xf numFmtId="0" fontId="309" fillId="79" borderId="0" xfId="2765" applyFont="1" applyFill="1"/>
    <xf numFmtId="0" fontId="113" fillId="2" borderId="0" xfId="2764" applyFont="1" applyFill="1" applyAlignment="1">
      <alignment horizontal="center"/>
    </xf>
    <xf numFmtId="0" fontId="117" fillId="0" borderId="0" xfId="2765" applyFont="1" applyFill="1"/>
    <xf numFmtId="166" fontId="112" fillId="0" borderId="0" xfId="2765" applyNumberFormat="1" applyFont="1" applyFill="1"/>
    <xf numFmtId="166" fontId="117" fillId="0" borderId="0" xfId="2765" applyNumberFormat="1" applyFont="1" applyFill="1"/>
    <xf numFmtId="0" fontId="117" fillId="0" borderId="1" xfId="2765" applyFont="1" applyFill="1" applyBorder="1"/>
    <xf numFmtId="166" fontId="117" fillId="0" borderId="1" xfId="2765" applyNumberFormat="1" applyFont="1" applyFill="1" applyBorder="1"/>
    <xf numFmtId="0" fontId="322" fillId="0" borderId="46" xfId="2764" applyFont="1" applyBorder="1" applyAlignment="1">
      <alignment horizontal="left" indent="1"/>
    </xf>
    <xf numFmtId="0" fontId="318" fillId="0" borderId="0" xfId="2765" applyFont="1"/>
    <xf numFmtId="0" fontId="119" fillId="0" borderId="0" xfId="2764" applyFont="1" applyAlignment="1">
      <alignment horizontal="right"/>
    </xf>
    <xf numFmtId="0" fontId="113" fillId="2" borderId="0" xfId="2764" applyFont="1" applyFill="1"/>
    <xf numFmtId="0" fontId="112" fillId="0" borderId="0" xfId="2764" applyFont="1" applyAlignment="1">
      <alignment horizontal="left" indent="1"/>
    </xf>
    <xf numFmtId="166" fontId="112" fillId="0" borderId="0" xfId="2764" applyNumberFormat="1" applyFont="1"/>
    <xf numFmtId="0" fontId="322" fillId="0" borderId="0" xfId="2764" applyFont="1" applyAlignment="1">
      <alignment horizontal="left" indent="1"/>
    </xf>
    <xf numFmtId="166" fontId="115" fillId="0" borderId="0" xfId="2765" applyNumberFormat="1" applyFont="1"/>
    <xf numFmtId="207" fontId="112" fillId="0" borderId="0" xfId="2752" applyNumberFormat="1" applyFont="1" applyFill="1"/>
    <xf numFmtId="207" fontId="112" fillId="0" borderId="46" xfId="2752" applyNumberFormat="1" applyFont="1" applyBorder="1"/>
    <xf numFmtId="0" fontId="319" fillId="0" borderId="46" xfId="2764" applyFont="1" applyBorder="1" applyAlignment="1">
      <alignment horizontal="left" indent="1"/>
    </xf>
    <xf numFmtId="0" fontId="115" fillId="0" borderId="0" xfId="2764" applyFont="1" applyAlignment="1">
      <alignment horizontal="left" indent="1"/>
    </xf>
    <xf numFmtId="0" fontId="115" fillId="0" borderId="46" xfId="2764" applyFont="1" applyBorder="1" applyAlignment="1">
      <alignment horizontal="left" indent="1"/>
    </xf>
    <xf numFmtId="0" fontId="112" fillId="0" borderId="0" xfId="2765" applyFont="1" applyFill="1"/>
    <xf numFmtId="0" fontId="112" fillId="0" borderId="0" xfId="2765" applyFont="1"/>
    <xf numFmtId="0" fontId="112" fillId="0" borderId="46" xfId="2764" applyFont="1" applyBorder="1" applyAlignment="1">
      <alignment horizontal="left" indent="1"/>
    </xf>
    <xf numFmtId="0" fontId="117" fillId="0" borderId="0" xfId="2278" applyFont="1" applyBorder="1"/>
    <xf numFmtId="0" fontId="117" fillId="0" borderId="0" xfId="2278" applyFont="1" applyFill="1" applyBorder="1"/>
    <xf numFmtId="0" fontId="112" fillId="0" borderId="0" xfId="2278" applyFont="1" applyFill="1" applyBorder="1" applyAlignment="1">
      <alignment horizontal="center" vertical="center" wrapText="1"/>
    </xf>
    <xf numFmtId="166" fontId="250" fillId="0" borderId="0" xfId="2278" applyNumberFormat="1" applyFont="1" applyBorder="1" applyAlignment="1">
      <alignment horizontal="center" vertical="center"/>
    </xf>
    <xf numFmtId="166" fontId="250" fillId="0" borderId="0" xfId="2278" applyNumberFormat="1" applyFont="1" applyBorder="1" applyAlignment="1">
      <alignment horizontal="center" vertical="center" wrapText="1"/>
    </xf>
    <xf numFmtId="166" fontId="250" fillId="0" borderId="0" xfId="2278" applyNumberFormat="1" applyFont="1" applyFill="1" applyBorder="1" applyAlignment="1">
      <alignment horizontal="center" vertical="center" wrapText="1"/>
    </xf>
    <xf numFmtId="166" fontId="112" fillId="0" borderId="46" xfId="2764" applyNumberFormat="1" applyFont="1" applyBorder="1" applyAlignment="1">
      <alignment horizontal="center"/>
    </xf>
    <xf numFmtId="0" fontId="112" fillId="0" borderId="0" xfId="2764" applyFont="1" applyAlignment="1">
      <alignment horizontal="left"/>
    </xf>
    <xf numFmtId="166" fontId="112" fillId="0" borderId="0" xfId="2764" applyNumberFormat="1" applyFont="1" applyAlignment="1">
      <alignment horizontal="center"/>
    </xf>
    <xf numFmtId="166" fontId="112" fillId="0" borderId="0" xfId="2764" applyNumberFormat="1" applyFont="1" applyFill="1" applyAlignment="1">
      <alignment horizontal="center"/>
    </xf>
    <xf numFmtId="0" fontId="112" fillId="0" borderId="46" xfId="2764" applyFont="1" applyBorder="1" applyAlignment="1">
      <alignment horizontal="left"/>
    </xf>
    <xf numFmtId="166" fontId="112" fillId="0" borderId="46" xfId="2764" applyNumberFormat="1" applyFont="1" applyFill="1" applyBorder="1" applyAlignment="1">
      <alignment horizontal="center"/>
    </xf>
    <xf numFmtId="0" fontId="115" fillId="0" borderId="0" xfId="2765" applyFont="1" applyAlignment="1">
      <alignment horizontal="left" indent="1"/>
    </xf>
    <xf numFmtId="166" fontId="112" fillId="0" borderId="0" xfId="2765" applyNumberFormat="1" applyFont="1" applyAlignment="1">
      <alignment horizontal="center"/>
    </xf>
    <xf numFmtId="0" fontId="318" fillId="0" borderId="0" xfId="2765" applyFont="1" applyAlignment="1">
      <alignment horizontal="left"/>
    </xf>
    <xf numFmtId="0" fontId="115" fillId="0" borderId="0" xfId="2765" applyFont="1" applyAlignment="1">
      <alignment horizontal="left"/>
    </xf>
    <xf numFmtId="0" fontId="323" fillId="0" borderId="0" xfId="2764" applyFont="1" applyAlignment="1">
      <alignment horizontal="right"/>
    </xf>
    <xf numFmtId="0" fontId="128" fillId="0" borderId="0" xfId="2765" applyFont="1" applyFill="1"/>
    <xf numFmtId="2" fontId="128" fillId="0" borderId="0" xfId="2765" applyNumberFormat="1" applyFont="1" applyFill="1" applyAlignment="1">
      <alignment horizontal="center"/>
    </xf>
    <xf numFmtId="2" fontId="112" fillId="0" borderId="46" xfId="2764" applyNumberFormat="1" applyFont="1" applyBorder="1" applyAlignment="1">
      <alignment horizontal="center"/>
    </xf>
    <xf numFmtId="0" fontId="128" fillId="0" borderId="0" xfId="2764" applyFont="1"/>
    <xf numFmtId="0" fontId="113" fillId="2" borderId="0" xfId="2764" applyFont="1" applyFill="1" applyAlignment="1">
      <alignment horizontal="center" vertical="center"/>
    </xf>
    <xf numFmtId="0" fontId="113" fillId="2" borderId="0" xfId="2764" applyFont="1" applyFill="1" applyAlignment="1">
      <alignment horizontal="center" vertical="center" wrapText="1"/>
    </xf>
    <xf numFmtId="0" fontId="109" fillId="0" borderId="0" xfId="2764" applyFont="1" applyBorder="1"/>
    <xf numFmtId="2" fontId="112" fillId="0" borderId="0" xfId="2764" applyNumberFormat="1" applyFont="1" applyBorder="1"/>
    <xf numFmtId="0" fontId="119" fillId="0" borderId="0" xfId="2764" applyFont="1" applyAlignment="1"/>
    <xf numFmtId="0" fontId="109" fillId="0" borderId="22" xfId="2764" applyFont="1" applyBorder="1"/>
    <xf numFmtId="2" fontId="112" fillId="0" borderId="22" xfId="2764" applyNumberFormat="1" applyFont="1" applyBorder="1"/>
    <xf numFmtId="166" fontId="112" fillId="0" borderId="0" xfId="2764" applyNumberFormat="1" applyFont="1" applyBorder="1" applyAlignment="1">
      <alignment horizontal="center"/>
    </xf>
    <xf numFmtId="166" fontId="112" fillId="0" borderId="22" xfId="2764" applyNumberFormat="1" applyFont="1" applyBorder="1" applyAlignment="1">
      <alignment horizontal="center"/>
    </xf>
    <xf numFmtId="49" fontId="112" fillId="0" borderId="0" xfId="2765" applyNumberFormat="1" applyFont="1" applyFill="1"/>
    <xf numFmtId="206" fontId="112" fillId="0" borderId="0" xfId="2764" applyNumberFormat="1" applyFont="1" applyBorder="1"/>
    <xf numFmtId="206" fontId="112" fillId="0" borderId="22" xfId="2764" applyNumberFormat="1" applyFont="1" applyBorder="1"/>
    <xf numFmtId="0" fontId="125" fillId="2" borderId="0" xfId="0" applyFont="1" applyFill="1" applyAlignment="1">
      <alignment horizontal="justify" vertical="center"/>
    </xf>
    <xf numFmtId="0" fontId="324" fillId="2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14" fontId="126" fillId="0" borderId="0" xfId="0" applyNumberFormat="1" applyFont="1" applyAlignment="1">
      <alignment horizontal="center" vertical="center"/>
    </xf>
    <xf numFmtId="0" fontId="126" fillId="0" borderId="44" xfId="0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14" fontId="126" fillId="0" borderId="44" xfId="0" applyNumberFormat="1" applyFont="1" applyBorder="1" applyAlignment="1">
      <alignment horizontal="center" vertical="center"/>
    </xf>
    <xf numFmtId="0" fontId="126" fillId="0" borderId="0" xfId="0" applyFont="1" applyAlignment="1">
      <alignment horizontal="justify" vertical="center" wrapText="1"/>
    </xf>
    <xf numFmtId="0" fontId="15" fillId="0" borderId="0" xfId="0" applyFont="1" applyAlignment="1">
      <alignment horizontal="center" vertical="center"/>
    </xf>
    <xf numFmtId="0" fontId="119" fillId="0" borderId="0" xfId="0" applyFont="1" applyAlignment="1">
      <alignment horizontal="right" vertical="center"/>
    </xf>
    <xf numFmtId="0" fontId="324" fillId="2" borderId="0" xfId="0" applyFont="1" applyFill="1" applyAlignment="1">
      <alignment horizontal="center" vertical="center" wrapText="1"/>
    </xf>
    <xf numFmtId="0" fontId="117" fillId="0" borderId="0" xfId="2635" applyFont="1" applyFill="1"/>
    <xf numFmtId="0" fontId="243" fillId="0" borderId="0" xfId="2635" applyFill="1" applyAlignment="1">
      <alignment vertical="center"/>
    </xf>
    <xf numFmtId="0" fontId="117" fillId="0" borderId="0" xfId="2635" applyFont="1" applyFill="1" applyAlignment="1">
      <alignment vertical="center"/>
    </xf>
    <xf numFmtId="214" fontId="109" fillId="0" borderId="0" xfId="2737" applyNumberFormat="1" applyFont="1" applyAlignment="1"/>
    <xf numFmtId="214" fontId="117" fillId="0" borderId="0" xfId="2635" applyNumberFormat="1" applyFont="1" applyAlignment="1"/>
    <xf numFmtId="0" fontId="109" fillId="0" borderId="0" xfId="0" applyFont="1" applyFill="1" applyBorder="1" applyAlignment="1">
      <alignment vertical="center" wrapText="1"/>
    </xf>
    <xf numFmtId="0" fontId="130" fillId="0" borderId="0" xfId="0" applyFont="1" applyFill="1" applyBorder="1" applyAlignment="1">
      <alignment vertical="center" wrapText="1"/>
    </xf>
    <xf numFmtId="0" fontId="109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24" fillId="83" borderId="93" xfId="2763" applyFont="1" applyFill="1" applyBorder="1" applyAlignment="1">
      <alignment horizontal="center" vertical="center"/>
    </xf>
    <xf numFmtId="0" fontId="124" fillId="83" borderId="23" xfId="2763" applyFont="1" applyFill="1" applyBorder="1" applyAlignment="1">
      <alignment horizontal="center" vertical="center"/>
    </xf>
    <xf numFmtId="0" fontId="124" fillId="83" borderId="80" xfId="2763" applyFont="1" applyFill="1" applyBorder="1" applyAlignment="1">
      <alignment horizontal="center" vertical="center"/>
    </xf>
    <xf numFmtId="0" fontId="124" fillId="83" borderId="23" xfId="2763" applyFont="1" applyFill="1" applyBorder="1" applyAlignment="1">
      <alignment horizontal="center" vertical="center" wrapText="1"/>
    </xf>
    <xf numFmtId="0" fontId="124" fillId="83" borderId="50" xfId="2763" applyFont="1" applyFill="1" applyBorder="1" applyAlignment="1">
      <alignment horizontal="center" vertical="center" wrapText="1"/>
    </xf>
    <xf numFmtId="0" fontId="119" fillId="0" borderId="101" xfId="2763" applyFont="1" applyBorder="1" applyAlignment="1">
      <alignment horizontal="right" vertical="center"/>
    </xf>
    <xf numFmtId="0" fontId="314" fillId="83" borderId="67" xfId="2737" applyFont="1" applyFill="1" applyBorder="1" applyAlignment="1">
      <alignment horizontal="center" vertical="center"/>
    </xf>
    <xf numFmtId="0" fontId="314" fillId="83" borderId="0" xfId="2737" applyFont="1" applyFill="1" applyBorder="1" applyAlignment="1">
      <alignment horizontal="center" vertical="center"/>
    </xf>
    <xf numFmtId="0" fontId="109" fillId="0" borderId="22" xfId="2758" applyFont="1" applyBorder="1" applyAlignment="1">
      <alignment horizontal="left" vertical="center"/>
    </xf>
    <xf numFmtId="1" fontId="115" fillId="0" borderId="21" xfId="2759" applyNumberFormat="1" applyFont="1" applyFill="1" applyBorder="1" applyAlignment="1">
      <alignment horizontal="center" vertical="center" wrapText="1"/>
    </xf>
    <xf numFmtId="1" fontId="115" fillId="0" borderId="60" xfId="2759" applyNumberFormat="1" applyFont="1" applyFill="1" applyBorder="1" applyAlignment="1">
      <alignment horizontal="center" vertical="center" wrapText="1"/>
    </xf>
    <xf numFmtId="0" fontId="119" fillId="0" borderId="0" xfId="2758" applyFont="1" applyBorder="1" applyAlignment="1">
      <alignment horizontal="left" vertical="center" wrapText="1"/>
    </xf>
    <xf numFmtId="0" fontId="115" fillId="0" borderId="21" xfId="2758" applyFont="1" applyFill="1" applyBorder="1" applyAlignment="1">
      <alignment horizontal="center" vertical="center" wrapText="1"/>
    </xf>
    <xf numFmtId="0" fontId="115" fillId="0" borderId="60" xfId="2758" applyFont="1" applyFill="1" applyBorder="1" applyAlignment="1">
      <alignment horizontal="center" vertical="center" wrapText="1"/>
    </xf>
    <xf numFmtId="0" fontId="109" fillId="0" borderId="0" xfId="2758" applyFont="1" applyAlignment="1">
      <alignment horizontal="left"/>
    </xf>
    <xf numFmtId="0" fontId="119" fillId="0" borderId="0" xfId="2758" applyFont="1" applyBorder="1" applyAlignment="1">
      <alignment horizontal="right" vertical="center"/>
    </xf>
    <xf numFmtId="0" fontId="109" fillId="0" borderId="0" xfId="2758" applyFont="1" applyAlignment="1">
      <alignment horizontal="left" vertical="center"/>
    </xf>
    <xf numFmtId="0" fontId="119" fillId="0" borderId="23" xfId="2758" applyFont="1" applyBorder="1" applyAlignment="1">
      <alignment horizontal="left" vertical="center" wrapText="1"/>
    </xf>
    <xf numFmtId="0" fontId="119" fillId="0" borderId="23" xfId="2758" applyFont="1" applyBorder="1" applyAlignment="1">
      <alignment horizontal="right" vertical="center"/>
    </xf>
    <xf numFmtId="0" fontId="287" fillId="0" borderId="23" xfId="2758" applyFont="1" applyBorder="1" applyAlignment="1">
      <alignment horizontal="left" vertical="center" wrapText="1"/>
    </xf>
    <xf numFmtId="0" fontId="109" fillId="0" borderId="0" xfId="0" applyFont="1" applyFill="1" applyAlignment="1">
      <alignment vertical="center"/>
    </xf>
    <xf numFmtId="0" fontId="130" fillId="0" borderId="23" xfId="0" applyFont="1" applyBorder="1" applyAlignment="1">
      <alignment horizontal="left" vertical="center" wrapText="1"/>
    </xf>
    <xf numFmtId="0" fontId="130" fillId="0" borderId="23" xfId="0" applyFont="1" applyFill="1" applyBorder="1" applyAlignment="1">
      <alignment horizontal="center" vertical="center"/>
    </xf>
    <xf numFmtId="0" fontId="109" fillId="0" borderId="0" xfId="0" applyFont="1" applyAlignment="1">
      <alignment horizontal="left" vertical="center"/>
    </xf>
    <xf numFmtId="0" fontId="125" fillId="0" borderId="0" xfId="0" applyFont="1" applyAlignment="1">
      <alignment horizontal="center" vertical="center" wrapText="1"/>
    </xf>
    <xf numFmtId="0" fontId="125" fillId="0" borderId="44" xfId="0" applyFont="1" applyBorder="1" applyAlignment="1">
      <alignment horizontal="center" vertical="center" wrapText="1"/>
    </xf>
    <xf numFmtId="0" fontId="125" fillId="0" borderId="45" xfId="0" applyFont="1" applyBorder="1" applyAlignment="1">
      <alignment horizontal="center" vertical="center" wrapText="1"/>
    </xf>
    <xf numFmtId="0" fontId="313" fillId="0" borderId="0" xfId="2737" applyFont="1" applyAlignment="1">
      <alignment horizontal="left" vertical="center"/>
    </xf>
    <xf numFmtId="0" fontId="314" fillId="83" borderId="68" xfId="2737" applyFont="1" applyFill="1" applyBorder="1" applyAlignment="1">
      <alignment horizontal="center" vertical="center"/>
    </xf>
    <xf numFmtId="0" fontId="314" fillId="83" borderId="0" xfId="2737" applyFont="1" applyFill="1" applyAlignment="1">
      <alignment horizontal="center" vertical="center"/>
    </xf>
    <xf numFmtId="0" fontId="126" fillId="0" borderId="23" xfId="2737" applyFont="1" applyBorder="1" applyAlignment="1">
      <alignment horizontal="center" vertical="center"/>
    </xf>
    <xf numFmtId="0" fontId="119" fillId="0" borderId="23" xfId="2737" applyFont="1" applyBorder="1" applyAlignment="1">
      <alignment horizontal="right" vertical="center"/>
    </xf>
    <xf numFmtId="0" fontId="120" fillId="79" borderId="74" xfId="2765" applyFont="1" applyFill="1" applyBorder="1" applyAlignment="1">
      <alignment horizontal="center" vertical="center" wrapText="1"/>
    </xf>
    <xf numFmtId="0" fontId="120" fillId="79" borderId="67" xfId="2765" applyFont="1" applyFill="1" applyBorder="1" applyAlignment="1">
      <alignment horizontal="center" vertical="center"/>
    </xf>
    <xf numFmtId="0" fontId="120" fillId="79" borderId="0" xfId="2765" applyFont="1" applyFill="1" applyBorder="1" applyAlignment="1">
      <alignment horizontal="center" vertical="center"/>
    </xf>
    <xf numFmtId="0" fontId="289" fillId="0" borderId="47" xfId="2765" applyFont="1" applyBorder="1" applyAlignment="1">
      <alignment horizontal="right"/>
    </xf>
    <xf numFmtId="0" fontId="109" fillId="0" borderId="0" xfId="2765" applyFont="1" applyBorder="1" applyAlignment="1">
      <alignment horizontal="left" vertical="center"/>
    </xf>
    <xf numFmtId="0" fontId="124" fillId="83" borderId="47" xfId="2765" applyFont="1" applyFill="1" applyBorder="1" applyAlignment="1">
      <alignment horizontal="center" vertical="center" wrapText="1"/>
    </xf>
    <xf numFmtId="0" fontId="119" fillId="0" borderId="0" xfId="2765" applyFont="1" applyBorder="1" applyAlignment="1">
      <alignment horizontal="right" vertical="center"/>
    </xf>
    <xf numFmtId="0" fontId="109" fillId="0" borderId="22" xfId="2758" applyFont="1" applyBorder="1" applyAlignment="1">
      <alignment vertical="center"/>
    </xf>
    <xf numFmtId="0" fontId="119" fillId="0" borderId="23" xfId="2758" applyFont="1" applyBorder="1" applyAlignment="1">
      <alignment horizontal="right" vertical="center" wrapText="1"/>
    </xf>
    <xf numFmtId="0" fontId="289" fillId="0" borderId="0" xfId="2758" applyFont="1" applyAlignment="1">
      <alignment horizontal="left" vertical="center" wrapText="1"/>
    </xf>
    <xf numFmtId="0" fontId="290" fillId="0" borderId="0" xfId="2758" applyFont="1" applyAlignment="1">
      <alignment horizontal="left" vertical="center" wrapText="1"/>
    </xf>
    <xf numFmtId="0" fontId="119" fillId="0" borderId="0" xfId="2758" applyFont="1" applyBorder="1" applyAlignment="1">
      <alignment horizontal="justify" vertical="center" wrapText="1"/>
    </xf>
    <xf numFmtId="0" fontId="119" fillId="0" borderId="0" xfId="2758" applyFont="1" applyBorder="1" applyAlignment="1">
      <alignment horizontal="right" vertical="center" wrapText="1"/>
    </xf>
    <xf numFmtId="0" fontId="109" fillId="0" borderId="22" xfId="2758" applyFont="1" applyBorder="1" applyAlignment="1">
      <alignment horizontal="justify" vertical="center" wrapText="1"/>
    </xf>
    <xf numFmtId="0" fontId="124" fillId="2" borderId="64" xfId="2758" applyFont="1" applyFill="1" applyBorder="1" applyAlignment="1">
      <alignment horizontal="center" vertical="center" wrapText="1"/>
    </xf>
    <xf numFmtId="0" fontId="124" fillId="2" borderId="65" xfId="2758" applyFont="1" applyFill="1" applyBorder="1" applyAlignment="1">
      <alignment horizontal="center" vertical="center" wrapText="1"/>
    </xf>
    <xf numFmtId="0" fontId="124" fillId="2" borderId="0" xfId="2758" applyFont="1" applyFill="1" applyBorder="1" applyAlignment="1">
      <alignment horizontal="center" vertical="center" wrapText="1"/>
    </xf>
    <xf numFmtId="0" fontId="124" fillId="2" borderId="0" xfId="2758" applyFont="1" applyFill="1" applyAlignment="1">
      <alignment horizontal="center" vertical="center" wrapText="1"/>
    </xf>
    <xf numFmtId="0" fontId="287" fillId="0" borderId="23" xfId="2758" applyFont="1" applyBorder="1" applyAlignment="1">
      <alignment horizontal="right"/>
    </xf>
    <xf numFmtId="0" fontId="284" fillId="0" borderId="0" xfId="2758" applyFont="1" applyFill="1" applyAlignment="1">
      <alignment horizontal="left" vertical="center"/>
    </xf>
    <xf numFmtId="210" fontId="293" fillId="2" borderId="66" xfId="2758" applyNumberFormat="1" applyFont="1" applyFill="1" applyBorder="1" applyAlignment="1">
      <alignment horizontal="center" vertical="center" wrapText="1"/>
    </xf>
    <xf numFmtId="210" fontId="293" fillId="2" borderId="70" xfId="2758" applyNumberFormat="1" applyFont="1" applyFill="1" applyBorder="1" applyAlignment="1">
      <alignment horizontal="center" vertical="center" wrapText="1"/>
    </xf>
    <xf numFmtId="210" fontId="293" fillId="2" borderId="67" xfId="2758" applyNumberFormat="1" applyFont="1" applyFill="1" applyBorder="1" applyAlignment="1">
      <alignment horizontal="center" vertical="center" wrapText="1"/>
    </xf>
    <xf numFmtId="210" fontId="293" fillId="2" borderId="68" xfId="2758" applyNumberFormat="1" applyFont="1" applyFill="1" applyBorder="1" applyAlignment="1">
      <alignment horizontal="center" vertical="center" wrapText="1"/>
    </xf>
    <xf numFmtId="210" fontId="293" fillId="2" borderId="71" xfId="2758" applyNumberFormat="1" applyFont="1" applyFill="1" applyBorder="1" applyAlignment="1">
      <alignment horizontal="center" vertical="center" wrapText="1"/>
    </xf>
    <xf numFmtId="210" fontId="293" fillId="2" borderId="72" xfId="2758" applyNumberFormat="1" applyFont="1" applyFill="1" applyBorder="1" applyAlignment="1">
      <alignment horizontal="center" vertical="center" wrapText="1"/>
    </xf>
    <xf numFmtId="210" fontId="293" fillId="2" borderId="69" xfId="2758" applyNumberFormat="1" applyFont="1" applyFill="1" applyBorder="1" applyAlignment="1">
      <alignment horizontal="center" vertical="center" wrapText="1"/>
    </xf>
    <xf numFmtId="210" fontId="293" fillId="2" borderId="73" xfId="2758" applyNumberFormat="1" applyFont="1" applyFill="1" applyBorder="1" applyAlignment="1">
      <alignment horizontal="center" vertical="center" wrapText="1"/>
    </xf>
    <xf numFmtId="210" fontId="293" fillId="2" borderId="0" xfId="2758" applyNumberFormat="1" applyFont="1" applyFill="1" applyBorder="1" applyAlignment="1">
      <alignment horizontal="center" vertical="center" wrapText="1"/>
    </xf>
    <xf numFmtId="0" fontId="284" fillId="0" borderId="0" xfId="2758" applyFont="1" applyAlignment="1">
      <alignment horizontal="left" vertical="center"/>
    </xf>
    <xf numFmtId="0" fontId="287" fillId="0" borderId="23" xfId="2758" applyFont="1" applyBorder="1" applyAlignment="1">
      <alignment horizontal="right" vertical="center"/>
    </xf>
    <xf numFmtId="0" fontId="109" fillId="0" borderId="0" xfId="2759" applyFont="1" applyAlignment="1">
      <alignment horizontal="left" vertical="center"/>
    </xf>
    <xf numFmtId="0" fontId="119" fillId="0" borderId="23" xfId="2759" applyFont="1" applyBorder="1" applyAlignment="1">
      <alignment horizontal="right" vertical="center"/>
    </xf>
    <xf numFmtId="0" fontId="109" fillId="0" borderId="22" xfId="2759" applyFont="1" applyBorder="1" applyAlignment="1">
      <alignment horizontal="left" vertical="center"/>
    </xf>
    <xf numFmtId="0" fontId="287" fillId="0" borderId="23" xfId="2759" applyFont="1" applyBorder="1" applyAlignment="1">
      <alignment horizontal="right" vertical="center"/>
    </xf>
    <xf numFmtId="3" fontId="287" fillId="0" borderId="0" xfId="2759" applyNumberFormat="1" applyFont="1" applyBorder="1" applyAlignment="1">
      <alignment horizontal="right" vertical="center"/>
    </xf>
    <xf numFmtId="0" fontId="284" fillId="0" borderId="0" xfId="2759" applyFont="1" applyAlignment="1">
      <alignment horizontal="left" vertical="center"/>
    </xf>
    <xf numFmtId="0" fontId="286" fillId="0" borderId="0" xfId="2759" applyFont="1" applyAlignment="1">
      <alignment horizontal="left" vertical="center"/>
    </xf>
    <xf numFmtId="0" fontId="119" fillId="0" borderId="23" xfId="2759" applyFont="1" applyBorder="1" applyAlignment="1">
      <alignment horizontal="left" vertical="center" wrapText="1"/>
    </xf>
    <xf numFmtId="0" fontId="119" fillId="0" borderId="0" xfId="0" applyFont="1" applyBorder="1" applyAlignment="1">
      <alignment horizontal="justify" vertical="center"/>
    </xf>
    <xf numFmtId="0" fontId="119" fillId="0" borderId="0" xfId="0" applyFont="1" applyBorder="1" applyAlignment="1">
      <alignment horizontal="right" vertical="center"/>
    </xf>
    <xf numFmtId="3" fontId="119" fillId="0" borderId="0" xfId="2758" applyNumberFormat="1" applyFont="1" applyBorder="1" applyAlignment="1">
      <alignment horizontal="right" vertical="center"/>
    </xf>
    <xf numFmtId="3" fontId="287" fillId="0" borderId="0" xfId="2758" applyNumberFormat="1" applyFont="1" applyAlignment="1">
      <alignment horizontal="left" vertical="center" wrapText="1"/>
    </xf>
    <xf numFmtId="1" fontId="287" fillId="0" borderId="23" xfId="2758" applyNumberFormat="1" applyFont="1" applyFill="1" applyBorder="1" applyAlignment="1">
      <alignment horizontal="right" vertical="center"/>
    </xf>
    <xf numFmtId="0" fontId="289" fillId="0" borderId="23" xfId="2758" applyFont="1" applyBorder="1" applyAlignment="1">
      <alignment horizontal="right" vertical="center"/>
    </xf>
    <xf numFmtId="0" fontId="284" fillId="0" borderId="44" xfId="2758" applyFont="1" applyBorder="1" applyAlignment="1">
      <alignment horizontal="justify" vertical="center"/>
    </xf>
    <xf numFmtId="0" fontId="287" fillId="0" borderId="0" xfId="2758" applyFont="1" applyBorder="1" applyAlignment="1">
      <alignment horizontal="right" vertical="center"/>
    </xf>
    <xf numFmtId="0" fontId="120" fillId="2" borderId="23" xfId="2761" applyFont="1" applyFill="1" applyBorder="1" applyAlignment="1">
      <alignment horizontal="center" vertical="center"/>
    </xf>
    <xf numFmtId="0" fontId="120" fillId="2" borderId="0" xfId="2761" applyFont="1" applyFill="1" applyBorder="1" applyAlignment="1">
      <alignment horizontal="center" vertical="center"/>
    </xf>
    <xf numFmtId="0" fontId="120" fillId="2" borderId="23" xfId="2761" applyFont="1" applyFill="1" applyBorder="1" applyAlignment="1">
      <alignment horizontal="center" vertical="center" wrapText="1"/>
    </xf>
    <xf numFmtId="0" fontId="120" fillId="2" borderId="0" xfId="2761" applyFont="1" applyFill="1" applyBorder="1" applyAlignment="1">
      <alignment horizontal="center" vertical="center" wrapText="1"/>
    </xf>
    <xf numFmtId="167" fontId="289" fillId="0" borderId="23" xfId="2758" applyNumberFormat="1" applyFont="1" applyBorder="1" applyAlignment="1">
      <alignment horizontal="right"/>
    </xf>
    <xf numFmtId="0" fontId="109" fillId="0" borderId="0" xfId="2746" applyFont="1" applyAlignment="1">
      <alignment horizontal="left"/>
    </xf>
    <xf numFmtId="3" fontId="119" fillId="0" borderId="23" xfId="2746" applyNumberFormat="1" applyFont="1" applyBorder="1" applyAlignment="1">
      <alignment horizontal="right" vertical="center"/>
    </xf>
    <xf numFmtId="0" fontId="109" fillId="0" borderId="0" xfId="2753" applyFont="1" applyAlignment="1">
      <alignment horizontal="left" vertical="center"/>
    </xf>
    <xf numFmtId="0" fontId="119" fillId="0" borderId="45" xfId="2753" applyFont="1" applyBorder="1" applyAlignment="1">
      <alignment horizontal="left" vertical="center"/>
    </xf>
    <xf numFmtId="0" fontId="119" fillId="0" borderId="45" xfId="2753" applyFont="1" applyBorder="1" applyAlignment="1">
      <alignment horizontal="right" vertical="center"/>
    </xf>
    <xf numFmtId="0" fontId="109" fillId="0" borderId="0" xfId="0" applyFont="1" applyFill="1" applyBorder="1" applyAlignment="1">
      <alignment vertical="center"/>
    </xf>
    <xf numFmtId="0" fontId="119" fillId="0" borderId="0" xfId="0" applyFont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/>
    </xf>
    <xf numFmtId="203" fontId="163" fillId="0" borderId="0" xfId="2162" applyNumberFormat="1" applyFont="1" applyFill="1" applyBorder="1" applyAlignment="1">
      <alignment horizontal="center"/>
    </xf>
    <xf numFmtId="0" fontId="119" fillId="0" borderId="0" xfId="2753" applyFont="1" applyAlignment="1">
      <alignment horizontal="right" vertical="center"/>
    </xf>
    <xf numFmtId="0" fontId="159" fillId="0" borderId="0" xfId="1456" applyFont="1" applyAlignment="1">
      <alignment horizontal="center" vertical="center"/>
    </xf>
    <xf numFmtId="214" fontId="109" fillId="0" borderId="0" xfId="2737" applyNumberFormat="1" applyFont="1" applyAlignment="1">
      <alignment horizontal="left"/>
    </xf>
    <xf numFmtId="0" fontId="289" fillId="0" borderId="23" xfId="2758" applyFont="1" applyBorder="1" applyAlignment="1">
      <alignment horizontal="right"/>
    </xf>
    <xf numFmtId="0" fontId="289" fillId="0" borderId="0" xfId="2758" applyFont="1" applyAlignment="1">
      <alignment horizontal="right" vertical="center"/>
    </xf>
    <xf numFmtId="0" fontId="109" fillId="0" borderId="0" xfId="0" applyFont="1" applyAlignment="1">
      <alignment horizontal="left"/>
    </xf>
    <xf numFmtId="0" fontId="113" fillId="2" borderId="0" xfId="2758" applyFont="1" applyFill="1" applyBorder="1" applyAlignment="1">
      <alignment horizontal="center"/>
    </xf>
    <xf numFmtId="0" fontId="113" fillId="2" borderId="74" xfId="2758" applyFont="1" applyFill="1" applyBorder="1" applyAlignment="1">
      <alignment horizontal="center"/>
    </xf>
    <xf numFmtId="0" fontId="113" fillId="2" borderId="72" xfId="2758" applyFont="1" applyFill="1" applyBorder="1" applyAlignment="1">
      <alignment horizontal="center"/>
    </xf>
    <xf numFmtId="0" fontId="113" fillId="2" borderId="84" xfId="2758" applyFont="1" applyFill="1" applyBorder="1" applyAlignment="1">
      <alignment horizontal="center" vertical="center" wrapText="1"/>
    </xf>
    <xf numFmtId="0" fontId="113" fillId="2" borderId="52" xfId="2758" applyFont="1" applyFill="1" applyBorder="1" applyAlignment="1">
      <alignment horizontal="center" vertical="center" wrapText="1"/>
    </xf>
    <xf numFmtId="0" fontId="113" fillId="2" borderId="0" xfId="2758" applyFont="1" applyFill="1" applyBorder="1" applyAlignment="1">
      <alignment horizontal="center" vertical="center"/>
    </xf>
    <xf numFmtId="0" fontId="113" fillId="2" borderId="68" xfId="2758" applyFont="1" applyFill="1" applyBorder="1" applyAlignment="1">
      <alignment horizontal="center" vertical="center"/>
    </xf>
    <xf numFmtId="0" fontId="113" fillId="2" borderId="82" xfId="2758" applyFont="1" applyFill="1" applyBorder="1" applyAlignment="1">
      <alignment horizontal="center" vertical="center"/>
    </xf>
    <xf numFmtId="0" fontId="113" fillId="2" borderId="71" xfId="2758" applyFont="1" applyFill="1" applyBorder="1" applyAlignment="1">
      <alignment horizontal="center" vertical="center"/>
    </xf>
    <xf numFmtId="0" fontId="113" fillId="2" borderId="81" xfId="2758" applyFont="1" applyFill="1" applyBorder="1" applyAlignment="1">
      <alignment horizontal="center" vertical="center"/>
    </xf>
    <xf numFmtId="0" fontId="113" fillId="2" borderId="74" xfId="2758" applyFont="1" applyFill="1" applyBorder="1" applyAlignment="1">
      <alignment horizontal="center" vertical="center"/>
    </xf>
    <xf numFmtId="0" fontId="113" fillId="2" borderId="83" xfId="2758" applyFont="1" applyFill="1" applyBorder="1" applyAlignment="1">
      <alignment horizontal="center" vertical="center"/>
    </xf>
    <xf numFmtId="0" fontId="113" fillId="2" borderId="72" xfId="2758" applyFont="1" applyFill="1" applyBorder="1" applyAlignment="1">
      <alignment horizontal="center" vertical="center"/>
    </xf>
    <xf numFmtId="0" fontId="113" fillId="2" borderId="75" xfId="2758" applyFont="1" applyFill="1" applyBorder="1" applyAlignment="1">
      <alignment horizontal="center" vertical="center" wrapText="1"/>
    </xf>
    <xf numFmtId="0" fontId="113" fillId="2" borderId="68" xfId="2758" applyFont="1" applyFill="1" applyBorder="1" applyAlignment="1">
      <alignment horizontal="center" vertical="center" wrapText="1"/>
    </xf>
    <xf numFmtId="0" fontId="113" fillId="2" borderId="69" xfId="2758" applyFont="1" applyFill="1" applyBorder="1" applyAlignment="1">
      <alignment horizontal="center" vertical="center"/>
    </xf>
    <xf numFmtId="0" fontId="113" fillId="2" borderId="67" xfId="2758" applyFont="1" applyFill="1" applyBorder="1" applyAlignment="1">
      <alignment horizontal="center" vertical="center"/>
    </xf>
    <xf numFmtId="0" fontId="113" fillId="2" borderId="0" xfId="2758" applyFont="1" applyFill="1" applyBorder="1" applyAlignment="1">
      <alignment horizontal="center" vertical="center" wrapText="1"/>
    </xf>
    <xf numFmtId="0" fontId="113" fillId="2" borderId="83" xfId="2758" applyFont="1" applyFill="1" applyBorder="1" applyAlignment="1">
      <alignment horizontal="center" vertical="center" wrapText="1"/>
    </xf>
    <xf numFmtId="0" fontId="113" fillId="2" borderId="87" xfId="2758" applyFont="1" applyFill="1" applyBorder="1" applyAlignment="1">
      <alignment horizontal="center" vertical="center" wrapText="1"/>
    </xf>
    <xf numFmtId="0" fontId="113" fillId="2" borderId="88" xfId="2758" applyFont="1" applyFill="1" applyBorder="1" applyAlignment="1">
      <alignment horizontal="center" vertical="center" wrapText="1"/>
    </xf>
    <xf numFmtId="0" fontId="113" fillId="2" borderId="22" xfId="2758" applyFont="1" applyFill="1" applyBorder="1" applyAlignment="1">
      <alignment horizontal="center" vertical="center"/>
    </xf>
    <xf numFmtId="0" fontId="113" fillId="2" borderId="90" xfId="2758" applyFont="1" applyFill="1" applyBorder="1" applyAlignment="1">
      <alignment horizontal="center" vertical="center"/>
    </xf>
    <xf numFmtId="0" fontId="113" fillId="2" borderId="56" xfId="2758" applyFont="1" applyFill="1" applyBorder="1" applyAlignment="1">
      <alignment horizontal="center" vertical="center"/>
    </xf>
    <xf numFmtId="0" fontId="113" fillId="2" borderId="58" xfId="2758" applyFont="1" applyFill="1" applyBorder="1" applyAlignment="1">
      <alignment horizontal="center" vertical="center"/>
    </xf>
    <xf numFmtId="0" fontId="113" fillId="2" borderId="89" xfId="2758" applyFont="1" applyFill="1" applyBorder="1" applyAlignment="1">
      <alignment horizontal="center" vertical="center"/>
    </xf>
    <xf numFmtId="0" fontId="113" fillId="2" borderId="54" xfId="2758" applyFont="1" applyFill="1" applyBorder="1" applyAlignment="1">
      <alignment horizontal="center" vertical="center"/>
    </xf>
    <xf numFmtId="0" fontId="113" fillId="2" borderId="51" xfId="2758" applyFont="1" applyFill="1" applyBorder="1" applyAlignment="1">
      <alignment horizontal="center" vertical="center"/>
    </xf>
  </cellXfs>
  <cellStyles count="2766">
    <cellStyle name="_x000a_386grabber=S" xfId="812"/>
    <cellStyle name="_x000a_386grabber=S 10" xfId="1883"/>
    <cellStyle name="_x000a_386grabber=S 2" xfId="820"/>
    <cellStyle name="_x000a_386grabber=S 2 2" xfId="860"/>
    <cellStyle name="_x000a_386grabber=S 3" xfId="853"/>
    <cellStyle name="_x000a_386grabber=S 4" xfId="999"/>
    <cellStyle name="_x000a_386grabber=S 5" xfId="1037"/>
    <cellStyle name="_x000a_386grabber=S 6" xfId="1011"/>
    <cellStyle name="_x000a_386grabber=S 7" xfId="1459"/>
    <cellStyle name="_x000a_386grabber=S 8" xfId="1465"/>
    <cellStyle name="_x000a_386grabber=S 9" xfId="1885"/>
    <cellStyle name="=C:\WINNT35\SYSTEM32\COMMAND.COM" xfId="1"/>
    <cellStyle name="=D:\WINNT\SYSTEM32\COMMAND.COM" xfId="2"/>
    <cellStyle name="=D:\WINNT\SYSTEM32\COMMAND.COM 10" xfId="1890"/>
    <cellStyle name="=D:\WINNT\SYSTEM32\COMMAND.COM 11" xfId="813"/>
    <cellStyle name="=D:\WINNT\SYSTEM32\COMMAND.COM 2" xfId="819"/>
    <cellStyle name="=D:\WINNT\SYSTEM32\COMMAND.COM 2 2" xfId="859"/>
    <cellStyle name="=D:\WINNT\SYSTEM32\COMMAND.COM 3" xfId="854"/>
    <cellStyle name="=D:\WINNT\SYSTEM32\COMMAND.COM 4" xfId="1000"/>
    <cellStyle name="=D:\WINNT\SYSTEM32\COMMAND.COM 5" xfId="1023"/>
    <cellStyle name="=D:\WINNT\SYSTEM32\COMMAND.COM 6" xfId="998"/>
    <cellStyle name="=D:\WINNT\SYSTEM32\COMMAND.COM 7" xfId="1460"/>
    <cellStyle name="=D:\WINNT\SYSTEM32\COMMAND.COM 8" xfId="1458"/>
    <cellStyle name="=D:\WINNT\SYSTEM32\COMMAND.COM 9" xfId="1886"/>
    <cellStyle name="1 indent" xfId="3"/>
    <cellStyle name="1enter" xfId="4"/>
    <cellStyle name="2 indents" xfId="5"/>
    <cellStyle name="20 % - Akzent1" xfId="6"/>
    <cellStyle name="20 % - Akzent2" xfId="7"/>
    <cellStyle name="20 % - Akzent3" xfId="8"/>
    <cellStyle name="20 % - Akzent4" xfId="9"/>
    <cellStyle name="20 % - Akzent5" xfId="10"/>
    <cellStyle name="20 % - Akzent6" xfId="11"/>
    <cellStyle name="20 % – Zvýraznění1" xfId="2524"/>
    <cellStyle name="20 % – Zvýraznění2" xfId="2525"/>
    <cellStyle name="20 % – Zvýraznění3" xfId="2526"/>
    <cellStyle name="20 % – Zvýraznění4" xfId="2527"/>
    <cellStyle name="20 % – Zvýraznění5" xfId="2528"/>
    <cellStyle name="20 % – Zvýraznění6" xfId="2529"/>
    <cellStyle name="20 % - zvýraznenie1" xfId="2070" builtinId="30" customBuiltin="1"/>
    <cellStyle name="20 % - zvýraznenie1 2" xfId="1972"/>
    <cellStyle name="20 % - zvýraznenie1 3" xfId="2165"/>
    <cellStyle name="20 % - zvýraznenie1 3 2" xfId="2364"/>
    <cellStyle name="20 % - zvýraznenie1 4" xfId="2197"/>
    <cellStyle name="20 % - zvýraznenie1 4 2" xfId="2365"/>
    <cellStyle name="20 % - zvýraznenie1 4 3" xfId="2714"/>
    <cellStyle name="20 % - zvýraznenie1 5" xfId="2366"/>
    <cellStyle name="20 % - zvýraznenie1 6" xfId="2337"/>
    <cellStyle name="20 % - zvýraznenie1 7" xfId="2640"/>
    <cellStyle name="20 % - zvýraznenie2" xfId="2046" builtinId="34" customBuiltin="1"/>
    <cellStyle name="20 % - zvýraznenie2 2" xfId="1976"/>
    <cellStyle name="20 % - zvýraznenie2 3" xfId="2167"/>
    <cellStyle name="20 % - zvýraznenie2 3 2" xfId="2367"/>
    <cellStyle name="20 % - zvýraznenie2 4" xfId="2201"/>
    <cellStyle name="20 % - zvýraznenie2 4 2" xfId="2368"/>
    <cellStyle name="20 % - zvýraznenie2 4 3" xfId="2717"/>
    <cellStyle name="20 % - zvýraznenie2 5" xfId="2369"/>
    <cellStyle name="20 % - zvýraznenie2 6" xfId="2341"/>
    <cellStyle name="20 % - zvýraznenie2 7" xfId="2643"/>
    <cellStyle name="20 % - zvýraznenie3" xfId="2034" builtinId="38" customBuiltin="1"/>
    <cellStyle name="20 % - zvýraznenie3 2" xfId="1980"/>
    <cellStyle name="20 % - zvýraznenie3 3" xfId="2169"/>
    <cellStyle name="20 % - zvýraznenie3 3 2" xfId="2370"/>
    <cellStyle name="20 % - zvýraznenie3 4" xfId="2205"/>
    <cellStyle name="20 % - zvýraznenie3 4 2" xfId="2371"/>
    <cellStyle name="20 % - zvýraznenie3 4 3" xfId="2719"/>
    <cellStyle name="20 % - zvýraznenie3 5" xfId="2372"/>
    <cellStyle name="20 % - zvýraznenie3 6" xfId="2345"/>
    <cellStyle name="20 % - zvýraznenie3 7" xfId="2646"/>
    <cellStyle name="20 % - zvýraznenie4" xfId="2061" builtinId="42" customBuiltin="1"/>
    <cellStyle name="20 % - zvýraznenie4 2" xfId="1984"/>
    <cellStyle name="20 % - zvýraznenie4 3" xfId="2171"/>
    <cellStyle name="20 % - zvýraznenie4 3 2" xfId="2373"/>
    <cellStyle name="20 % - zvýraznenie4 4" xfId="2209"/>
    <cellStyle name="20 % - zvýraznenie4 4 2" xfId="2374"/>
    <cellStyle name="20 % - zvýraznenie4 4 3" xfId="2721"/>
    <cellStyle name="20 % - zvýraznenie4 5" xfId="2375"/>
    <cellStyle name="20 % - zvýraznenie4 6" xfId="2349"/>
    <cellStyle name="20 % - zvýraznenie4 7" xfId="2649"/>
    <cellStyle name="20 % - zvýraznenie5" xfId="2051" builtinId="46" customBuiltin="1"/>
    <cellStyle name="20 % - zvýraznenie5 2" xfId="1988"/>
    <cellStyle name="20 % - zvýraznenie5 3" xfId="2173"/>
    <cellStyle name="20 % - zvýraznenie5 3 2" xfId="2376"/>
    <cellStyle name="20 % - zvýraznenie5 4" xfId="2213"/>
    <cellStyle name="20 % - zvýraznenie5 4 2" xfId="2377"/>
    <cellStyle name="20 % - zvýraznenie5 4 3" xfId="2723"/>
    <cellStyle name="20 % - zvýraznenie5 5" xfId="2378"/>
    <cellStyle name="20 % - zvýraznenie5 6" xfId="2353"/>
    <cellStyle name="20 % - zvýraznenie5 7" xfId="2652"/>
    <cellStyle name="20 % - zvýraznenie6" xfId="2144" builtinId="50" customBuiltin="1"/>
    <cellStyle name="20 % - zvýraznenie6 2" xfId="1992"/>
    <cellStyle name="20 % - zvýraznenie6 3" xfId="2175"/>
    <cellStyle name="20 % - zvýraznenie6 3 2" xfId="2379"/>
    <cellStyle name="20 % - zvýraznenie6 4" xfId="2217"/>
    <cellStyle name="20 % - zvýraznenie6 4 2" xfId="2380"/>
    <cellStyle name="20 % - zvýraznenie6 4 3" xfId="2726"/>
    <cellStyle name="20 % - zvýraznenie6 5" xfId="2381"/>
    <cellStyle name="20 % - zvýraznenie6 6" xfId="2357"/>
    <cellStyle name="20 % - zvýraznenie6 7" xfId="2655"/>
    <cellStyle name="20% - Accent1 2" xfId="2530"/>
    <cellStyle name="20% - Accent2 2" xfId="2531"/>
    <cellStyle name="20% - Accent3 2" xfId="2532"/>
    <cellStyle name="20% - Accent4 2" xfId="2533"/>
    <cellStyle name="20% - Accent5 2" xfId="2534"/>
    <cellStyle name="20% - Accent6 2" xfId="2535"/>
    <cellStyle name="3 indents" xfId="12"/>
    <cellStyle name="4 indents" xfId="13"/>
    <cellStyle name="40 % - Akzent1" xfId="14"/>
    <cellStyle name="40 % - Akzent2" xfId="15"/>
    <cellStyle name="40 % - Akzent3" xfId="16"/>
    <cellStyle name="40 % - Akzent4" xfId="17"/>
    <cellStyle name="40 % - Akzent5" xfId="18"/>
    <cellStyle name="40 % - Akzent6" xfId="19"/>
    <cellStyle name="40 % – Zvýraznění1" xfId="2536"/>
    <cellStyle name="40 % – Zvýraznění2" xfId="2537"/>
    <cellStyle name="40 % – Zvýraznění3" xfId="2538"/>
    <cellStyle name="40 % – Zvýraznění4" xfId="2539"/>
    <cellStyle name="40 % – Zvýraznění5" xfId="2540"/>
    <cellStyle name="40 % – Zvýraznění6" xfId="2541"/>
    <cellStyle name="40 % - zvýraznenie1" xfId="2037" builtinId="31" customBuiltin="1"/>
    <cellStyle name="40 % - zvýraznenie1 2" xfId="1973"/>
    <cellStyle name="40 % - zvýraznenie1 3" xfId="2166"/>
    <cellStyle name="40 % - zvýraznenie1 3 2" xfId="2382"/>
    <cellStyle name="40 % - zvýraznenie1 4" xfId="2198"/>
    <cellStyle name="40 % - zvýraznenie1 4 2" xfId="2383"/>
    <cellStyle name="40 % - zvýraznenie1 4 3" xfId="2715"/>
    <cellStyle name="40 % - zvýraznenie1 5" xfId="2384"/>
    <cellStyle name="40 % - zvýraznenie1 6" xfId="2338"/>
    <cellStyle name="40 % - zvýraznenie1 7" xfId="2641"/>
    <cellStyle name="40 % - zvýraznenie2" xfId="2049" builtinId="35" customBuiltin="1"/>
    <cellStyle name="40 % - zvýraznenie2 2" xfId="1977"/>
    <cellStyle name="40 % - zvýraznenie2 3" xfId="2168"/>
    <cellStyle name="40 % - zvýraznenie2 3 2" xfId="2385"/>
    <cellStyle name="40 % - zvýraznenie2 4" xfId="2202"/>
    <cellStyle name="40 % - zvýraznenie2 4 2" xfId="2386"/>
    <cellStyle name="40 % - zvýraznenie2 4 3" xfId="2718"/>
    <cellStyle name="40 % - zvýraznenie2 5" xfId="2387"/>
    <cellStyle name="40 % - zvýraznenie2 6" xfId="2342"/>
    <cellStyle name="40 % - zvýraznenie2 7" xfId="2644"/>
    <cellStyle name="40 % - zvýraznenie3" xfId="2040" builtinId="39" customBuiltin="1"/>
    <cellStyle name="40 % - zvýraznenie3 2" xfId="1981"/>
    <cellStyle name="40 % - zvýraznenie3 3" xfId="2170"/>
    <cellStyle name="40 % - zvýraznenie3 3 2" xfId="2388"/>
    <cellStyle name="40 % - zvýraznenie3 4" xfId="2206"/>
    <cellStyle name="40 % - zvýraznenie3 4 2" xfId="2389"/>
    <cellStyle name="40 % - zvýraznenie3 4 3" xfId="2720"/>
    <cellStyle name="40 % - zvýraznenie3 5" xfId="2390"/>
    <cellStyle name="40 % - zvýraznenie3 6" xfId="2346"/>
    <cellStyle name="40 % - zvýraznenie3 7" xfId="2647"/>
    <cellStyle name="40 % - zvýraznenie4" xfId="2045" builtinId="43" customBuiltin="1"/>
    <cellStyle name="40 % - zvýraznenie4 2" xfId="1985"/>
    <cellStyle name="40 % - zvýraznenie4 3" xfId="2172"/>
    <cellStyle name="40 % - zvýraznenie4 3 2" xfId="2391"/>
    <cellStyle name="40 % - zvýraznenie4 4" xfId="2210"/>
    <cellStyle name="40 % - zvýraznenie4 4 2" xfId="2392"/>
    <cellStyle name="40 % - zvýraznenie4 4 3" xfId="2722"/>
    <cellStyle name="40 % - zvýraznenie4 5" xfId="2393"/>
    <cellStyle name="40 % - zvýraznenie4 6" xfId="2350"/>
    <cellStyle name="40 % - zvýraznenie4 7" xfId="2650"/>
    <cellStyle name="40 % - zvýraznenie5" xfId="2020" builtinId="47" customBuiltin="1"/>
    <cellStyle name="40 % - zvýraznenie5 2" xfId="1989"/>
    <cellStyle name="40 % - zvýraznenie5 3" xfId="2174"/>
    <cellStyle name="40 % - zvýraznenie5 3 2" xfId="2394"/>
    <cellStyle name="40 % - zvýraznenie5 4" xfId="2214"/>
    <cellStyle name="40 % - zvýraznenie5 4 2" xfId="2395"/>
    <cellStyle name="40 % - zvýraznenie5 4 3" xfId="2724"/>
    <cellStyle name="40 % - zvýraznenie5 5" xfId="2396"/>
    <cellStyle name="40 % - zvýraznenie5 6" xfId="2354"/>
    <cellStyle name="40 % - zvýraznenie5 7" xfId="2653"/>
    <cellStyle name="40 % - zvýraznenie6" xfId="2047" builtinId="51" customBuiltin="1"/>
    <cellStyle name="40 % - zvýraznenie6 2" xfId="1993"/>
    <cellStyle name="40 % - zvýraznenie6 3" xfId="2176"/>
    <cellStyle name="40 % - zvýraznenie6 3 2" xfId="2397"/>
    <cellStyle name="40 % - zvýraznenie6 4" xfId="2218"/>
    <cellStyle name="40 % - zvýraznenie6 4 2" xfId="2398"/>
    <cellStyle name="40 % - zvýraznenie6 4 3" xfId="2727"/>
    <cellStyle name="40 % - zvýraznenie6 5" xfId="2399"/>
    <cellStyle name="40 % - zvýraznenie6 6" xfId="2358"/>
    <cellStyle name="40 % - zvýraznenie6 7" xfId="2656"/>
    <cellStyle name="40% - Accent1 2" xfId="2542"/>
    <cellStyle name="40% - Accent2 2" xfId="2543"/>
    <cellStyle name="40% - Accent3 2" xfId="2544"/>
    <cellStyle name="40% - Accent4 2" xfId="2545"/>
    <cellStyle name="40% - Accent5 2" xfId="2546"/>
    <cellStyle name="40% - Accent6 2" xfId="2547"/>
    <cellStyle name="5 indents" xfId="20"/>
    <cellStyle name="60 % - Akzent1" xfId="21"/>
    <cellStyle name="60 % - Akzent2" xfId="22"/>
    <cellStyle name="60 % - Akzent3" xfId="23"/>
    <cellStyle name="60 % - Akzent4" xfId="24"/>
    <cellStyle name="60 % - Akzent5" xfId="25"/>
    <cellStyle name="60 % - Akzent6" xfId="26"/>
    <cellStyle name="60 % – Zvýraznění1" xfId="2548"/>
    <cellStyle name="60 % – Zvýraznění2" xfId="2549"/>
    <cellStyle name="60 % – Zvýraznění3" xfId="2550"/>
    <cellStyle name="60 % – Zvýraznění4" xfId="2551"/>
    <cellStyle name="60 % – Zvýraznění5" xfId="2552"/>
    <cellStyle name="60 % – Zvýraznění6" xfId="2553"/>
    <cellStyle name="60 % - zvýraznenie1" xfId="2068" builtinId="32" customBuiltin="1"/>
    <cellStyle name="60 % - zvýraznenie1 2" xfId="1974"/>
    <cellStyle name="60 % - zvýraznenie1 3" xfId="2199"/>
    <cellStyle name="60 % - zvýraznenie1 3 2" xfId="2400"/>
    <cellStyle name="60 % - zvýraznenie1 4" xfId="2401"/>
    <cellStyle name="60 % - zvýraznenie1 5" xfId="2402"/>
    <cellStyle name="60 % - zvýraznenie1 6" xfId="2339"/>
    <cellStyle name="60 % - zvýraznenie1 7" xfId="2642"/>
    <cellStyle name="60 % - zvýraznenie2" xfId="2053" builtinId="36" customBuiltin="1"/>
    <cellStyle name="60 % - zvýraznenie2 2" xfId="1978"/>
    <cellStyle name="60 % - zvýraznenie2 3" xfId="2203"/>
    <cellStyle name="60 % - zvýraznenie2 3 2" xfId="2403"/>
    <cellStyle name="60 % - zvýraznenie2 4" xfId="2404"/>
    <cellStyle name="60 % - zvýraznenie2 5" xfId="2405"/>
    <cellStyle name="60 % - zvýraznenie2 6" xfId="2343"/>
    <cellStyle name="60 % - zvýraznenie2 7" xfId="2645"/>
    <cellStyle name="60 % - zvýraznenie3" xfId="2021" builtinId="40" customBuiltin="1"/>
    <cellStyle name="60 % - zvýraznenie3 2" xfId="1982"/>
    <cellStyle name="60 % - zvýraznenie3 3" xfId="2207"/>
    <cellStyle name="60 % - zvýraznenie3 3 2" xfId="2406"/>
    <cellStyle name="60 % - zvýraznenie3 4" xfId="2407"/>
    <cellStyle name="60 % - zvýraznenie3 5" xfId="2408"/>
    <cellStyle name="60 % - zvýraznenie3 6" xfId="2347"/>
    <cellStyle name="60 % - zvýraznenie3 7" xfId="2648"/>
    <cellStyle name="60 % - zvýraznenie4" xfId="2143" builtinId="44" customBuiltin="1"/>
    <cellStyle name="60 % - zvýraznenie4 2" xfId="1986"/>
    <cellStyle name="60 % - zvýraznenie4 3" xfId="2211"/>
    <cellStyle name="60 % - zvýraznenie4 3 2" xfId="2409"/>
    <cellStyle name="60 % - zvýraznenie4 4" xfId="2410"/>
    <cellStyle name="60 % - zvýraznenie4 5" xfId="2411"/>
    <cellStyle name="60 % - zvýraznenie4 6" xfId="2351"/>
    <cellStyle name="60 % - zvýraznenie4 7" xfId="2651"/>
    <cellStyle name="60 % - zvýraznenie5" xfId="2019" builtinId="48" customBuiltin="1"/>
    <cellStyle name="60 % - zvýraznenie5 2" xfId="1990"/>
    <cellStyle name="60 % - zvýraznenie5 3" xfId="2215"/>
    <cellStyle name="60 % - zvýraznenie5 3 2" xfId="2412"/>
    <cellStyle name="60 % - zvýraznenie5 4" xfId="2413"/>
    <cellStyle name="60 % - zvýraznenie5 5" xfId="2414"/>
    <cellStyle name="60 % - zvýraznenie5 6" xfId="2355"/>
    <cellStyle name="60 % - zvýraznenie5 7" xfId="2654"/>
    <cellStyle name="60 % - zvýraznenie6" xfId="2067" builtinId="52" customBuiltin="1"/>
    <cellStyle name="60 % - zvýraznenie6 2" xfId="1994"/>
    <cellStyle name="60 % - zvýraznenie6 3" xfId="2219"/>
    <cellStyle name="60 % - zvýraznenie6 3 2" xfId="2415"/>
    <cellStyle name="60 % - zvýraznenie6 4" xfId="2416"/>
    <cellStyle name="60 % - zvýraznenie6 5" xfId="2417"/>
    <cellStyle name="60 % - zvýraznenie6 6" xfId="2359"/>
    <cellStyle name="60 % - zvýraznenie6 7" xfId="2657"/>
    <cellStyle name="60% - Accent1 2" xfId="2554"/>
    <cellStyle name="60% - Accent2 2" xfId="2555"/>
    <cellStyle name="60% - Accent3 2" xfId="2556"/>
    <cellStyle name="60% - Accent4 2" xfId="2557"/>
    <cellStyle name="60% - Accent5 2" xfId="2558"/>
    <cellStyle name="60% - Accent6 2" xfId="2559"/>
    <cellStyle name="a0" xfId="2225"/>
    <cellStyle name="absolute difference" xfId="27"/>
    <cellStyle name="absolute difference 2" xfId="28"/>
    <cellStyle name="Accent1" xfId="2671"/>
    <cellStyle name="Accent1 2" xfId="2262"/>
    <cellStyle name="Accent1 2 2" xfId="2560"/>
    <cellStyle name="Accent1 2_makro" xfId="2604"/>
    <cellStyle name="Accent1 3" xfId="2703"/>
    <cellStyle name="Accent2" xfId="2672"/>
    <cellStyle name="Accent2 2" xfId="2263"/>
    <cellStyle name="Accent2 3" xfId="2704"/>
    <cellStyle name="Accent3" xfId="2673"/>
    <cellStyle name="Accent3 2" xfId="2264"/>
    <cellStyle name="Accent3 3" xfId="2705"/>
    <cellStyle name="Accent4" xfId="2674"/>
    <cellStyle name="Accent4 2" xfId="2265"/>
    <cellStyle name="Accent4 2 2" xfId="2561"/>
    <cellStyle name="Accent4 2_makro" xfId="2605"/>
    <cellStyle name="Accent4 3" xfId="2706"/>
    <cellStyle name="Accent5" xfId="2675"/>
    <cellStyle name="Accent5 2" xfId="2266"/>
    <cellStyle name="Accent5 3" xfId="2707"/>
    <cellStyle name="Accent6" xfId="2676"/>
    <cellStyle name="Accent6 2" xfId="2267"/>
    <cellStyle name="Accent6 3" xfId="2708"/>
    <cellStyle name="Akzent1" xfId="29"/>
    <cellStyle name="Akzent2" xfId="30"/>
    <cellStyle name="Akzent3" xfId="31"/>
    <cellStyle name="Akzent4" xfId="32"/>
    <cellStyle name="Akzent5" xfId="33"/>
    <cellStyle name="Akzent6" xfId="34"/>
    <cellStyle name="annee semestre" xfId="2186"/>
    <cellStyle name="Ausgabe" xfId="35"/>
    <cellStyle name="Bad" xfId="2664"/>
    <cellStyle name="Bad 2" xfId="2268"/>
    <cellStyle name="Bad 3" xfId="2695"/>
    <cellStyle name="Berechnung" xfId="36"/>
    <cellStyle name="Calculation" xfId="2667"/>
    <cellStyle name="Calculation 2" xfId="2269"/>
    <cellStyle name="Calculation 2 2" xfId="2562"/>
    <cellStyle name="Calculation 2_makro" xfId="2606"/>
    <cellStyle name="Calculation 3" xfId="2699"/>
    <cellStyle name="Celkem" xfId="37"/>
    <cellStyle name="Celkem 2" xfId="38"/>
    <cellStyle name="Celkem 3" xfId="797"/>
    <cellStyle name="Celkem 4" xfId="2563"/>
    <cellStyle name="Comma 2" xfId="39"/>
    <cellStyle name="Comma 2 2" xfId="2200"/>
    <cellStyle name="Comma 2 2 2" xfId="2716"/>
    <cellStyle name="Comma 2 3" xfId="2618"/>
    <cellStyle name="Comma 2 4" xfId="2677"/>
    <cellStyle name="Comma0" xfId="40"/>
    <cellStyle name="Comma0 2" xfId="41"/>
    <cellStyle name="Currency 2" xfId="42"/>
    <cellStyle name="Currency 3" xfId="43"/>
    <cellStyle name="Currency0" xfId="44"/>
    <cellStyle name="Currency0 2" xfId="45"/>
    <cellStyle name="Čiarka" xfId="2162" builtinId="3"/>
    <cellStyle name="Čiarka 2" xfId="810"/>
    <cellStyle name="Čiarka 3" xfId="2073"/>
    <cellStyle name="Čiarka 4" xfId="2633"/>
    <cellStyle name="Čiarka 5" xfId="2710"/>
    <cellStyle name="čiarky 2" xfId="46"/>
    <cellStyle name="čiarky 2 10" xfId="1838"/>
    <cellStyle name="čiarky 2 11" xfId="1859"/>
    <cellStyle name="čiarky 2 12" xfId="830"/>
    <cellStyle name="čiarky 2 13" xfId="2678"/>
    <cellStyle name="čiarky 2 2" xfId="867"/>
    <cellStyle name="čiarky 2 3" xfId="1792"/>
    <cellStyle name="čiarky 2 4" xfId="1860"/>
    <cellStyle name="čiarky 2 5" xfId="1822"/>
    <cellStyle name="čiarky 2 6" xfId="1849"/>
    <cellStyle name="čiarky 2 7" xfId="1804"/>
    <cellStyle name="čiarky 2 8" xfId="1834"/>
    <cellStyle name="čiarky 2 9" xfId="1814"/>
    <cellStyle name="čiarky 3" xfId="47"/>
    <cellStyle name="čiarky 3 2" xfId="48"/>
    <cellStyle name="čiarky 3 3" xfId="49"/>
    <cellStyle name="čiarky 3 3 2" xfId="2679"/>
    <cellStyle name="čiarky 3_NPC vysvetlenie_20121025" xfId="50"/>
    <cellStyle name="čiarky 4" xfId="51"/>
    <cellStyle name="čiarky 4 2" xfId="52"/>
    <cellStyle name="čiarky 4 2 2" xfId="2681"/>
    <cellStyle name="čiarky 4 3" xfId="878"/>
    <cellStyle name="čiarky 4 4" xfId="2680"/>
    <cellStyle name="čiarky 5" xfId="917"/>
    <cellStyle name="čiarky 6" xfId="2076"/>
    <cellStyle name="čiarky 7" xfId="2418"/>
    <cellStyle name="čiarky 8" xfId="2419"/>
    <cellStyle name="Date" xfId="53"/>
    <cellStyle name="Date 2" xfId="54"/>
    <cellStyle name="Date 2 2" xfId="1450"/>
    <cellStyle name="Date_Tab subjekty salda" xfId="55"/>
    <cellStyle name="Datum" xfId="56"/>
    <cellStyle name="Datum 2" xfId="57"/>
    <cellStyle name="Datum 3" xfId="798"/>
    <cellStyle name="Datum_Tab subjekty salda" xfId="58"/>
    <cellStyle name="day of week" xfId="59"/>
    <cellStyle name="DEM" xfId="60"/>
    <cellStyle name="DEM 2" xfId="61"/>
    <cellStyle name="diskette" xfId="62"/>
    <cellStyle name="Dobrá" xfId="2023" builtinId="26" customBuiltin="1"/>
    <cellStyle name="Dobrá 2" xfId="1960"/>
    <cellStyle name="Dobrá 3" xfId="2185"/>
    <cellStyle name="Dobrá 3 2" xfId="2420"/>
    <cellStyle name="Dobrá 4" xfId="2421"/>
    <cellStyle name="Dobrá 5" xfId="2422"/>
    <cellStyle name="Dobrá 6" xfId="2325"/>
    <cellStyle name="Dobrá 7" xfId="2751"/>
    <cellStyle name="données" xfId="2182"/>
    <cellStyle name="donnéesbord" xfId="2188"/>
    <cellStyle name="Eingabe" xfId="63"/>
    <cellStyle name="Ergebnis" xfId="64"/>
    <cellStyle name="Erklärender Text" xfId="65"/>
    <cellStyle name="Euro" xfId="66"/>
    <cellStyle name="Euro 2" xfId="67"/>
    <cellStyle name="Euro_Tab subjekty salda" xfId="68"/>
    <cellStyle name="Excel.Chart" xfId="69"/>
    <cellStyle name="Explanatory Text" xfId="2670"/>
    <cellStyle name="Explanatory Text 2" xfId="2270"/>
    <cellStyle name="Explanatory Text 3" xfId="2702"/>
    <cellStyle name="Ezres [0]_3MONTH RATES (2)" xfId="70"/>
    <cellStyle name="Ezres_3MONTH RATES (2)" xfId="71"/>
    <cellStyle name="F2" xfId="72"/>
    <cellStyle name="F3" xfId="73"/>
    <cellStyle name="F4" xfId="74"/>
    <cellStyle name="F5" xfId="75"/>
    <cellStyle name="F6" xfId="76"/>
    <cellStyle name="F7" xfId="77"/>
    <cellStyle name="F8" xfId="78"/>
    <cellStyle name="Financier0" xfId="79"/>
    <cellStyle name="Finanční0" xfId="80"/>
    <cellStyle name="Finanení0" xfId="81"/>
    <cellStyle name="Finanèní0" xfId="82"/>
    <cellStyle name="Finanení0 10" xfId="83"/>
    <cellStyle name="Finanení0 11" xfId="84"/>
    <cellStyle name="Finanení0 12" xfId="85"/>
    <cellStyle name="Finanení0 13" xfId="86"/>
    <cellStyle name="Finanení0 14" xfId="87"/>
    <cellStyle name="Finanení0 15" xfId="88"/>
    <cellStyle name="Finanení0 16" xfId="89"/>
    <cellStyle name="Finanení0 17" xfId="90"/>
    <cellStyle name="Finanení0 18" xfId="91"/>
    <cellStyle name="Finanení0 19" xfId="92"/>
    <cellStyle name="Finanení0 2" xfId="93"/>
    <cellStyle name="Finanèní0 2" xfId="800"/>
    <cellStyle name="Finanení0 20" xfId="94"/>
    <cellStyle name="Finanení0 21" xfId="95"/>
    <cellStyle name="Finanení0 22" xfId="96"/>
    <cellStyle name="Finanení0 23" xfId="97"/>
    <cellStyle name="Finanení0 24" xfId="98"/>
    <cellStyle name="Finanení0 25" xfId="99"/>
    <cellStyle name="Finanení0 26" xfId="100"/>
    <cellStyle name="Finanení0 27" xfId="101"/>
    <cellStyle name="Finanení0 28" xfId="102"/>
    <cellStyle name="Finanení0 29" xfId="103"/>
    <cellStyle name="Finanení0 3" xfId="104"/>
    <cellStyle name="Finanení0 30" xfId="105"/>
    <cellStyle name="Finanení0 31" xfId="106"/>
    <cellStyle name="Finanení0 32" xfId="107"/>
    <cellStyle name="Finanení0 33" xfId="108"/>
    <cellStyle name="Finanení0 34" xfId="109"/>
    <cellStyle name="Finanení0 35" xfId="110"/>
    <cellStyle name="Finanení0 36" xfId="111"/>
    <cellStyle name="Finanení0 37" xfId="112"/>
    <cellStyle name="Finanení0 38" xfId="113"/>
    <cellStyle name="Finanení0 39" xfId="114"/>
    <cellStyle name="Finanení0 4" xfId="115"/>
    <cellStyle name="Finanení0 40" xfId="116"/>
    <cellStyle name="Finanení0 41" xfId="117"/>
    <cellStyle name="Finanení0 42" xfId="118"/>
    <cellStyle name="Finanení0 43" xfId="119"/>
    <cellStyle name="Finanení0 44" xfId="120"/>
    <cellStyle name="Finanení0 45" xfId="121"/>
    <cellStyle name="Finanení0 46" xfId="122"/>
    <cellStyle name="Finanení0 47" xfId="123"/>
    <cellStyle name="Finanení0 48" xfId="124"/>
    <cellStyle name="Finanení0 49" xfId="125"/>
    <cellStyle name="Finanení0 5" xfId="126"/>
    <cellStyle name="Finanení0 50" xfId="127"/>
    <cellStyle name="Finanení0 51" xfId="128"/>
    <cellStyle name="Finanení0 52" xfId="129"/>
    <cellStyle name="Finanení0 53" xfId="130"/>
    <cellStyle name="Finanení0 54" xfId="131"/>
    <cellStyle name="Finanení0 55" xfId="132"/>
    <cellStyle name="Finanení0 56" xfId="133"/>
    <cellStyle name="Finanení0 57" xfId="799"/>
    <cellStyle name="Finanení0 6" xfId="134"/>
    <cellStyle name="Finanení0 7" xfId="135"/>
    <cellStyle name="Finanení0 8" xfId="136"/>
    <cellStyle name="Finanení0 9" xfId="137"/>
    <cellStyle name="Fixed" xfId="138"/>
    <cellStyle name="Fixed (0)" xfId="139"/>
    <cellStyle name="Fixed (1)" xfId="140"/>
    <cellStyle name="Fixed (2)" xfId="141"/>
    <cellStyle name="Fixed 2" xfId="142"/>
    <cellStyle name="Fixed 3" xfId="143"/>
    <cellStyle name="Fixed 4" xfId="801"/>
    <cellStyle name="Fixed_SLOVENIA  GENERAL GOVERNMENT BUDGETARY ACCOUNTS 2000 - 2009" xfId="144"/>
    <cellStyle name="fixed0 - Style4" xfId="145"/>
    <cellStyle name="Good 2" xfId="2564"/>
    <cellStyle name="Grey" xfId="146"/>
    <cellStyle name="Gut" xfId="147"/>
    <cellStyle name="Header" xfId="148"/>
    <cellStyle name="Header style" xfId="149"/>
    <cellStyle name="Heading 1" xfId="2660"/>
    <cellStyle name="Heading 1 2" xfId="150"/>
    <cellStyle name="Heading 1 2 2" xfId="2048"/>
    <cellStyle name="Heading 1 2 2 2" xfId="2565"/>
    <cellStyle name="Heading 1 2_makro" xfId="2607"/>
    <cellStyle name="Heading 1 3" xfId="151"/>
    <cellStyle name="Heading 1 4" xfId="2691"/>
    <cellStyle name="Heading 2" xfId="2661"/>
    <cellStyle name="Heading 2 2" xfId="152"/>
    <cellStyle name="Heading 2 2 2" xfId="2052"/>
    <cellStyle name="Heading 2 2 2 2" xfId="2566"/>
    <cellStyle name="Heading 2 2_makro" xfId="2608"/>
    <cellStyle name="Heading 2 3" xfId="153"/>
    <cellStyle name="Heading 2 4" xfId="154"/>
    <cellStyle name="Heading 2 5" xfId="2692"/>
    <cellStyle name="Heading 3" xfId="2662"/>
    <cellStyle name="Heading 3 2" xfId="2271"/>
    <cellStyle name="Heading 3 2 2" xfId="2567"/>
    <cellStyle name="Heading 3 2 2 2" xfId="2731"/>
    <cellStyle name="Heading 3 2 3" xfId="2730"/>
    <cellStyle name="Heading 3 2_makro" xfId="2609"/>
    <cellStyle name="Heading 3 3" xfId="2693"/>
    <cellStyle name="Heading 4" xfId="2663"/>
    <cellStyle name="Heading 4 2" xfId="2272"/>
    <cellStyle name="Heading 4 2 2" xfId="2568"/>
    <cellStyle name="Heading 4 2_makro" xfId="2610"/>
    <cellStyle name="Heading 4 3" xfId="2694"/>
    <cellStyle name="Hipervínculo_IIF" xfId="155"/>
    <cellStyle name="Hyperlink 2" xfId="2189"/>
    <cellStyle name="Hyperlink䟟monetáris.xls Chart 4" xfId="156"/>
    <cellStyle name="Hypertextové prepojenie" xfId="2635" builtinId="8"/>
    <cellStyle name="Hypertextové prepojenie 2" xfId="817"/>
    <cellStyle name="Hypertextové prepojenie 3" xfId="2747"/>
    <cellStyle name="Check Cell" xfId="2669"/>
    <cellStyle name="Check Cell 2" xfId="2273"/>
    <cellStyle name="Check Cell 3" xfId="2701"/>
    <cellStyle name="CHF" xfId="157"/>
    <cellStyle name="Chybně" xfId="2569"/>
    <cellStyle name="Îáû÷íûé_Table16" xfId="158"/>
    <cellStyle name="imf-one decimal" xfId="159"/>
    <cellStyle name="imf-zero decimal" xfId="160"/>
    <cellStyle name="Input" xfId="2665"/>
    <cellStyle name="Input [yellow]" xfId="161"/>
    <cellStyle name="Input 2" xfId="2274"/>
    <cellStyle name="Input 3" xfId="2697"/>
    <cellStyle name="JPY" xfId="162"/>
    <cellStyle name="Kontrolná bunka 2" xfId="1967"/>
    <cellStyle name="Kontrolná bunka 3" xfId="2423"/>
    <cellStyle name="Kontrolná bunka 4" xfId="2424"/>
    <cellStyle name="Kontrolná bunka 5" xfId="2425"/>
    <cellStyle name="Kontrolná bunka 6" xfId="2332"/>
    <cellStyle name="Kontrolní buňka" xfId="2570"/>
    <cellStyle name="Lien hypertexte" xfId="163"/>
    <cellStyle name="Lien hypertexte visité" xfId="164"/>
    <cellStyle name="Linked Cell" xfId="2668"/>
    <cellStyle name="Linked Cell 2" xfId="2275"/>
    <cellStyle name="Linked Cell 3" xfId="2700"/>
    <cellStyle name="Měna0" xfId="165"/>
    <cellStyle name="měny_DEFLÁTORY  3q 1998" xfId="166"/>
    <cellStyle name="Millares [0]_11.1.3. bis" xfId="167"/>
    <cellStyle name="Millares_11.1.3. bis" xfId="168"/>
    <cellStyle name="Milliers [0]_Feuil1" xfId="169"/>
    <cellStyle name="Milliers_Feuil1" xfId="170"/>
    <cellStyle name="Mina0" xfId="171"/>
    <cellStyle name="Mìna0" xfId="172"/>
    <cellStyle name="Mina0 10" xfId="173"/>
    <cellStyle name="Mina0 11" xfId="174"/>
    <cellStyle name="Mina0 12" xfId="175"/>
    <cellStyle name="Mina0 13" xfId="176"/>
    <cellStyle name="Mina0 14" xfId="177"/>
    <cellStyle name="Mina0 15" xfId="178"/>
    <cellStyle name="Mina0 16" xfId="179"/>
    <cellStyle name="Mina0 17" xfId="180"/>
    <cellStyle name="Mina0 18" xfId="181"/>
    <cellStyle name="Mina0 19" xfId="182"/>
    <cellStyle name="Mina0 2" xfId="183"/>
    <cellStyle name="Mìna0 2" xfId="803"/>
    <cellStyle name="Mina0 20" xfId="184"/>
    <cellStyle name="Mina0 21" xfId="185"/>
    <cellStyle name="Mina0 22" xfId="186"/>
    <cellStyle name="Mina0 23" xfId="187"/>
    <cellStyle name="Mina0 24" xfId="188"/>
    <cellStyle name="Mina0 25" xfId="189"/>
    <cellStyle name="Mina0 26" xfId="190"/>
    <cellStyle name="Mina0 27" xfId="191"/>
    <cellStyle name="Mina0 28" xfId="192"/>
    <cellStyle name="Mina0 29" xfId="193"/>
    <cellStyle name="Mina0 3" xfId="194"/>
    <cellStyle name="Mina0 30" xfId="195"/>
    <cellStyle name="Mina0 31" xfId="196"/>
    <cellStyle name="Mina0 32" xfId="197"/>
    <cellStyle name="Mina0 33" xfId="198"/>
    <cellStyle name="Mina0 34" xfId="199"/>
    <cellStyle name="Mina0 35" xfId="200"/>
    <cellStyle name="Mina0 36" xfId="201"/>
    <cellStyle name="Mina0 37" xfId="202"/>
    <cellStyle name="Mina0 38" xfId="203"/>
    <cellStyle name="Mina0 39" xfId="204"/>
    <cellStyle name="Mina0 4" xfId="205"/>
    <cellStyle name="Mina0 40" xfId="206"/>
    <cellStyle name="Mina0 41" xfId="207"/>
    <cellStyle name="Mina0 42" xfId="208"/>
    <cellStyle name="Mina0 43" xfId="209"/>
    <cellStyle name="Mina0 44" xfId="210"/>
    <cellStyle name="Mina0 45" xfId="211"/>
    <cellStyle name="Mina0 46" xfId="212"/>
    <cellStyle name="Mina0 47" xfId="213"/>
    <cellStyle name="Mina0 48" xfId="214"/>
    <cellStyle name="Mina0 49" xfId="215"/>
    <cellStyle name="Mina0 5" xfId="216"/>
    <cellStyle name="Mina0 50" xfId="217"/>
    <cellStyle name="Mina0 51" xfId="218"/>
    <cellStyle name="Mina0 52" xfId="219"/>
    <cellStyle name="Mina0 53" xfId="220"/>
    <cellStyle name="Mina0 54" xfId="221"/>
    <cellStyle name="Mina0 55" xfId="222"/>
    <cellStyle name="Mina0 56" xfId="223"/>
    <cellStyle name="Mina0 57" xfId="802"/>
    <cellStyle name="Mina0 6" xfId="224"/>
    <cellStyle name="Mina0 7" xfId="225"/>
    <cellStyle name="Mina0 8" xfId="226"/>
    <cellStyle name="Mina0 9" xfId="227"/>
    <cellStyle name="Moneda [0]_11.1.3. bis" xfId="228"/>
    <cellStyle name="Moneda_11.1.3. bis" xfId="229"/>
    <cellStyle name="Monétaire [0]_Feuil1" xfId="230"/>
    <cellStyle name="Monétaire_Feuil1" xfId="231"/>
    <cellStyle name="Motif" xfId="232"/>
    <cellStyle name="MTW" xfId="233"/>
    <cellStyle name="n0" xfId="2212"/>
    <cellStyle name="Nadpis 1 2" xfId="1956"/>
    <cellStyle name="Nadpis 1 3" xfId="2426"/>
    <cellStyle name="Nadpis 1 4" xfId="2427"/>
    <cellStyle name="Nadpis 1 5" xfId="2428"/>
    <cellStyle name="Nadpis 1 6" xfId="2321"/>
    <cellStyle name="Nadpis 2 2" xfId="1957"/>
    <cellStyle name="Nadpis 2 3" xfId="2429"/>
    <cellStyle name="Nadpis 2 4" xfId="2430"/>
    <cellStyle name="Nadpis 2 5" xfId="2431"/>
    <cellStyle name="Nadpis 2 6" xfId="2322"/>
    <cellStyle name="Nadpis 3 2" xfId="1958"/>
    <cellStyle name="Nadpis 3 3" xfId="2432"/>
    <cellStyle name="Nadpis 3 4" xfId="2433"/>
    <cellStyle name="Nadpis 3 5" xfId="2434"/>
    <cellStyle name="Nadpis 3 6" xfId="2323"/>
    <cellStyle name="Nadpis 4 2" xfId="1959"/>
    <cellStyle name="Nadpis 4 3" xfId="2435"/>
    <cellStyle name="Nadpis 4 4" xfId="2436"/>
    <cellStyle name="Nadpis 4 5" xfId="2437"/>
    <cellStyle name="Nadpis 4 6" xfId="2324"/>
    <cellStyle name="Navadno_FN02pomesecih" xfId="234"/>
    <cellStyle name="Název" xfId="2571"/>
    <cellStyle name="Nedefinován" xfId="235"/>
    <cellStyle name="Nedefinován 2" xfId="236"/>
    <cellStyle name="Nedefinován 3" xfId="237"/>
    <cellStyle name="Nedefinován_NPC vysvetlenie_20121025" xfId="238"/>
    <cellStyle name="Neutral" xfId="2178"/>
    <cellStyle name="Neutral 2" xfId="2276"/>
    <cellStyle name="Neutral 3" xfId="2696"/>
    <cellStyle name="Neutrálna 2" xfId="1962"/>
    <cellStyle name="Neutrálna 3" xfId="2438"/>
    <cellStyle name="Neutrálna 4" xfId="2439"/>
    <cellStyle name="Neutrálna 5" xfId="2440"/>
    <cellStyle name="Neutrálna 6" xfId="2327"/>
    <cellStyle name="Neutrálna 7" xfId="2638"/>
    <cellStyle name="Neutrálna 8" xfId="2711"/>
    <cellStyle name="Neutrální" xfId="2572"/>
    <cellStyle name="Normal - Style1" xfId="239"/>
    <cellStyle name="Normal - Style2" xfId="240"/>
    <cellStyle name="Normal - Style3" xfId="241"/>
    <cellStyle name="Normal 10" xfId="242"/>
    <cellStyle name="Normal 10 2" xfId="243"/>
    <cellStyle name="Normal 10 2 2" xfId="244"/>
    <cellStyle name="Normal 10 2 2 2" xfId="245"/>
    <cellStyle name="Normal 10 2 2 3" xfId="246"/>
    <cellStyle name="Normal 10 2 2 4" xfId="247"/>
    <cellStyle name="Normal 10 2 3" xfId="248"/>
    <cellStyle name="Normal 10 2 3 2" xfId="249"/>
    <cellStyle name="Normal 10 2 3 3" xfId="250"/>
    <cellStyle name="Normal 10 2 3 4" xfId="251"/>
    <cellStyle name="Normal 10 2 4" xfId="252"/>
    <cellStyle name="Normal 10 2 5" xfId="253"/>
    <cellStyle name="Normal 10 2 6" xfId="254"/>
    <cellStyle name="Normal 10 2_1.IMF_SVK_2011 Article IV_Tables attached to Fiscal Questionnaire" xfId="255"/>
    <cellStyle name="Normal 10 3" xfId="256"/>
    <cellStyle name="Normal 10 3 2" xfId="257"/>
    <cellStyle name="Normal 10 3 2 2" xfId="258"/>
    <cellStyle name="Normal 10 3 2 3" xfId="259"/>
    <cellStyle name="Normal 10 3 2 4" xfId="260"/>
    <cellStyle name="Normal 10 3 3" xfId="261"/>
    <cellStyle name="Normal 10 3 3 2" xfId="262"/>
    <cellStyle name="Normal 10 3 3 3" xfId="263"/>
    <cellStyle name="Normal 10 3 3 4" xfId="264"/>
    <cellStyle name="Normal 10 3 4" xfId="265"/>
    <cellStyle name="Normal 10 3 5" xfId="266"/>
    <cellStyle name="Normal 10 3 6" xfId="267"/>
    <cellStyle name="Normal 10 3_1.IMF_SVK_2011 Article IV_Tables attached to Fiscal Questionnaire" xfId="268"/>
    <cellStyle name="Normal 10 4" xfId="269"/>
    <cellStyle name="Normal 10 4 2" xfId="270"/>
    <cellStyle name="Normal 10 4 3" xfId="271"/>
    <cellStyle name="Normal 10 4 4" xfId="272"/>
    <cellStyle name="Normal 10 5" xfId="273"/>
    <cellStyle name="Normal 10 5 2" xfId="274"/>
    <cellStyle name="Normal 10 5 3" xfId="275"/>
    <cellStyle name="Normal 10 5 4" xfId="276"/>
    <cellStyle name="Normal 10 6" xfId="277"/>
    <cellStyle name="Normal 10 7" xfId="278"/>
    <cellStyle name="Normal 10 8" xfId="279"/>
    <cellStyle name="Normal 10_1.IMF_SVK_2011 Article IV_Tables attached to Fiscal Questionnaire" xfId="280"/>
    <cellStyle name="Normal 11" xfId="281"/>
    <cellStyle name="Normal 11 2" xfId="282"/>
    <cellStyle name="Normal 11 3" xfId="283"/>
    <cellStyle name="Normal 11 4" xfId="284"/>
    <cellStyle name="Normal 11_NPC vysvetlenie_20121025" xfId="285"/>
    <cellStyle name="Normal 12" xfId="286"/>
    <cellStyle name="Normal 12 2" xfId="287"/>
    <cellStyle name="Normal 13" xfId="288"/>
    <cellStyle name="Normal 14" xfId="289"/>
    <cellStyle name="Normal 15" xfId="290"/>
    <cellStyle name="Normal 16" xfId="291"/>
    <cellStyle name="Normal 17" xfId="292"/>
    <cellStyle name="Normal 18" xfId="293"/>
    <cellStyle name="Normal 19" xfId="294"/>
    <cellStyle name="Normal 2" xfId="295"/>
    <cellStyle name="Normal 2 2" xfId="296"/>
    <cellStyle name="Normal 2 2 2" xfId="2190"/>
    <cellStyle name="Normal 2 2 2 2" xfId="2575"/>
    <cellStyle name="Normal 2 2 3" xfId="2230"/>
    <cellStyle name="Normal 2 2 3 2" xfId="2574"/>
    <cellStyle name="Normal 2 2 4" xfId="2277"/>
    <cellStyle name="Normal 2 2 5" xfId="2742"/>
    <cellStyle name="Normal 2 2 6" xfId="2765"/>
    <cellStyle name="Normal 2 2_G36, G37" xfId="2620"/>
    <cellStyle name="Normal 2 3" xfId="297"/>
    <cellStyle name="Normal 2 3 2" xfId="2196"/>
    <cellStyle name="Normal 2 3 3" xfId="2576"/>
    <cellStyle name="Normal 2 3_G36, G37" xfId="2621"/>
    <cellStyle name="Normal 2 4" xfId="1451"/>
    <cellStyle name="Normal 2 4 2" xfId="2184"/>
    <cellStyle name="Normal 2 4 3" xfId="2573"/>
    <cellStyle name="Normal 2 4 4" xfId="2690"/>
    <cellStyle name="Normal 2 4_G36, G37" xfId="2622"/>
    <cellStyle name="Normal 2 5" xfId="2180"/>
    <cellStyle name="Normal 2 6" xfId="2260"/>
    <cellStyle name="Normal 2 7" xfId="2318"/>
    <cellStyle name="Normal 2 8" xfId="2740"/>
    <cellStyle name="Normal 2_G36, G37" xfId="2619"/>
    <cellStyle name="Normal 20" xfId="298"/>
    <cellStyle name="Normal 21" xfId="299"/>
    <cellStyle name="Normal 22" xfId="300"/>
    <cellStyle name="Normal 23" xfId="301"/>
    <cellStyle name="Normal 24" xfId="302"/>
    <cellStyle name="Normal 25" xfId="303"/>
    <cellStyle name="Normal 26" xfId="304"/>
    <cellStyle name="Normal 27" xfId="305"/>
    <cellStyle name="Normal 28" xfId="306"/>
    <cellStyle name="Normal 29" xfId="307"/>
    <cellStyle name="Normal 3" xfId="308"/>
    <cellStyle name="Normal 3 2" xfId="309"/>
    <cellStyle name="Normal 3 2 2" xfId="2187"/>
    <cellStyle name="Normal 3 2 3" xfId="2578"/>
    <cellStyle name="Normal 3 2_G36, G37" xfId="2624"/>
    <cellStyle name="Normal 3 3" xfId="2191"/>
    <cellStyle name="Normal 3 3 2" xfId="2577"/>
    <cellStyle name="Normal 3 4" xfId="2220"/>
    <cellStyle name="Normal 3 4 2" xfId="2616"/>
    <cellStyle name="Normal 3 4 3" xfId="2625"/>
    <cellStyle name="Normal 3 5" xfId="2183"/>
    <cellStyle name="Normal 3 6" xfId="2261"/>
    <cellStyle name="Normal 3 6 2" xfId="2729"/>
    <cellStyle name="Normal 3_G36, G37" xfId="2623"/>
    <cellStyle name="Normal 30" xfId="310"/>
    <cellStyle name="Normal 31" xfId="311"/>
    <cellStyle name="Normal 32" xfId="312"/>
    <cellStyle name="Normal 33" xfId="313"/>
    <cellStyle name="Normal 34" xfId="314"/>
    <cellStyle name="Normal 35" xfId="315"/>
    <cellStyle name="Normal 36" xfId="316"/>
    <cellStyle name="Normal 37" xfId="317"/>
    <cellStyle name="Normal 38" xfId="318"/>
    <cellStyle name="Normal 39" xfId="319"/>
    <cellStyle name="Normal 4" xfId="320"/>
    <cellStyle name="Normal 4 10" xfId="321"/>
    <cellStyle name="Normal 4 11" xfId="2224"/>
    <cellStyle name="Normal 4 12" xfId="2278"/>
    <cellStyle name="Normal 4 2" xfId="322"/>
    <cellStyle name="Normal 4 2 10" xfId="2239"/>
    <cellStyle name="Normal 4 2 2" xfId="323"/>
    <cellStyle name="Normal 4 2 2 2" xfId="324"/>
    <cellStyle name="Normal 4 2 2 2 2" xfId="325"/>
    <cellStyle name="Normal 4 2 2 2 3" xfId="326"/>
    <cellStyle name="Normal 4 2 2 2 4" xfId="327"/>
    <cellStyle name="Normal 4 2 2 3" xfId="328"/>
    <cellStyle name="Normal 4 2 2 3 2" xfId="329"/>
    <cellStyle name="Normal 4 2 2 3 3" xfId="330"/>
    <cellStyle name="Normal 4 2 2 3 4" xfId="331"/>
    <cellStyle name="Normal 4 2 2 4" xfId="332"/>
    <cellStyle name="Normal 4 2 2 5" xfId="333"/>
    <cellStyle name="Normal 4 2 2 6" xfId="334"/>
    <cellStyle name="Normal 4 2 2_1.IMF_SVK_2011 Article IV_Tables attached to Fiscal Questionnaire" xfId="335"/>
    <cellStyle name="Normal 4 2 3" xfId="336"/>
    <cellStyle name="Normal 4 2 3 2" xfId="337"/>
    <cellStyle name="Normal 4 2 3 2 2" xfId="338"/>
    <cellStyle name="Normal 4 2 3 2 3" xfId="339"/>
    <cellStyle name="Normal 4 2 3 2 4" xfId="340"/>
    <cellStyle name="Normal 4 2 3 3" xfId="341"/>
    <cellStyle name="Normal 4 2 3 3 2" xfId="342"/>
    <cellStyle name="Normal 4 2 3 3 3" xfId="343"/>
    <cellStyle name="Normal 4 2 3 3 4" xfId="344"/>
    <cellStyle name="Normal 4 2 3 4" xfId="345"/>
    <cellStyle name="Normal 4 2 3 5" xfId="346"/>
    <cellStyle name="Normal 4 2 3 6" xfId="347"/>
    <cellStyle name="Normal 4 2 3_1.IMF_SVK_2011 Article IV_Tables attached to Fiscal Questionnaire" xfId="348"/>
    <cellStyle name="Normal 4 2 4" xfId="349"/>
    <cellStyle name="Normal 4 2 4 2" xfId="350"/>
    <cellStyle name="Normal 4 2 4 3" xfId="351"/>
    <cellStyle name="Normal 4 2 4 4" xfId="352"/>
    <cellStyle name="Normal 4 2 5" xfId="353"/>
    <cellStyle name="Normal 4 2 5 2" xfId="354"/>
    <cellStyle name="Normal 4 2 5 3" xfId="355"/>
    <cellStyle name="Normal 4 2 5 4" xfId="356"/>
    <cellStyle name="Normal 4 2 6" xfId="357"/>
    <cellStyle name="Normal 4 2 7" xfId="358"/>
    <cellStyle name="Normal 4 2 8" xfId="359"/>
    <cellStyle name="Normal 4 2 9" xfId="2226"/>
    <cellStyle name="Normal 4 2_1.IMF_SVK_2011 Article IV_Tables attached to Fiscal Questionnaire" xfId="360"/>
    <cellStyle name="Normal 4 3" xfId="361"/>
    <cellStyle name="Normal 4 3 2" xfId="362"/>
    <cellStyle name="Normal 4 3 2 2" xfId="363"/>
    <cellStyle name="Normal 4 3 2 3" xfId="364"/>
    <cellStyle name="Normal 4 3 2 4" xfId="365"/>
    <cellStyle name="Normal 4 3 3" xfId="366"/>
    <cellStyle name="Normal 4 3 3 2" xfId="367"/>
    <cellStyle name="Normal 4 3 3 3" xfId="368"/>
    <cellStyle name="Normal 4 3 3 4" xfId="369"/>
    <cellStyle name="Normal 4 3 4" xfId="370"/>
    <cellStyle name="Normal 4 3 5" xfId="371"/>
    <cellStyle name="Normal 4 3 6" xfId="372"/>
    <cellStyle name="Normal 4 3 7" xfId="2181"/>
    <cellStyle name="Normal 4 3_1.IMF_SVK_2011 Article IV_Tables attached to Fiscal Questionnaire" xfId="373"/>
    <cellStyle name="Normal 4 4" xfId="374"/>
    <cellStyle name="Normal 4 4 2" xfId="375"/>
    <cellStyle name="Normal 4 4 2 2" xfId="376"/>
    <cellStyle name="Normal 4 4 2 3" xfId="377"/>
    <cellStyle name="Normal 4 4 2 4" xfId="378"/>
    <cellStyle name="Normal 4 4 3" xfId="379"/>
    <cellStyle name="Normal 4 4 3 2" xfId="380"/>
    <cellStyle name="Normal 4 4 3 3" xfId="381"/>
    <cellStyle name="Normal 4 4 3 4" xfId="382"/>
    <cellStyle name="Normal 4 4 4" xfId="383"/>
    <cellStyle name="Normal 4 4 5" xfId="384"/>
    <cellStyle name="Normal 4 4 6" xfId="385"/>
    <cellStyle name="Normal 4 4_1.IMF_SVK_2011 Article IV_Tables attached to Fiscal Questionnaire" xfId="386"/>
    <cellStyle name="Normal 4 5" xfId="387"/>
    <cellStyle name="Normal 4 5 2" xfId="388"/>
    <cellStyle name="Normal 4 5 3" xfId="389"/>
    <cellStyle name="Normal 4 5 4" xfId="390"/>
    <cellStyle name="Normal 4 6" xfId="391"/>
    <cellStyle name="Normal 4 6 2" xfId="392"/>
    <cellStyle name="Normal 4 6 3" xfId="393"/>
    <cellStyle name="Normal 4 6 4" xfId="394"/>
    <cellStyle name="Normal 4 7" xfId="395"/>
    <cellStyle name="Normal 4 8" xfId="396"/>
    <cellStyle name="Normal 4 9" xfId="397"/>
    <cellStyle name="Normal 4_1.IMF_SVK_2011 Article IV_Tables attached to Fiscal Questionnaire" xfId="398"/>
    <cellStyle name="Normal 40" xfId="399"/>
    <cellStyle name="Normal 41" xfId="400"/>
    <cellStyle name="Normal 42" xfId="401"/>
    <cellStyle name="Normal 43" xfId="402"/>
    <cellStyle name="Normal 44" xfId="403"/>
    <cellStyle name="Normal 45" xfId="404"/>
    <cellStyle name="Normal 46" xfId="405"/>
    <cellStyle name="Normal 47" xfId="406"/>
    <cellStyle name="Normal 48" xfId="407"/>
    <cellStyle name="Normal 49" xfId="408"/>
    <cellStyle name="Normal 5" xfId="409"/>
    <cellStyle name="Normal 5 10" xfId="2194"/>
    <cellStyle name="Normal 5 11" xfId="2579"/>
    <cellStyle name="Normal 5 2" xfId="410"/>
    <cellStyle name="Normal 5 2 10" xfId="2240"/>
    <cellStyle name="Normal 5 2 2" xfId="411"/>
    <cellStyle name="Normal 5 2 2 2" xfId="412"/>
    <cellStyle name="Normal 5 2 2 2 2" xfId="413"/>
    <cellStyle name="Normal 5 2 2 2 3" xfId="414"/>
    <cellStyle name="Normal 5 2 2 2 4" xfId="415"/>
    <cellStyle name="Normal 5 2 2 3" xfId="416"/>
    <cellStyle name="Normal 5 2 2 3 2" xfId="417"/>
    <cellStyle name="Normal 5 2 2 3 3" xfId="418"/>
    <cellStyle name="Normal 5 2 2 3 4" xfId="419"/>
    <cellStyle name="Normal 5 2 2 4" xfId="420"/>
    <cellStyle name="Normal 5 2 2 5" xfId="421"/>
    <cellStyle name="Normal 5 2 2 6" xfId="422"/>
    <cellStyle name="Normal 5 2 2_1.IMF_SVK_2011 Article IV_Tables attached to Fiscal Questionnaire" xfId="423"/>
    <cellStyle name="Normal 5 2 3" xfId="424"/>
    <cellStyle name="Normal 5 2 3 2" xfId="425"/>
    <cellStyle name="Normal 5 2 3 2 2" xfId="426"/>
    <cellStyle name="Normal 5 2 3 2 3" xfId="427"/>
    <cellStyle name="Normal 5 2 3 2 4" xfId="428"/>
    <cellStyle name="Normal 5 2 3 3" xfId="429"/>
    <cellStyle name="Normal 5 2 3 3 2" xfId="430"/>
    <cellStyle name="Normal 5 2 3 3 3" xfId="431"/>
    <cellStyle name="Normal 5 2 3 3 4" xfId="432"/>
    <cellStyle name="Normal 5 2 3 4" xfId="433"/>
    <cellStyle name="Normal 5 2 3 5" xfId="434"/>
    <cellStyle name="Normal 5 2 3 6" xfId="435"/>
    <cellStyle name="Normal 5 2 3_1.IMF_SVK_2011 Article IV_Tables attached to Fiscal Questionnaire" xfId="436"/>
    <cellStyle name="Normal 5 2 4" xfId="437"/>
    <cellStyle name="Normal 5 2 4 2" xfId="438"/>
    <cellStyle name="Normal 5 2 4 3" xfId="439"/>
    <cellStyle name="Normal 5 2 4 4" xfId="440"/>
    <cellStyle name="Normal 5 2 5" xfId="441"/>
    <cellStyle name="Normal 5 2 5 2" xfId="442"/>
    <cellStyle name="Normal 5 2 5 3" xfId="443"/>
    <cellStyle name="Normal 5 2 5 4" xfId="444"/>
    <cellStyle name="Normal 5 2 6" xfId="445"/>
    <cellStyle name="Normal 5 2 7" xfId="446"/>
    <cellStyle name="Normal 5 2 8" xfId="447"/>
    <cellStyle name="Normal 5 2 9" xfId="2236"/>
    <cellStyle name="Normal 5 2_1.IMF_SVK_2011 Article IV_Tables attached to Fiscal Questionnaire" xfId="448"/>
    <cellStyle name="Normal 5 3" xfId="449"/>
    <cellStyle name="Normal 5 3 2" xfId="450"/>
    <cellStyle name="Normal 5 3 2 2" xfId="451"/>
    <cellStyle name="Normal 5 3 2 3" xfId="452"/>
    <cellStyle name="Normal 5 3 2 4" xfId="453"/>
    <cellStyle name="Normal 5 3 3" xfId="454"/>
    <cellStyle name="Normal 5 3 3 2" xfId="455"/>
    <cellStyle name="Normal 5 3 3 3" xfId="456"/>
    <cellStyle name="Normal 5 3 3 4" xfId="457"/>
    <cellStyle name="Normal 5 3 4" xfId="458"/>
    <cellStyle name="Normal 5 3 5" xfId="459"/>
    <cellStyle name="Normal 5 3 6" xfId="460"/>
    <cellStyle name="Normal 5 3_1.IMF_SVK_2011 Article IV_Tables attached to Fiscal Questionnaire" xfId="461"/>
    <cellStyle name="Normal 5 4" xfId="462"/>
    <cellStyle name="Normal 5 4 2" xfId="463"/>
    <cellStyle name="Normal 5 4 2 2" xfId="464"/>
    <cellStyle name="Normal 5 4 2 3" xfId="465"/>
    <cellStyle name="Normal 5 4 2 4" xfId="466"/>
    <cellStyle name="Normal 5 4 3" xfId="467"/>
    <cellStyle name="Normal 5 4 3 2" xfId="468"/>
    <cellStyle name="Normal 5 4 3 3" xfId="469"/>
    <cellStyle name="Normal 5 4 3 4" xfId="470"/>
    <cellStyle name="Normal 5 4 4" xfId="471"/>
    <cellStyle name="Normal 5 4 5" xfId="472"/>
    <cellStyle name="Normal 5 4 6" xfId="473"/>
    <cellStyle name="Normal 5 4_1.IMF_SVK_2011 Article IV_Tables attached to Fiscal Questionnaire" xfId="474"/>
    <cellStyle name="Normal 5 5" xfId="475"/>
    <cellStyle name="Normal 5 5 2" xfId="476"/>
    <cellStyle name="Normal 5 5 3" xfId="477"/>
    <cellStyle name="Normal 5 5 4" xfId="478"/>
    <cellStyle name="Normal 5 6" xfId="479"/>
    <cellStyle name="Normal 5 6 2" xfId="480"/>
    <cellStyle name="Normal 5 6 3" xfId="481"/>
    <cellStyle name="Normal 5 6 4" xfId="482"/>
    <cellStyle name="Normal 5 7" xfId="483"/>
    <cellStyle name="Normal 5 8" xfId="484"/>
    <cellStyle name="Normal 5 9" xfId="485"/>
    <cellStyle name="Normal 5_1.IMF_SVK_2011 Article IV_Tables attached to Fiscal Questionnaire" xfId="486"/>
    <cellStyle name="Normal 50" xfId="487"/>
    <cellStyle name="Normal 51" xfId="488"/>
    <cellStyle name="Normal 52" xfId="489"/>
    <cellStyle name="Normal 53" xfId="490"/>
    <cellStyle name="Normal 54" xfId="2753"/>
    <cellStyle name="Normal 55" xfId="2758"/>
    <cellStyle name="Normal 56" xfId="2763"/>
    <cellStyle name="Normal 6" xfId="491"/>
    <cellStyle name="Normal 6 10" xfId="2227"/>
    <cellStyle name="Normal 6 11" xfId="2580"/>
    <cellStyle name="Normal 6 2" xfId="492"/>
    <cellStyle name="Normal 6 2 10" xfId="2241"/>
    <cellStyle name="Normal 6 2 2" xfId="493"/>
    <cellStyle name="Normal 6 2 2 2" xfId="494"/>
    <cellStyle name="Normal 6 2 2 2 2" xfId="495"/>
    <cellStyle name="Normal 6 2 2 2 3" xfId="496"/>
    <cellStyle name="Normal 6 2 2 2 4" xfId="497"/>
    <cellStyle name="Normal 6 2 2 3" xfId="498"/>
    <cellStyle name="Normal 6 2 2 3 2" xfId="499"/>
    <cellStyle name="Normal 6 2 2 3 3" xfId="500"/>
    <cellStyle name="Normal 6 2 2 3 4" xfId="501"/>
    <cellStyle name="Normal 6 2 2 4" xfId="502"/>
    <cellStyle name="Normal 6 2 2 5" xfId="503"/>
    <cellStyle name="Normal 6 2 2 6" xfId="504"/>
    <cellStyle name="Normal 6 2 2_1.IMF_SVK_2011 Article IV_Tables attached to Fiscal Questionnaire" xfId="505"/>
    <cellStyle name="Normal 6 2 3" xfId="506"/>
    <cellStyle name="Normal 6 2 3 2" xfId="507"/>
    <cellStyle name="Normal 6 2 3 2 2" xfId="508"/>
    <cellStyle name="Normal 6 2 3 2 3" xfId="509"/>
    <cellStyle name="Normal 6 2 3 2 4" xfId="510"/>
    <cellStyle name="Normal 6 2 3 3" xfId="511"/>
    <cellStyle name="Normal 6 2 3 3 2" xfId="512"/>
    <cellStyle name="Normal 6 2 3 3 3" xfId="513"/>
    <cellStyle name="Normal 6 2 3 3 4" xfId="514"/>
    <cellStyle name="Normal 6 2 3 4" xfId="515"/>
    <cellStyle name="Normal 6 2 3 5" xfId="516"/>
    <cellStyle name="Normal 6 2 3 6" xfId="517"/>
    <cellStyle name="Normal 6 2 3_1.IMF_SVK_2011 Article IV_Tables attached to Fiscal Questionnaire" xfId="518"/>
    <cellStyle name="Normal 6 2 4" xfId="519"/>
    <cellStyle name="Normal 6 2 4 2" xfId="520"/>
    <cellStyle name="Normal 6 2 4 3" xfId="521"/>
    <cellStyle name="Normal 6 2 4 4" xfId="522"/>
    <cellStyle name="Normal 6 2 5" xfId="523"/>
    <cellStyle name="Normal 6 2 5 2" xfId="524"/>
    <cellStyle name="Normal 6 2 5 3" xfId="525"/>
    <cellStyle name="Normal 6 2 5 4" xfId="526"/>
    <cellStyle name="Normal 6 2 6" xfId="527"/>
    <cellStyle name="Normal 6 2 7" xfId="528"/>
    <cellStyle name="Normal 6 2 8" xfId="529"/>
    <cellStyle name="Normal 6 2 9" xfId="2222"/>
    <cellStyle name="Normal 6 2_1.IMF_SVK_2011 Article IV_Tables attached to Fiscal Questionnaire" xfId="530"/>
    <cellStyle name="Normal 6 3" xfId="531"/>
    <cellStyle name="Normal 6 3 2" xfId="532"/>
    <cellStyle name="Normal 6 3 2 2" xfId="533"/>
    <cellStyle name="Normal 6 3 2 3" xfId="534"/>
    <cellStyle name="Normal 6 3 2 4" xfId="535"/>
    <cellStyle name="Normal 6 3 3" xfId="536"/>
    <cellStyle name="Normal 6 3 3 2" xfId="537"/>
    <cellStyle name="Normal 6 3 3 3" xfId="538"/>
    <cellStyle name="Normal 6 3 3 4" xfId="539"/>
    <cellStyle name="Normal 6 3 4" xfId="540"/>
    <cellStyle name="Normal 6 3 5" xfId="541"/>
    <cellStyle name="Normal 6 3 6" xfId="542"/>
    <cellStyle name="Normal 6 3_1.IMF_SVK_2011 Article IV_Tables attached to Fiscal Questionnaire" xfId="543"/>
    <cellStyle name="Normal 6 4" xfId="544"/>
    <cellStyle name="Normal 6 4 2" xfId="545"/>
    <cellStyle name="Normal 6 4 2 2" xfId="546"/>
    <cellStyle name="Normal 6 4 2 3" xfId="547"/>
    <cellStyle name="Normal 6 4 2 4" xfId="548"/>
    <cellStyle name="Normal 6 4 3" xfId="549"/>
    <cellStyle name="Normal 6 4 3 2" xfId="550"/>
    <cellStyle name="Normal 6 4 3 3" xfId="551"/>
    <cellStyle name="Normal 6 4 3 4" xfId="552"/>
    <cellStyle name="Normal 6 4 4" xfId="553"/>
    <cellStyle name="Normal 6 4 5" xfId="554"/>
    <cellStyle name="Normal 6 4 6" xfId="555"/>
    <cellStyle name="Normal 6 4_1.IMF_SVK_2011 Article IV_Tables attached to Fiscal Questionnaire" xfId="556"/>
    <cellStyle name="Normal 6 5" xfId="557"/>
    <cellStyle name="Normal 6 5 2" xfId="558"/>
    <cellStyle name="Normal 6 5 3" xfId="559"/>
    <cellStyle name="Normal 6 5 4" xfId="560"/>
    <cellStyle name="Normal 6 6" xfId="561"/>
    <cellStyle name="Normal 6 6 2" xfId="562"/>
    <cellStyle name="Normal 6 6 3" xfId="563"/>
    <cellStyle name="Normal 6 6 4" xfId="564"/>
    <cellStyle name="Normal 6 7" xfId="565"/>
    <cellStyle name="Normal 6 8" xfId="566"/>
    <cellStyle name="Normal 6 9" xfId="567"/>
    <cellStyle name="Normal 6_1.IMF_SVK_2011 Article IV_Tables attached to Fiscal Questionnaire" xfId="568"/>
    <cellStyle name="Normal 7" xfId="569"/>
    <cellStyle name="Normal 7 2" xfId="2234"/>
    <cellStyle name="Normal 7 3" xfId="2581"/>
    <cellStyle name="Normal 7_G36, G37" xfId="2626"/>
    <cellStyle name="Normal 8" xfId="570"/>
    <cellStyle name="Normal 8 2" xfId="2159"/>
    <cellStyle name="Normal 8 2 2" xfId="2582"/>
    <cellStyle name="Normal 8 2_G36, G37" xfId="2628"/>
    <cellStyle name="Normal 8 3" xfId="2229"/>
    <cellStyle name="Normal 8_G36, G37" xfId="2627"/>
    <cellStyle name="Normal 9" xfId="571"/>
    <cellStyle name="Normal 9 2" xfId="572"/>
    <cellStyle name="Normal 9 2 2" xfId="573"/>
    <cellStyle name="Normal 9 2 2 2" xfId="574"/>
    <cellStyle name="Normal 9 2 2 3" xfId="575"/>
    <cellStyle name="Normal 9 2 2 4" xfId="576"/>
    <cellStyle name="Normal 9 2 3" xfId="577"/>
    <cellStyle name="Normal 9 2 3 2" xfId="578"/>
    <cellStyle name="Normal 9 2 3 3" xfId="579"/>
    <cellStyle name="Normal 9 2 3 4" xfId="580"/>
    <cellStyle name="Normal 9 2 4" xfId="581"/>
    <cellStyle name="Normal 9 2 5" xfId="582"/>
    <cellStyle name="Normal 9 2 6" xfId="583"/>
    <cellStyle name="Normal 9 2_1.IMF_SVK_2011 Article IV_Tables attached to Fiscal Questionnaire" xfId="584"/>
    <cellStyle name="Normal 9 3" xfId="585"/>
    <cellStyle name="Normal 9 3 2" xfId="586"/>
    <cellStyle name="Normal 9 3 2 2" xfId="587"/>
    <cellStyle name="Normal 9 3 2 3" xfId="588"/>
    <cellStyle name="Normal 9 3 2 4" xfId="589"/>
    <cellStyle name="Normal 9 3 3" xfId="590"/>
    <cellStyle name="Normal 9 3 3 2" xfId="591"/>
    <cellStyle name="Normal 9 3 3 3" xfId="592"/>
    <cellStyle name="Normal 9 3 3 4" xfId="593"/>
    <cellStyle name="Normal 9 3 4" xfId="594"/>
    <cellStyle name="Normal 9 3 5" xfId="595"/>
    <cellStyle name="Normal 9 3 6" xfId="596"/>
    <cellStyle name="Normal 9 3_1.IMF_SVK_2011 Article IV_Tables attached to Fiscal Questionnaire" xfId="597"/>
    <cellStyle name="Normal 9 4" xfId="598"/>
    <cellStyle name="Normal 9 4 2" xfId="599"/>
    <cellStyle name="Normal 9 4 3" xfId="600"/>
    <cellStyle name="Normal 9 4 4" xfId="601"/>
    <cellStyle name="Normal 9 5" xfId="602"/>
    <cellStyle name="Normal 9 5 2" xfId="603"/>
    <cellStyle name="Normal 9 5 3" xfId="604"/>
    <cellStyle name="Normal 9 5 4" xfId="605"/>
    <cellStyle name="Normal 9 6" xfId="606"/>
    <cellStyle name="Normal 9 7" xfId="607"/>
    <cellStyle name="Normal 9 8" xfId="608"/>
    <cellStyle name="Normal 9_1.IMF_SVK_2011 Article IV_Tables attached to Fiscal Questionnaire" xfId="609"/>
    <cellStyle name="normal number" xfId="610"/>
    <cellStyle name="normal number 2" xfId="611"/>
    <cellStyle name="Normál_3MONTH RATES (2)" xfId="612"/>
    <cellStyle name="Normal_TAB2 2" xfId="2153"/>
    <cellStyle name="Normálna" xfId="0" builtinId="0" customBuiltin="1"/>
    <cellStyle name="Normálna 10" xfId="2634"/>
    <cellStyle name="Normálna 10 2" xfId="2743"/>
    <cellStyle name="Normálna 11" xfId="2617"/>
    <cellStyle name="Normálna 2" xfId="613"/>
    <cellStyle name="Normálna 2 2" xfId="614"/>
    <cellStyle name="Normálna 2 2 2" xfId="2013"/>
    <cellStyle name="Normálna 2 2_PorovnanieRRZ,EK,MF" xfId="2154"/>
    <cellStyle name="Normálna 2 3" xfId="615"/>
    <cellStyle name="Normálna 2 3 2" xfId="2031"/>
    <cellStyle name="Normálna 2 4" xfId="809"/>
    <cellStyle name="Normálna 2 5" xfId="2279"/>
    <cellStyle name="Normálna 2 6" xfId="2315"/>
    <cellStyle name="Normálna 2 7" xfId="2754"/>
    <cellStyle name="Normálna 2_NPC vysvetlenie_20121025" xfId="616"/>
    <cellStyle name="Normálna 3" xfId="2014"/>
    <cellStyle name="Normálna 3 2" xfId="2156"/>
    <cellStyle name="Normálna 3 2 2" xfId="2361"/>
    <cellStyle name="Normálna 3 2 3" xfId="2280"/>
    <cellStyle name="Normálna 3 2 4" xfId="2746"/>
    <cellStyle name="Normálna 3 3" xfId="2160"/>
    <cellStyle name="Normálna 3 4" xfId="2732"/>
    <cellStyle name="Normálna 3 4 2" xfId="2762"/>
    <cellStyle name="Normálna 3 5" xfId="2757"/>
    <cellStyle name="Normálna 3_PorovnanieRRZ,EK,MF" xfId="2155"/>
    <cellStyle name="Normálna 4" xfId="2017"/>
    <cellStyle name="Normálna 5" xfId="2147"/>
    <cellStyle name="Normálna 6" xfId="2151"/>
    <cellStyle name="Normálna 7" xfId="790"/>
    <cellStyle name="Normálna 7 2" xfId="795"/>
    <cellStyle name="Normálna 7 2 2" xfId="2687"/>
    <cellStyle name="Normálna 7 3" xfId="808"/>
    <cellStyle name="Normálna 7 4" xfId="2614"/>
    <cellStyle name="Normálna 7 5" xfId="2749"/>
    <cellStyle name="Normálna 7 6" xfId="2761"/>
    <cellStyle name="Normálna 8" xfId="2631"/>
    <cellStyle name="Normálna 9" xfId="2636"/>
    <cellStyle name="Normálna 9 2" xfId="2739"/>
    <cellStyle name="normálne 10" xfId="617"/>
    <cellStyle name="normálne 10 2" xfId="2059"/>
    <cellStyle name="normálne 10 3" xfId="838"/>
    <cellStyle name="normálne 10 3 2" xfId="2362"/>
    <cellStyle name="normálne 10 3 3" xfId="2689"/>
    <cellStyle name="normálne 10 4" xfId="2161"/>
    <cellStyle name="normálne 10 5" xfId="2281"/>
    <cellStyle name="normálne 10_OG2013" xfId="2441"/>
    <cellStyle name="Normálne 11" xfId="792"/>
    <cellStyle name="normálne 11 10" xfId="1833"/>
    <cellStyle name="normálne 11 11" xfId="1820"/>
    <cellStyle name="normálne 11 12" xfId="1488"/>
    <cellStyle name="normálne 11 12 2" xfId="2102"/>
    <cellStyle name="normálne 11 13" xfId="1884"/>
    <cellStyle name="normálne 11 13 2" xfId="2128"/>
    <cellStyle name="normálne 11 14" xfId="1901"/>
    <cellStyle name="normálne 11 14 2" xfId="2129"/>
    <cellStyle name="normálne 11 15" xfId="1908"/>
    <cellStyle name="normálne 11 15 2" xfId="2130"/>
    <cellStyle name="normálne 11 16" xfId="1915"/>
    <cellStyle name="normálne 11 16 2" xfId="2131"/>
    <cellStyle name="normálne 11 17" xfId="1922"/>
    <cellStyle name="normálne 11 17 2" xfId="2132"/>
    <cellStyle name="normálne 11 18" xfId="1929"/>
    <cellStyle name="normálne 11 18 2" xfId="2133"/>
    <cellStyle name="normálne 11 19" xfId="1935"/>
    <cellStyle name="normálne 11 19 2" xfId="2134"/>
    <cellStyle name="normálne 11 2" xfId="1456"/>
    <cellStyle name="normálne 11 2 2" xfId="1487"/>
    <cellStyle name="normálne 11 2 3" xfId="1724"/>
    <cellStyle name="normálne 11 2 4" xfId="2098"/>
    <cellStyle name="normálne 11 20" xfId="1941"/>
    <cellStyle name="normálne 11 20 2" xfId="2135"/>
    <cellStyle name="normálne 11 21" xfId="1947"/>
    <cellStyle name="normálne 11 21 2" xfId="2136"/>
    <cellStyle name="normálne 11 22" xfId="1953"/>
    <cellStyle name="normálne 11 22 2" xfId="2137"/>
    <cellStyle name="normálne 11 23" xfId="2026"/>
    <cellStyle name="normálne 11 24" xfId="851"/>
    <cellStyle name="Normálne 11 25" xfId="2684"/>
    <cellStyle name="normálne 11 3" xfId="1798"/>
    <cellStyle name="normálne 11 4" xfId="1805"/>
    <cellStyle name="normálne 11 5" xfId="1848"/>
    <cellStyle name="normálne 11 6" xfId="1828"/>
    <cellStyle name="normálne 11 7" xfId="1854"/>
    <cellStyle name="normálne 11 8" xfId="1790"/>
    <cellStyle name="normálne 11 9" xfId="1844"/>
    <cellStyle name="Normálne 12" xfId="793"/>
    <cellStyle name="normálne 12 2" xfId="2056"/>
    <cellStyle name="normálne 12 3" xfId="877"/>
    <cellStyle name="Normálne 12 4" xfId="2685"/>
    <cellStyle name="normálne 13" xfId="618"/>
    <cellStyle name="normálne 13 2" xfId="953"/>
    <cellStyle name="normálne 13 2 2" xfId="1132"/>
    <cellStyle name="normálne 13 2 3" xfId="1269"/>
    <cellStyle name="normálne 13 2 4" xfId="1409"/>
    <cellStyle name="normálne 13 2 5" xfId="1575"/>
    <cellStyle name="normálne 13 2 6" xfId="1678"/>
    <cellStyle name="normálne 13 3" xfId="1057"/>
    <cellStyle name="normálne 13 4" xfId="1196"/>
    <cellStyle name="normálne 13 5" xfId="1338"/>
    <cellStyle name="normálne 13 6" xfId="1502"/>
    <cellStyle name="normálne 13 7" xfId="1749"/>
    <cellStyle name="normálne 13 8" xfId="2050"/>
    <cellStyle name="normálne 13 9" xfId="876"/>
    <cellStyle name="Normálne 14" xfId="794"/>
    <cellStyle name="Normálne 14 10" xfId="2686"/>
    <cellStyle name="normálne 14 2" xfId="988"/>
    <cellStyle name="normálne 14 2 2" xfId="1167"/>
    <cellStyle name="normálne 14 2 3" xfId="1304"/>
    <cellStyle name="normálne 14 2 4" xfId="1444"/>
    <cellStyle name="normálne 14 2 5" xfId="1610"/>
    <cellStyle name="normálne 14 2 6" xfId="1728"/>
    <cellStyle name="normálne 14 3" xfId="1094"/>
    <cellStyle name="normálne 14 4" xfId="1232"/>
    <cellStyle name="normálne 14 5" xfId="1373"/>
    <cellStyle name="normálne 14 6" xfId="1538"/>
    <cellStyle name="normálne 14 7" xfId="1656"/>
    <cellStyle name="normálne 14 8" xfId="2042"/>
    <cellStyle name="normálne 14 9" xfId="914"/>
    <cellStyle name="Normálne 15" xfId="796"/>
    <cellStyle name="normálne 15 2" xfId="2024"/>
    <cellStyle name="normálne 15 3" xfId="916"/>
    <cellStyle name="Normálne 15 4" xfId="2688"/>
    <cellStyle name="normálne 16" xfId="915"/>
    <cellStyle name="normálne 16 2" xfId="1095"/>
    <cellStyle name="normálne 16 3" xfId="1233"/>
    <cellStyle name="normálne 16 4" xfId="1374"/>
    <cellStyle name="normálne 16 5" xfId="1539"/>
    <cellStyle name="normálne 16 6" xfId="1778"/>
    <cellStyle name="normálne 16 7" xfId="2038"/>
    <cellStyle name="Normálne 16 8" xfId="2745"/>
    <cellStyle name="Normálne 16 9" xfId="2759"/>
    <cellStyle name="normálne 17" xfId="989"/>
    <cellStyle name="normálne 17 2" xfId="1168"/>
    <cellStyle name="normálne 17 3" xfId="1305"/>
    <cellStyle name="normálne 17 4" xfId="1445"/>
    <cellStyle name="normálne 17 5" xfId="1611"/>
    <cellStyle name="normálne 17 6" xfId="1734"/>
    <cellStyle name="normálne 17 7" xfId="2043"/>
    <cellStyle name="normálne 18" xfId="990"/>
    <cellStyle name="normálne 18 2" xfId="2071"/>
    <cellStyle name="normálne 19" xfId="993"/>
    <cellStyle name="normálne 19 2" xfId="1171"/>
    <cellStyle name="normálne 19 2 2" xfId="2089"/>
    <cellStyle name="normálne 19 2 2 2" xfId="2442"/>
    <cellStyle name="normálne 19 2 3" xfId="2443"/>
    <cellStyle name="normálne 19 3" xfId="1308"/>
    <cellStyle name="normálne 19 3 2" xfId="2094"/>
    <cellStyle name="normálne 19 3 2 2" xfId="2444"/>
    <cellStyle name="normálne 19 3 3" xfId="2445"/>
    <cellStyle name="normálne 19 4" xfId="1447"/>
    <cellStyle name="normálne 19 4 2" xfId="2096"/>
    <cellStyle name="normálne 19 4 2 2" xfId="2446"/>
    <cellStyle name="normálne 19 4 3" xfId="2447"/>
    <cellStyle name="normálne 19 5" xfId="1614"/>
    <cellStyle name="normálne 19 5 2" xfId="2103"/>
    <cellStyle name="normálne 19 5 2 2" xfId="2448"/>
    <cellStyle name="normálne 19 5 3" xfId="2449"/>
    <cellStyle name="normálne 19 6" xfId="1711"/>
    <cellStyle name="normálne 19 6 2" xfId="2121"/>
    <cellStyle name="normálne 19 6 2 2" xfId="2450"/>
    <cellStyle name="normálne 19 6 3" xfId="2451"/>
    <cellStyle name="normálne 19 7" xfId="2080"/>
    <cellStyle name="normálne 19 7 2" xfId="2452"/>
    <cellStyle name="normálne 19 8" xfId="2036"/>
    <cellStyle name="normálne 2" xfId="619"/>
    <cellStyle name="normálne 2 10" xfId="1781"/>
    <cellStyle name="normálne 2 11" xfId="1791"/>
    <cellStyle name="normálne 2 12" xfId="1829"/>
    <cellStyle name="normálne 2 13" xfId="1841"/>
    <cellStyle name="normálne 2 14" xfId="1796"/>
    <cellStyle name="normálne 2 15" xfId="1831"/>
    <cellStyle name="normálne 2 16" xfId="1819"/>
    <cellStyle name="normálne 2 17" xfId="1782"/>
    <cellStyle name="normálne 2 18" xfId="1874"/>
    <cellStyle name="normálne 2 19" xfId="1887"/>
    <cellStyle name="normálne 2 2" xfId="620"/>
    <cellStyle name="normálne 2 2 10" xfId="1855"/>
    <cellStyle name="normálne 2 2 11" xfId="1853"/>
    <cellStyle name="normálne 2 2 12" xfId="1840"/>
    <cellStyle name="normálne 2 2 13" xfId="1832"/>
    <cellStyle name="normálne 2 2 14" xfId="1809"/>
    <cellStyle name="normálne 2 2 15" xfId="1620"/>
    <cellStyle name="normálne 2 2 16" xfId="818"/>
    <cellStyle name="normálne 2 2 2" xfId="621"/>
    <cellStyle name="normálne 2 2 2 2" xfId="857"/>
    <cellStyle name="normálne 2 2 3" xfId="1004"/>
    <cellStyle name="normálne 2 2 4" xfId="1052"/>
    <cellStyle name="normálne 2 2 5" xfId="1180"/>
    <cellStyle name="normálne 2 2 6" xfId="1464"/>
    <cellStyle name="normálne 2 2 6 2" xfId="1784"/>
    <cellStyle name="normálne 2 2 6 3" xfId="1877"/>
    <cellStyle name="normálne 2 2 7" xfId="1783"/>
    <cellStyle name="normálne 2 2 8" xfId="1794"/>
    <cellStyle name="normálne 2 2 9" xfId="1850"/>
    <cellStyle name="normálne 2 20" xfId="1893"/>
    <cellStyle name="normálne 2 21" xfId="2035"/>
    <cellStyle name="normálne 2 22" xfId="816"/>
    <cellStyle name="normálne 2 3" xfId="622"/>
    <cellStyle name="normálne 2 3 2" xfId="824"/>
    <cellStyle name="Normálne 2 3 3" xfId="2734"/>
    <cellStyle name="normálne 2 4" xfId="833"/>
    <cellStyle name="normálne 2 4 10" xfId="1654"/>
    <cellStyle name="normálne 2 4 2" xfId="847"/>
    <cellStyle name="normálne 2 4 2 2" xfId="898"/>
    <cellStyle name="normálne 2 4 2 2 2" xfId="972"/>
    <cellStyle name="normálne 2 4 2 2 2 2" xfId="1151"/>
    <cellStyle name="normálne 2 4 2 2 2 3" xfId="1288"/>
    <cellStyle name="normálne 2 4 2 2 2 4" xfId="1428"/>
    <cellStyle name="normálne 2 4 2 2 2 5" xfId="1594"/>
    <cellStyle name="normálne 2 4 2 2 2 6" xfId="1742"/>
    <cellStyle name="normálne 2 4 2 2 3" xfId="1078"/>
    <cellStyle name="normálne 2 4 2 2 4" xfId="1216"/>
    <cellStyle name="normálne 2 4 2 2 5" xfId="1357"/>
    <cellStyle name="normálne 2 4 2 2 6" xfId="1522"/>
    <cellStyle name="normálne 2 4 2 2 7" xfId="1707"/>
    <cellStyle name="normálne 2 4 2 3" xfId="937"/>
    <cellStyle name="normálne 2 4 2 3 2" xfId="1116"/>
    <cellStyle name="normálne 2 4 2 3 3" xfId="1253"/>
    <cellStyle name="normálne 2 4 2 3 4" xfId="1393"/>
    <cellStyle name="normálne 2 4 2 3 5" xfId="1559"/>
    <cellStyle name="normálne 2 4 2 3 6" xfId="1692"/>
    <cellStyle name="normálne 2 4 2 4" xfId="1031"/>
    <cellStyle name="normálne 2 4 2 5" xfId="1176"/>
    <cellStyle name="normálne 2 4 2 6" xfId="1322"/>
    <cellStyle name="normálne 2 4 2 7" xfId="1483"/>
    <cellStyle name="normálne 2 4 2 8" xfId="1746"/>
    <cellStyle name="normálne 2 4 3" xfId="870"/>
    <cellStyle name="normálne 2 4 3 2" xfId="909"/>
    <cellStyle name="normálne 2 4 3 2 2" xfId="983"/>
    <cellStyle name="normálne 2 4 3 2 2 2" xfId="1162"/>
    <cellStyle name="normálne 2 4 3 2 2 3" xfId="1299"/>
    <cellStyle name="normálne 2 4 3 2 2 4" xfId="1439"/>
    <cellStyle name="normálne 2 4 3 2 2 5" xfId="1605"/>
    <cellStyle name="normálne 2 4 3 2 2 6" xfId="1669"/>
    <cellStyle name="normálne 2 4 3 2 3" xfId="1089"/>
    <cellStyle name="normálne 2 4 3 2 4" xfId="1227"/>
    <cellStyle name="normálne 2 4 3 2 5" xfId="1368"/>
    <cellStyle name="normálne 2 4 3 2 6" xfId="1533"/>
    <cellStyle name="normálne 2 4 3 2 7" xfId="1764"/>
    <cellStyle name="normálne 2 4 3 3" xfId="948"/>
    <cellStyle name="normálne 2 4 3 3 2" xfId="1127"/>
    <cellStyle name="normálne 2 4 3 3 3" xfId="1264"/>
    <cellStyle name="normálne 2 4 3 3 4" xfId="1404"/>
    <cellStyle name="normálne 2 4 3 3 5" xfId="1570"/>
    <cellStyle name="normálne 2 4 3 3 6" xfId="1748"/>
    <cellStyle name="normálne 2 4 3 4" xfId="1051"/>
    <cellStyle name="normálne 2 4 3 5" xfId="1191"/>
    <cellStyle name="normálne 2 4 3 6" xfId="1333"/>
    <cellStyle name="normálne 2 4 3 7" xfId="1497"/>
    <cellStyle name="normálne 2 4 3 8" xfId="1736"/>
    <cellStyle name="normálne 2 4 4" xfId="887"/>
    <cellStyle name="normálne 2 4 4 2" xfId="961"/>
    <cellStyle name="normálne 2 4 4 2 2" xfId="1140"/>
    <cellStyle name="normálne 2 4 4 2 3" xfId="1277"/>
    <cellStyle name="normálne 2 4 4 2 4" xfId="1417"/>
    <cellStyle name="normálne 2 4 4 2 5" xfId="1583"/>
    <cellStyle name="normálne 2 4 4 2 6" xfId="1695"/>
    <cellStyle name="normálne 2 4 4 3" xfId="1067"/>
    <cellStyle name="normálne 2 4 4 4" xfId="1205"/>
    <cellStyle name="normálne 2 4 4 5" xfId="1346"/>
    <cellStyle name="normálne 2 4 4 6" xfId="1511"/>
    <cellStyle name="normálne 2 4 4 7" xfId="1663"/>
    <cellStyle name="normálne 2 4 5" xfId="926"/>
    <cellStyle name="normálne 2 4 5 2" xfId="1105"/>
    <cellStyle name="normálne 2 4 5 3" xfId="1242"/>
    <cellStyle name="normálne 2 4 5 4" xfId="1382"/>
    <cellStyle name="normálne 2 4 5 5" xfId="1548"/>
    <cellStyle name="normálne 2 4 5 6" xfId="1652"/>
    <cellStyle name="normálne 2 4 6" xfId="1018"/>
    <cellStyle name="normálne 2 4 7" xfId="997"/>
    <cellStyle name="normálne 2 4 8" xfId="1311"/>
    <cellStyle name="normálne 2 4 9" xfId="1474"/>
    <cellStyle name="normálne 2 5" xfId="827"/>
    <cellStyle name="normálne 2 5 2" xfId="1014"/>
    <cellStyle name="normálne 2 5 2 2" xfId="1621"/>
    <cellStyle name="normálne 2 5 2 2 2" xfId="2106"/>
    <cellStyle name="normálne 2 5 2 3" xfId="1686"/>
    <cellStyle name="normálne 2 5 2 3 2" xfId="2118"/>
    <cellStyle name="normálne 2 5 2 4" xfId="2084"/>
    <cellStyle name="normálne 2 5 3" xfId="1096"/>
    <cellStyle name="normálne 2 5 3 2" xfId="1657"/>
    <cellStyle name="normálne 2 5 3 2 2" xfId="2114"/>
    <cellStyle name="normálne 2 5 3 3" xfId="1774"/>
    <cellStyle name="normálne 2 5 3 3 2" xfId="2126"/>
    <cellStyle name="normálne 2 5 3 4" xfId="2088"/>
    <cellStyle name="normálne 2 5 4" xfId="1182"/>
    <cellStyle name="normálne 2 5 4 2" xfId="1685"/>
    <cellStyle name="normálne 2 5 4 2 2" xfId="2117"/>
    <cellStyle name="normálne 2 5 4 3" xfId="1769"/>
    <cellStyle name="normálne 2 5 4 3 2" xfId="2125"/>
    <cellStyle name="normálne 2 5 4 4" xfId="2091"/>
    <cellStyle name="normálne 2 5 5" xfId="1471"/>
    <cellStyle name="normálne 2 5 5 2" xfId="2100"/>
    <cellStyle name="normálne 2 5 6" xfId="1637"/>
    <cellStyle name="normálne 2 5 6 2" xfId="2110"/>
    <cellStyle name="normálne 2 5 7" xfId="2078"/>
    <cellStyle name="normálne 2 6" xfId="841"/>
    <cellStyle name="normálne 2 6 2" xfId="875"/>
    <cellStyle name="normálne 2 6 2 2" xfId="913"/>
    <cellStyle name="normálne 2 6 2 2 2" xfId="987"/>
    <cellStyle name="normálne 2 6 2 2 2 2" xfId="1166"/>
    <cellStyle name="normálne 2 6 2 2 2 3" xfId="1303"/>
    <cellStyle name="normálne 2 6 2 2 2 4" xfId="1443"/>
    <cellStyle name="normálne 2 6 2 2 2 5" xfId="1609"/>
    <cellStyle name="normálne 2 6 2 2 2 6" xfId="1777"/>
    <cellStyle name="normálne 2 6 2 2 3" xfId="1093"/>
    <cellStyle name="normálne 2 6 2 2 4" xfId="1231"/>
    <cellStyle name="normálne 2 6 2 2 5" xfId="1372"/>
    <cellStyle name="normálne 2 6 2 2 6" xfId="1537"/>
    <cellStyle name="normálne 2 6 2 2 7" xfId="1702"/>
    <cellStyle name="normálne 2 6 2 3" xfId="952"/>
    <cellStyle name="normálne 2 6 2 3 2" xfId="1131"/>
    <cellStyle name="normálne 2 6 2 3 3" xfId="1268"/>
    <cellStyle name="normálne 2 6 2 3 4" xfId="1408"/>
    <cellStyle name="normálne 2 6 2 3 5" xfId="1574"/>
    <cellStyle name="normálne 2 6 2 3 6" xfId="1726"/>
    <cellStyle name="normálne 2 6 2 4" xfId="1056"/>
    <cellStyle name="normálne 2 6 2 5" xfId="1195"/>
    <cellStyle name="normálne 2 6 2 6" xfId="1337"/>
    <cellStyle name="normálne 2 6 2 7" xfId="1501"/>
    <cellStyle name="normálne 2 6 2 8" xfId="1668"/>
    <cellStyle name="normálne 2 6 3" xfId="892"/>
    <cellStyle name="normálne 2 6 3 2" xfId="966"/>
    <cellStyle name="normálne 2 6 3 2 2" xfId="1145"/>
    <cellStyle name="normálne 2 6 3 2 3" xfId="1282"/>
    <cellStyle name="normálne 2 6 3 2 4" xfId="1422"/>
    <cellStyle name="normálne 2 6 3 2 5" xfId="1588"/>
    <cellStyle name="normálne 2 6 3 2 6" xfId="1729"/>
    <cellStyle name="normálne 2 6 3 3" xfId="1072"/>
    <cellStyle name="normálne 2 6 3 4" xfId="1210"/>
    <cellStyle name="normálne 2 6 3 5" xfId="1351"/>
    <cellStyle name="normálne 2 6 3 6" xfId="1516"/>
    <cellStyle name="normálne 2 6 3 7" xfId="1723"/>
    <cellStyle name="normálne 2 6 4" xfId="931"/>
    <cellStyle name="normálne 2 6 4 2" xfId="1110"/>
    <cellStyle name="normálne 2 6 4 3" xfId="1247"/>
    <cellStyle name="normálne 2 6 4 4" xfId="1387"/>
    <cellStyle name="normálne 2 6 4 5" xfId="1553"/>
    <cellStyle name="normálne 2 6 4 6" xfId="1619"/>
    <cellStyle name="normálne 2 6 5" xfId="1025"/>
    <cellStyle name="normálne 2 6 6" xfId="1006"/>
    <cellStyle name="normálne 2 6 7" xfId="1316"/>
    <cellStyle name="normálne 2 6 8" xfId="1478"/>
    <cellStyle name="normálne 2 6 9" xfId="1681"/>
    <cellStyle name="normálne 2 7" xfId="856"/>
    <cellStyle name="normálne 2 7 2" xfId="903"/>
    <cellStyle name="normálne 2 7 2 2" xfId="977"/>
    <cellStyle name="normálne 2 7 2 2 2" xfId="1156"/>
    <cellStyle name="normálne 2 7 2 2 3" xfId="1293"/>
    <cellStyle name="normálne 2 7 2 2 4" xfId="1433"/>
    <cellStyle name="normálne 2 7 2 2 5" xfId="1599"/>
    <cellStyle name="normálne 2 7 2 2 6" xfId="1673"/>
    <cellStyle name="normálne 2 7 2 3" xfId="1083"/>
    <cellStyle name="normálne 2 7 2 4" xfId="1221"/>
    <cellStyle name="normálne 2 7 2 5" xfId="1362"/>
    <cellStyle name="normálne 2 7 2 6" xfId="1527"/>
    <cellStyle name="normálne 2 7 2 7" xfId="1768"/>
    <cellStyle name="normálne 2 7 3" xfId="942"/>
    <cellStyle name="normálne 2 7 3 2" xfId="1121"/>
    <cellStyle name="normálne 2 7 3 3" xfId="1258"/>
    <cellStyle name="normálne 2 7 3 4" xfId="1398"/>
    <cellStyle name="normálne 2 7 3 5" xfId="1564"/>
    <cellStyle name="normálne 2 7 3 6" xfId="1735"/>
    <cellStyle name="normálne 2 7 4" xfId="1040"/>
    <cellStyle name="normálne 2 7 5" xfId="1184"/>
    <cellStyle name="normálne 2 7 6" xfId="1327"/>
    <cellStyle name="normálne 2 7 7" xfId="1490"/>
    <cellStyle name="normálne 2 7 8" xfId="1626"/>
    <cellStyle name="normálne 2 8" xfId="881"/>
    <cellStyle name="normálne 2 8 2" xfId="955"/>
    <cellStyle name="normálne 2 8 2 2" xfId="1134"/>
    <cellStyle name="normálne 2 8 2 3" xfId="1271"/>
    <cellStyle name="normálne 2 8 2 4" xfId="1411"/>
    <cellStyle name="normálne 2 8 2 5" xfId="1577"/>
    <cellStyle name="normálne 2 8 2 6" xfId="1634"/>
    <cellStyle name="normálne 2 8 3" xfId="1061"/>
    <cellStyle name="normálne 2 8 4" xfId="1199"/>
    <cellStyle name="normálne 2 8 5" xfId="1340"/>
    <cellStyle name="normálne 2 8 6" xfId="1505"/>
    <cellStyle name="normálne 2 8 7" xfId="1679"/>
    <cellStyle name="normálne 2 9" xfId="920"/>
    <cellStyle name="normálne 2 9 2" xfId="1099"/>
    <cellStyle name="normálne 2 9 3" xfId="1236"/>
    <cellStyle name="normálne 2 9 4" xfId="1376"/>
    <cellStyle name="normálne 2 9 5" xfId="1542"/>
    <cellStyle name="normálne 2 9 6" xfId="1631"/>
    <cellStyle name="normálne 2_NPC vysvetlenie_20121025" xfId="623"/>
    <cellStyle name="normálne 20" xfId="995"/>
    <cellStyle name="normálne 20 2" xfId="2082"/>
    <cellStyle name="normálne 20 2 2" xfId="2453"/>
    <cellStyle name="normálne 20 3" xfId="2044"/>
    <cellStyle name="normálne 21" xfId="996"/>
    <cellStyle name="normálne 21 2" xfId="2028"/>
    <cellStyle name="normálne 22" xfId="1003"/>
    <cellStyle name="normálne 22 2" xfId="2060"/>
    <cellStyle name="normálne 23" xfId="1035"/>
    <cellStyle name="normálne 23 2" xfId="2030"/>
    <cellStyle name="normálne 24" xfId="1449"/>
    <cellStyle name="normálne 24 2" xfId="1495"/>
    <cellStyle name="normálne 24 3" xfId="1718"/>
    <cellStyle name="normálne 24 4" xfId="2029"/>
    <cellStyle name="normálne 25" xfId="1780"/>
    <cellStyle name="normálne 25 2" xfId="2039"/>
    <cellStyle name="normálne 26" xfId="1818"/>
    <cellStyle name="normálne 26 2" xfId="2062"/>
    <cellStyle name="normálne 27" xfId="1797"/>
    <cellStyle name="normálne 27 2" xfId="2022"/>
    <cellStyle name="normálne 28" xfId="1811"/>
    <cellStyle name="normálne 29" xfId="1815"/>
    <cellStyle name="normálne 3" xfId="624"/>
    <cellStyle name="normálne 3 10" xfId="1197"/>
    <cellStyle name="normálne 3 11" xfId="1452"/>
    <cellStyle name="normálne 3 11 2" xfId="1786"/>
    <cellStyle name="normálne 3 11 3" xfId="1879"/>
    <cellStyle name="normálne 3 11 4" xfId="2282"/>
    <cellStyle name="normálne 3 11_OG2013" xfId="2454"/>
    <cellStyle name="normálne 3 12" xfId="1807"/>
    <cellStyle name="normálne 3 13" xfId="1852"/>
    <cellStyle name="normálne 3 14" xfId="1867"/>
    <cellStyle name="normálne 3 15" xfId="1801"/>
    <cellStyle name="normálne 3 16" xfId="1842"/>
    <cellStyle name="normálne 3 17" xfId="1864"/>
    <cellStyle name="normálne 3 18" xfId="1806"/>
    <cellStyle name="normálne 3 19" xfId="1808"/>
    <cellStyle name="normálne 3 2" xfId="625"/>
    <cellStyle name="normálne 3 2 10" xfId="1646"/>
    <cellStyle name="normálne 3 2 11" xfId="835"/>
    <cellStyle name="normálne 3 2 2" xfId="848"/>
    <cellStyle name="normálne 3 2 2 2" xfId="899"/>
    <cellStyle name="normálne 3 2 2 2 2" xfId="973"/>
    <cellStyle name="normálne 3 2 2 2 2 2" xfId="1152"/>
    <cellStyle name="normálne 3 2 2 2 2 3" xfId="1289"/>
    <cellStyle name="normálne 3 2 2 2 2 4" xfId="1429"/>
    <cellStyle name="normálne 3 2 2 2 2 5" xfId="1595"/>
    <cellStyle name="normálne 3 2 2 2 2 6" xfId="1693"/>
    <cellStyle name="normálne 3 2 2 2 3" xfId="1079"/>
    <cellStyle name="normálne 3 2 2 2 4" xfId="1217"/>
    <cellStyle name="normálne 3 2 2 2 5" xfId="1358"/>
    <cellStyle name="normálne 3 2 2 2 6" xfId="1523"/>
    <cellStyle name="normálne 3 2 2 2 7" xfId="1661"/>
    <cellStyle name="normálne 3 2 2 3" xfId="938"/>
    <cellStyle name="normálne 3 2 2 3 2" xfId="1117"/>
    <cellStyle name="normálne 3 2 2 3 3" xfId="1254"/>
    <cellStyle name="normálne 3 2 2 3 4" xfId="1394"/>
    <cellStyle name="normálne 3 2 2 3 5" xfId="1560"/>
    <cellStyle name="normálne 3 2 2 3 6" xfId="1644"/>
    <cellStyle name="normálne 3 2 2 4" xfId="1032"/>
    <cellStyle name="normálne 3 2 2 5" xfId="1177"/>
    <cellStyle name="normálne 3 2 2 6" xfId="1323"/>
    <cellStyle name="normálne 3 2 2 7" xfId="1484"/>
    <cellStyle name="normálne 3 2 2 8" xfId="1697"/>
    <cellStyle name="normálne 3 2 3" xfId="872"/>
    <cellStyle name="normálne 3 2 3 2" xfId="910"/>
    <cellStyle name="normálne 3 2 3 2 2" xfId="984"/>
    <cellStyle name="normálne 3 2 3 2 2 2" xfId="1163"/>
    <cellStyle name="normálne 3 2 3 2 2 3" xfId="1300"/>
    <cellStyle name="normálne 3 2 3 2 2 4" xfId="1440"/>
    <cellStyle name="normálne 3 2 3 2 2 5" xfId="1606"/>
    <cellStyle name="normálne 3 2 3 2 2 6" xfId="1750"/>
    <cellStyle name="normálne 3 2 3 2 3" xfId="1090"/>
    <cellStyle name="normálne 3 2 3 2 4" xfId="1228"/>
    <cellStyle name="normálne 3 2 3 2 5" xfId="1369"/>
    <cellStyle name="normálne 3 2 3 2 6" xfId="1534"/>
    <cellStyle name="normálne 3 2 3 2 7" xfId="1716"/>
    <cellStyle name="normálne 3 2 3 3" xfId="949"/>
    <cellStyle name="normálne 3 2 3 3 2" xfId="1128"/>
    <cellStyle name="normálne 3 2 3 3 3" xfId="1265"/>
    <cellStyle name="normálne 3 2 3 3 4" xfId="1405"/>
    <cellStyle name="normálne 3 2 3 3 5" xfId="1571"/>
    <cellStyle name="normálne 3 2 3 3 6" xfId="1699"/>
    <cellStyle name="normálne 3 2 3 4" xfId="1053"/>
    <cellStyle name="normálne 3 2 3 5" xfId="1192"/>
    <cellStyle name="normálne 3 2 3 6" xfId="1334"/>
    <cellStyle name="normálne 3 2 3 7" xfId="1498"/>
    <cellStyle name="normálne 3 2 3 8" xfId="1636"/>
    <cellStyle name="normálne 3 2 4" xfId="888"/>
    <cellStyle name="normálne 3 2 4 2" xfId="962"/>
    <cellStyle name="normálne 3 2 4 2 2" xfId="1141"/>
    <cellStyle name="normálne 3 2 4 2 3" xfId="1278"/>
    <cellStyle name="normálne 3 2 4 2 4" xfId="1418"/>
    <cellStyle name="normálne 3 2 4 2 5" xfId="1584"/>
    <cellStyle name="normálne 3 2 4 2 6" xfId="1649"/>
    <cellStyle name="normálne 3 2 4 3" xfId="1068"/>
    <cellStyle name="normálne 3 2 4 4" xfId="1206"/>
    <cellStyle name="normálne 3 2 4 5" xfId="1347"/>
    <cellStyle name="normálne 3 2 4 6" xfId="1512"/>
    <cellStyle name="normálne 3 2 4 7" xfId="1745"/>
    <cellStyle name="normálne 3 2 5" xfId="927"/>
    <cellStyle name="normálne 3 2 5 2" xfId="1106"/>
    <cellStyle name="normálne 3 2 5 3" xfId="1243"/>
    <cellStyle name="normálne 3 2 5 4" xfId="1383"/>
    <cellStyle name="normálne 3 2 5 5" xfId="1549"/>
    <cellStyle name="normálne 3 2 5 6" xfId="1773"/>
    <cellStyle name="normálne 3 2 6" xfId="1019"/>
    <cellStyle name="normálne 3 2 7" xfId="1097"/>
    <cellStyle name="normálne 3 2 8" xfId="1312"/>
    <cellStyle name="normálne 3 2 9" xfId="1466"/>
    <cellStyle name="normálne 3 20" xfId="1680"/>
    <cellStyle name="normálne 3 20 2" xfId="2283"/>
    <cellStyle name="normálne 3 21" xfId="1888"/>
    <cellStyle name="normálne 3 21 2" xfId="2284"/>
    <cellStyle name="normálne 3 22" xfId="1897"/>
    <cellStyle name="normálne 3 22 2" xfId="2285"/>
    <cellStyle name="normálne 3 23" xfId="1904"/>
    <cellStyle name="normálne 3 23 2" xfId="2286"/>
    <cellStyle name="normálne 3 24" xfId="1911"/>
    <cellStyle name="normálne 3 24 2" xfId="2287"/>
    <cellStyle name="normálne 3 25" xfId="1918"/>
    <cellStyle name="normálne 3 25 2" xfId="2288"/>
    <cellStyle name="normálne 3 26" xfId="1925"/>
    <cellStyle name="normálne 3 26 2" xfId="2289"/>
    <cellStyle name="normálne 3 27" xfId="1931"/>
    <cellStyle name="normálne 3 27 2" xfId="2290"/>
    <cellStyle name="normálne 3 28" xfId="1937"/>
    <cellStyle name="normálne 3 28 2" xfId="2291"/>
    <cellStyle name="normálne 3 29" xfId="1943"/>
    <cellStyle name="normálne 3 29 2" xfId="2292"/>
    <cellStyle name="normálne 3 3" xfId="842"/>
    <cellStyle name="normálne 3 3 2" xfId="893"/>
    <cellStyle name="normálne 3 3 2 2" xfId="967"/>
    <cellStyle name="normálne 3 3 2 2 2" xfId="1146"/>
    <cellStyle name="normálne 3 3 2 2 3" xfId="1283"/>
    <cellStyle name="normálne 3 3 2 2 4" xfId="1423"/>
    <cellStyle name="normálne 3 3 2 2 5" xfId="1589"/>
    <cellStyle name="normálne 3 3 2 2 6" xfId="1643"/>
    <cellStyle name="normálne 3 3 2 3" xfId="1073"/>
    <cellStyle name="normálne 3 3 2 4" xfId="1211"/>
    <cellStyle name="normálne 3 3 2 5" xfId="1352"/>
    <cellStyle name="normálne 3 3 2 6" xfId="1517"/>
    <cellStyle name="normálne 3 3 2 7" xfId="1676"/>
    <cellStyle name="normálne 3 3 3" xfId="932"/>
    <cellStyle name="normálne 3 3 3 2" xfId="1111"/>
    <cellStyle name="normálne 3 3 3 3" xfId="1248"/>
    <cellStyle name="normálne 3 3 3 4" xfId="1388"/>
    <cellStyle name="normálne 3 3 3 5" xfId="1554"/>
    <cellStyle name="normálne 3 3 3 6" xfId="1618"/>
    <cellStyle name="normálne 3 3 4" xfId="1026"/>
    <cellStyle name="normálne 3 3 5" xfId="1038"/>
    <cellStyle name="normálne 3 3 6" xfId="1317"/>
    <cellStyle name="normálne 3 3 7" xfId="1479"/>
    <cellStyle name="normálne 3 3 8" xfId="1629"/>
    <cellStyle name="normálne 3 30" xfId="1949"/>
    <cellStyle name="normálne 3 30 2" xfId="2293"/>
    <cellStyle name="normálne 3 31" xfId="821"/>
    <cellStyle name="normálne 3 32" xfId="2632"/>
    <cellStyle name="normálne 3 4" xfId="861"/>
    <cellStyle name="normálne 3 4 2" xfId="904"/>
    <cellStyle name="normálne 3 4 2 2" xfId="978"/>
    <cellStyle name="normálne 3 4 2 2 2" xfId="1157"/>
    <cellStyle name="normálne 3 4 2 2 3" xfId="1294"/>
    <cellStyle name="normálne 3 4 2 2 4" xfId="1434"/>
    <cellStyle name="normálne 3 4 2 2 5" xfId="1600"/>
    <cellStyle name="normálne 3 4 2 2 6" xfId="1737"/>
    <cellStyle name="normálne 3 4 2 3" xfId="1084"/>
    <cellStyle name="normálne 3 4 2 4" xfId="1222"/>
    <cellStyle name="normálne 3 4 2 5" xfId="1363"/>
    <cellStyle name="normálne 3 4 2 6" xfId="1528"/>
    <cellStyle name="normálne 3 4 2 7" xfId="1721"/>
    <cellStyle name="normálne 3 4 3" xfId="943"/>
    <cellStyle name="normálne 3 4 3 2" xfId="1122"/>
    <cellStyle name="normálne 3 4 3 3" xfId="1259"/>
    <cellStyle name="normálne 3 4 3 4" xfId="1399"/>
    <cellStyle name="normálne 3 4 3 5" xfId="1565"/>
    <cellStyle name="normálne 3 4 3 6" xfId="1688"/>
    <cellStyle name="normálne 3 4 4" xfId="1043"/>
    <cellStyle name="normálne 3 4 5" xfId="1186"/>
    <cellStyle name="normálne 3 4 6" xfId="1328"/>
    <cellStyle name="normálne 3 4 7" xfId="1491"/>
    <cellStyle name="normálne 3 4 8" xfId="1705"/>
    <cellStyle name="normálne 3 5" xfId="882"/>
    <cellStyle name="normálne 3 5 2" xfId="956"/>
    <cellStyle name="normálne 3 5 2 2" xfId="1135"/>
    <cellStyle name="normálne 3 5 2 3" xfId="1272"/>
    <cellStyle name="normálne 3 5 2 4" xfId="1412"/>
    <cellStyle name="normálne 3 5 2 5" xfId="1578"/>
    <cellStyle name="normálne 3 5 2 6" xfId="1627"/>
    <cellStyle name="normálne 3 5 3" xfId="1062"/>
    <cellStyle name="normálne 3 5 4" xfId="1200"/>
    <cellStyle name="normálne 3 5 5" xfId="1341"/>
    <cellStyle name="normálne 3 5 6" xfId="1506"/>
    <cellStyle name="normálne 3 5 7" xfId="1732"/>
    <cellStyle name="normálne 3 6" xfId="921"/>
    <cellStyle name="normálne 3 6 2" xfId="1100"/>
    <cellStyle name="normálne 3 6 3" xfId="1237"/>
    <cellStyle name="normálne 3 6 4" xfId="1377"/>
    <cellStyle name="normálne 3 6 5" xfId="1543"/>
    <cellStyle name="normálne 3 6 6" xfId="1758"/>
    <cellStyle name="normálne 3 7" xfId="991"/>
    <cellStyle name="normálne 3 7 2" xfId="1170"/>
    <cellStyle name="normálne 3 7 3" xfId="1307"/>
    <cellStyle name="normálne 3 7 4" xfId="1446"/>
    <cellStyle name="normálne 3 7 5" xfId="1612"/>
    <cellStyle name="normálne 3 7 6" xfId="1630"/>
    <cellStyle name="normálne 3 8" xfId="1008"/>
    <cellStyle name="normálne 3 9" xfId="1046"/>
    <cellStyle name="normálne 3_Tab subjekty salda" xfId="626"/>
    <cellStyle name="normálne 30" xfId="1876"/>
    <cellStyle name="normálne 31" xfId="1803"/>
    <cellStyle name="normálne 32" xfId="1868"/>
    <cellStyle name="normálne 33" xfId="814"/>
    <cellStyle name="normálne 33 10" xfId="1461"/>
    <cellStyle name="normálne 33 11" xfId="1475"/>
    <cellStyle name="normálne 33 2" xfId="832"/>
    <cellStyle name="normálne 33 2 10" xfId="1700"/>
    <cellStyle name="normálne 33 2 2" xfId="846"/>
    <cellStyle name="normálne 33 2 2 2" xfId="897"/>
    <cellStyle name="normálne 33 2 2 2 2" xfId="971"/>
    <cellStyle name="normálne 33 2 2 2 2 2" xfId="1150"/>
    <cellStyle name="normálne 33 2 2 2 2 3" xfId="1287"/>
    <cellStyle name="normálne 33 2 2 2 2 4" xfId="1427"/>
    <cellStyle name="normálne 33 2 2 2 2 5" xfId="1593"/>
    <cellStyle name="normálne 33 2 2 2 2 6" xfId="1660"/>
    <cellStyle name="normálne 33 2 2 2 3" xfId="1077"/>
    <cellStyle name="normálne 33 2 2 2 4" xfId="1215"/>
    <cellStyle name="normálne 33 2 2 2 5" xfId="1356"/>
    <cellStyle name="normálne 33 2 2 2 6" xfId="1521"/>
    <cellStyle name="normálne 33 2 2 2 7" xfId="1754"/>
    <cellStyle name="normálne 33 2 2 3" xfId="936"/>
    <cellStyle name="normálne 33 2 2 3 2" xfId="1115"/>
    <cellStyle name="normálne 33 2 2 3 3" xfId="1252"/>
    <cellStyle name="normálne 33 2 2 3 4" xfId="1392"/>
    <cellStyle name="normálne 33 2 2 3 5" xfId="1558"/>
    <cellStyle name="normálne 33 2 2 3 6" xfId="1740"/>
    <cellStyle name="normálne 33 2 2 4" xfId="1030"/>
    <cellStyle name="normálne 33 2 2 5" xfId="1175"/>
    <cellStyle name="normálne 33 2 2 6" xfId="1321"/>
    <cellStyle name="normálne 33 2 2 7" xfId="1482"/>
    <cellStyle name="normálne 33 2 2 8" xfId="1664"/>
    <cellStyle name="normálne 33 2 3" xfId="869"/>
    <cellStyle name="normálne 33 2 3 2" xfId="908"/>
    <cellStyle name="normálne 33 2 3 2 2" xfId="982"/>
    <cellStyle name="normálne 33 2 3 2 2 2" xfId="1161"/>
    <cellStyle name="normálne 33 2 3 2 2 3" xfId="1298"/>
    <cellStyle name="normálne 33 2 3 2 2 4" xfId="1438"/>
    <cellStyle name="normálne 33 2 3 2 2 5" xfId="1604"/>
    <cellStyle name="normálne 33 2 3 2 2 6" xfId="1715"/>
    <cellStyle name="normálne 33 2 3 2 3" xfId="1088"/>
    <cellStyle name="normálne 33 2 3 2 4" xfId="1226"/>
    <cellStyle name="normálne 33 2 3 2 5" xfId="1367"/>
    <cellStyle name="normálne 33 2 3 2 6" xfId="1532"/>
    <cellStyle name="normálne 33 2 3 2 7" xfId="1641"/>
    <cellStyle name="normálne 33 2 3 3" xfId="947"/>
    <cellStyle name="normálne 33 2 3 3 2" xfId="1126"/>
    <cellStyle name="normálne 33 2 3 3 3" xfId="1263"/>
    <cellStyle name="normálne 33 2 3 3 4" xfId="1403"/>
    <cellStyle name="normálne 33 2 3 3 5" xfId="1569"/>
    <cellStyle name="normálne 33 2 3 3 6" xfId="1667"/>
    <cellStyle name="normálne 33 2 3 4" xfId="1050"/>
    <cellStyle name="normálne 33 2 3 5" xfId="1190"/>
    <cellStyle name="normálne 33 2 3 6" xfId="1332"/>
    <cellStyle name="normálne 33 2 3 7" xfId="1496"/>
    <cellStyle name="normálne 33 2 3 8" xfId="1672"/>
    <cellStyle name="normálne 33 2 4" xfId="886"/>
    <cellStyle name="normálne 33 2 4 2" xfId="960"/>
    <cellStyle name="normálne 33 2 4 2 2" xfId="1139"/>
    <cellStyle name="normálne 33 2 4 2 3" xfId="1276"/>
    <cellStyle name="normálne 33 2 4 2 4" xfId="1416"/>
    <cellStyle name="normálne 33 2 4 2 5" xfId="1582"/>
    <cellStyle name="normálne 33 2 4 2 6" xfId="1744"/>
    <cellStyle name="normálne 33 2 4 3" xfId="1066"/>
    <cellStyle name="normálne 33 2 4 4" xfId="1204"/>
    <cellStyle name="normálne 33 2 4 5" xfId="1345"/>
    <cellStyle name="normálne 33 2 4 6" xfId="1510"/>
    <cellStyle name="normálne 33 2 4 7" xfId="1709"/>
    <cellStyle name="normálne 33 2 5" xfId="925"/>
    <cellStyle name="normálne 33 2 5 2" xfId="1104"/>
    <cellStyle name="normálne 33 2 5 3" xfId="1241"/>
    <cellStyle name="normálne 33 2 5 4" xfId="1381"/>
    <cellStyle name="normálne 33 2 5 5" xfId="1547"/>
    <cellStyle name="normálne 33 2 5 6" xfId="1698"/>
    <cellStyle name="normálne 33 2 6" xfId="1017"/>
    <cellStyle name="normálne 33 2 7" xfId="1005"/>
    <cellStyle name="normálne 33 2 8" xfId="1310"/>
    <cellStyle name="normálne 33 2 9" xfId="1473"/>
    <cellStyle name="normálne 33 3" xfId="840"/>
    <cellStyle name="normálne 33 3 2" xfId="891"/>
    <cellStyle name="normálne 33 3 2 2" xfId="965"/>
    <cellStyle name="normálne 33 3 2 2 2" xfId="1144"/>
    <cellStyle name="normálne 33 3 2 2 3" xfId="1281"/>
    <cellStyle name="normálne 33 3 2 2 4" xfId="1421"/>
    <cellStyle name="normálne 33 3 2 2 5" xfId="1587"/>
    <cellStyle name="normálne 33 3 2 2 6" xfId="1675"/>
    <cellStyle name="normálne 33 3 2 3" xfId="1071"/>
    <cellStyle name="normálne 33 3 2 4" xfId="1209"/>
    <cellStyle name="normálne 33 3 2 5" xfId="1350"/>
    <cellStyle name="normálne 33 3 2 6" xfId="1515"/>
    <cellStyle name="normálne 33 3 2 7" xfId="1771"/>
    <cellStyle name="normálne 33 3 3" xfId="930"/>
    <cellStyle name="normálne 33 3 3 2" xfId="1109"/>
    <cellStyle name="normálne 33 3 3 3" xfId="1246"/>
    <cellStyle name="normálne 33 3 3 4" xfId="1386"/>
    <cellStyle name="normálne 33 3 3 5" xfId="1552"/>
    <cellStyle name="normálne 33 3 3 6" xfId="1684"/>
    <cellStyle name="normálne 33 3 4" xfId="1024"/>
    <cellStyle name="normálne 33 3 5" xfId="1041"/>
    <cellStyle name="normálne 33 3 6" xfId="1315"/>
    <cellStyle name="normálne 33 3 7" xfId="1477"/>
    <cellStyle name="normálne 33 3 8" xfId="1733"/>
    <cellStyle name="normálne 33 4" xfId="855"/>
    <cellStyle name="normálne 33 4 2" xfId="902"/>
    <cellStyle name="normálne 33 4 2 2" xfId="976"/>
    <cellStyle name="normálne 33 4 2 2 2" xfId="1155"/>
    <cellStyle name="normálne 33 4 2 2 3" xfId="1292"/>
    <cellStyle name="normálne 33 4 2 2 4" xfId="1432"/>
    <cellStyle name="normálne 33 4 2 2 5" xfId="1598"/>
    <cellStyle name="normálne 33 4 2 2 6" xfId="1720"/>
    <cellStyle name="normálne 33 4 2 3" xfId="1082"/>
    <cellStyle name="normálne 33 4 2 4" xfId="1220"/>
    <cellStyle name="normálne 33 4 2 5" xfId="1361"/>
    <cellStyle name="normálne 33 4 2 6" xfId="1526"/>
    <cellStyle name="normálne 33 4 2 7" xfId="1648"/>
    <cellStyle name="normálne 33 4 3" xfId="941"/>
    <cellStyle name="normálne 33 4 3 2" xfId="1120"/>
    <cellStyle name="normálne 33 4 3 3" xfId="1257"/>
    <cellStyle name="normálne 33 4 3 4" xfId="1397"/>
    <cellStyle name="normálne 33 4 3 5" xfId="1563"/>
    <cellStyle name="normálne 33 4 3 6" xfId="1671"/>
    <cellStyle name="normálne 33 4 4" xfId="1039"/>
    <cellStyle name="normálne 33 4 5" xfId="1183"/>
    <cellStyle name="normálne 33 4 6" xfId="1326"/>
    <cellStyle name="normálne 33 4 7" xfId="1489"/>
    <cellStyle name="normálne 33 4 8" xfId="1469"/>
    <cellStyle name="normálne 33 5" xfId="880"/>
    <cellStyle name="normálne 33 5 2" xfId="954"/>
    <cellStyle name="normálne 33 5 2 2" xfId="1133"/>
    <cellStyle name="normálne 33 5 2 3" xfId="1270"/>
    <cellStyle name="normálne 33 5 2 4" xfId="1410"/>
    <cellStyle name="normálne 33 5 2 5" xfId="1576"/>
    <cellStyle name="normálne 33 5 2 6" xfId="1731"/>
    <cellStyle name="normálne 33 5 3" xfId="1060"/>
    <cellStyle name="normálne 33 5 4" xfId="1198"/>
    <cellStyle name="normálne 33 5 5" xfId="1339"/>
    <cellStyle name="normálne 33 5 6" xfId="1504"/>
    <cellStyle name="normálne 33 5 7" xfId="1727"/>
    <cellStyle name="normálne 33 6" xfId="919"/>
    <cellStyle name="normálne 33 6 2" xfId="1098"/>
    <cellStyle name="normálne 33 6 3" xfId="1235"/>
    <cellStyle name="normálne 33 6 4" xfId="1375"/>
    <cellStyle name="normálne 33 6 5" xfId="1541"/>
    <cellStyle name="normálne 33 6 6" xfId="1682"/>
    <cellStyle name="normálne 33 7" xfId="1001"/>
    <cellStyle name="normálne 33 8" xfId="1049"/>
    <cellStyle name="normálne 33 9" xfId="1306"/>
    <cellStyle name="normálne 34" xfId="1463"/>
    <cellStyle name="normálne 35" xfId="2011"/>
    <cellStyle name="normálne 35 2" xfId="2139"/>
    <cellStyle name="normálne 35 2 2" xfId="2455"/>
    <cellStyle name="normálne 35 3" xfId="2456"/>
    <cellStyle name="normálne 36" xfId="2009"/>
    <cellStyle name="normálne 37" xfId="1896"/>
    <cellStyle name="normálne 38" xfId="1895"/>
    <cellStyle name="normálne 39" xfId="1903"/>
    <cellStyle name="normálne 4" xfId="627"/>
    <cellStyle name="normálne 4 10" xfId="1453"/>
    <cellStyle name="normálne 4 10 2" xfId="1787"/>
    <cellStyle name="normálne 4 10 3" xfId="1880"/>
    <cellStyle name="normálne 4 10 4" xfId="2294"/>
    <cellStyle name="normálne 4 10_OG2013" xfId="2457"/>
    <cellStyle name="normálne 4 11" xfId="1795"/>
    <cellStyle name="normálne 4 12" xfId="1857"/>
    <cellStyle name="normálne 4 13" xfId="1846"/>
    <cellStyle name="normálne 4 14" xfId="1836"/>
    <cellStyle name="normálne 4 15" xfId="1802"/>
    <cellStyle name="normálne 4 16" xfId="1825"/>
    <cellStyle name="normálne 4 17" xfId="1830"/>
    <cellStyle name="normálne 4 18" xfId="1847"/>
    <cellStyle name="normálne 4 19" xfId="1613"/>
    <cellStyle name="normálne 4 19 2" xfId="2295"/>
    <cellStyle name="normálne 4 2" xfId="628"/>
    <cellStyle name="normálne 4 2 10" xfId="1766"/>
    <cellStyle name="normálne 4 2 11" xfId="836"/>
    <cellStyle name="normálne 4 2 2" xfId="849"/>
    <cellStyle name="normálne 4 2 2 2" xfId="900"/>
    <cellStyle name="normálne 4 2 2 2 2" xfId="974"/>
    <cellStyle name="normálne 4 2 2 2 2 2" xfId="1153"/>
    <cellStyle name="normálne 4 2 2 2 2 3" xfId="1290"/>
    <cellStyle name="normálne 4 2 2 2 2 4" xfId="1430"/>
    <cellStyle name="normálne 4 2 2 2 2 5" xfId="1596"/>
    <cellStyle name="normálne 4 2 2 2 2 6" xfId="1647"/>
    <cellStyle name="normálne 4 2 2 2 3" xfId="1080"/>
    <cellStyle name="normálne 4 2 2 2 4" xfId="1218"/>
    <cellStyle name="normálne 4 2 2 2 5" xfId="1359"/>
    <cellStyle name="normálne 4 2 2 2 6" xfId="1524"/>
    <cellStyle name="normálne 4 2 2 2 7" xfId="1743"/>
    <cellStyle name="normálne 4 2 2 3" xfId="939"/>
    <cellStyle name="normálne 4 2 2 3 2" xfId="1118"/>
    <cellStyle name="normálne 4 2 2 3 3" xfId="1255"/>
    <cellStyle name="normálne 4 2 2 3 4" xfId="1395"/>
    <cellStyle name="normálne 4 2 2 3 5" xfId="1561"/>
    <cellStyle name="normálne 4 2 2 3 6" xfId="1765"/>
    <cellStyle name="normálne 4 2 2 4" xfId="1033"/>
    <cellStyle name="normálne 4 2 2 5" xfId="1178"/>
    <cellStyle name="normálne 4 2 2 6" xfId="1324"/>
    <cellStyle name="normálne 4 2 2 7" xfId="1485"/>
    <cellStyle name="normálne 4 2 2 8" xfId="1651"/>
    <cellStyle name="normálne 4 2 3" xfId="873"/>
    <cellStyle name="normálne 4 2 3 2" xfId="911"/>
    <cellStyle name="normálne 4 2 3 2 2" xfId="985"/>
    <cellStyle name="normálne 4 2 3 2 2 2" xfId="1164"/>
    <cellStyle name="normálne 4 2 3 2 2 3" xfId="1301"/>
    <cellStyle name="normálne 4 2 3 2 2 4" xfId="1441"/>
    <cellStyle name="normálne 4 2 3 2 2 5" xfId="1607"/>
    <cellStyle name="normálne 4 2 3 2 2 6" xfId="1701"/>
    <cellStyle name="normálne 4 2 3 2 3" xfId="1091"/>
    <cellStyle name="normálne 4 2 3 2 4" xfId="1229"/>
    <cellStyle name="normálne 4 2 3 2 5" xfId="1370"/>
    <cellStyle name="normálne 4 2 3 2 6" xfId="1535"/>
    <cellStyle name="normálne 4 2 3 2 7" xfId="1670"/>
    <cellStyle name="normálne 4 2 3 3" xfId="950"/>
    <cellStyle name="normálne 4 2 3 3 2" xfId="1129"/>
    <cellStyle name="normálne 4 2 3 3 3" xfId="1266"/>
    <cellStyle name="normálne 4 2 3 3 4" xfId="1406"/>
    <cellStyle name="normálne 4 2 3 3 5" xfId="1572"/>
    <cellStyle name="normálne 4 2 3 3 6" xfId="1653"/>
    <cellStyle name="normálne 4 2 3 4" xfId="1054"/>
    <cellStyle name="normálne 4 2 3 5" xfId="1193"/>
    <cellStyle name="normálne 4 2 3 6" xfId="1335"/>
    <cellStyle name="normálne 4 2 3 7" xfId="1499"/>
    <cellStyle name="normálne 4 2 3 8" xfId="1761"/>
    <cellStyle name="normálne 4 2 4" xfId="889"/>
    <cellStyle name="normálne 4 2 4 2" xfId="963"/>
    <cellStyle name="normálne 4 2 4 2 2" xfId="1142"/>
    <cellStyle name="normálne 4 2 4 2 3" xfId="1279"/>
    <cellStyle name="normálne 4 2 4 2 4" xfId="1419"/>
    <cellStyle name="normálne 4 2 4 2 5" xfId="1585"/>
    <cellStyle name="normálne 4 2 4 2 6" xfId="1770"/>
    <cellStyle name="normálne 4 2 4 3" xfId="1069"/>
    <cellStyle name="normálne 4 2 4 4" xfId="1207"/>
    <cellStyle name="normálne 4 2 4 5" xfId="1348"/>
    <cellStyle name="normálne 4 2 4 6" xfId="1513"/>
    <cellStyle name="normálne 4 2 4 7" xfId="1696"/>
    <cellStyle name="normálne 4 2 5" xfId="928"/>
    <cellStyle name="normálne 4 2 5 2" xfId="1107"/>
    <cellStyle name="normálne 4 2 5 3" xfId="1244"/>
    <cellStyle name="normálne 4 2 5 4" xfId="1384"/>
    <cellStyle name="normálne 4 2 5 5" xfId="1550"/>
    <cellStyle name="normálne 4 2 5 6" xfId="1725"/>
    <cellStyle name="normálne 4 2 6" xfId="1020"/>
    <cellStyle name="normálne 4 2 7" xfId="1059"/>
    <cellStyle name="normálne 4 2 8" xfId="1313"/>
    <cellStyle name="normálne 4 2 9" xfId="1467"/>
    <cellStyle name="normálne 4 20" xfId="1892"/>
    <cellStyle name="normálne 4 20 2" xfId="2296"/>
    <cellStyle name="normálne 4 21" xfId="1898"/>
    <cellStyle name="normálne 4 21 2" xfId="2297"/>
    <cellStyle name="normálne 4 22" xfId="1905"/>
    <cellStyle name="normálne 4 22 2" xfId="2298"/>
    <cellStyle name="normálne 4 23" xfId="1912"/>
    <cellStyle name="normálne 4 23 2" xfId="2299"/>
    <cellStyle name="normálne 4 24" xfId="1919"/>
    <cellStyle name="normálne 4 24 2" xfId="2300"/>
    <cellStyle name="normálne 4 25" xfId="1926"/>
    <cellStyle name="normálne 4 25 2" xfId="2301"/>
    <cellStyle name="normálne 4 26" xfId="1932"/>
    <cellStyle name="normálne 4 26 2" xfId="2302"/>
    <cellStyle name="normálne 4 27" xfId="1938"/>
    <cellStyle name="normálne 4 27 2" xfId="2303"/>
    <cellStyle name="normálne 4 28" xfId="1944"/>
    <cellStyle name="normálne 4 28 2" xfId="2304"/>
    <cellStyle name="normálne 4 29" xfId="1950"/>
    <cellStyle name="normálne 4 29 2" xfId="2305"/>
    <cellStyle name="normálne 4 3" xfId="843"/>
    <cellStyle name="normálne 4 3 2" xfId="894"/>
    <cellStyle name="normálne 4 3 2 2" xfId="968"/>
    <cellStyle name="normálne 4 3 2 2 2" xfId="1147"/>
    <cellStyle name="normálne 4 3 2 2 3" xfId="1284"/>
    <cellStyle name="normálne 4 3 2 2 4" xfId="1424"/>
    <cellStyle name="normálne 4 3 2 2 5" xfId="1590"/>
    <cellStyle name="normálne 4 3 2 2 6" xfId="1624"/>
    <cellStyle name="normálne 4 3 2 3" xfId="1074"/>
    <cellStyle name="normálne 4 3 2 4" xfId="1212"/>
    <cellStyle name="normálne 4 3 2 5" xfId="1353"/>
    <cellStyle name="normálne 4 3 2 6" xfId="1518"/>
    <cellStyle name="normálne 4 3 2 7" xfId="1730"/>
    <cellStyle name="normálne 4 3 3" xfId="933"/>
    <cellStyle name="normálne 4 3 3 2" xfId="1112"/>
    <cellStyle name="normálne 4 3 3 3" xfId="1249"/>
    <cellStyle name="normálne 4 3 3 4" xfId="1389"/>
    <cellStyle name="normálne 4 3 3 5" xfId="1555"/>
    <cellStyle name="normálne 4 3 3 6" xfId="1752"/>
    <cellStyle name="normálne 4 3 4" xfId="1027"/>
    <cellStyle name="normálne 4 3 5" xfId="1042"/>
    <cellStyle name="normálne 4 3 6" xfId="1318"/>
    <cellStyle name="normálne 4 3 7" xfId="1480"/>
    <cellStyle name="normálne 4 3 8" xfId="1757"/>
    <cellStyle name="normálne 4 30" xfId="2055"/>
    <cellStyle name="normálne 4 31" xfId="822"/>
    <cellStyle name="normálne 4 32" xfId="2246"/>
    <cellStyle name="normálne 4 4" xfId="862"/>
    <cellStyle name="normálne 4 4 2" xfId="905"/>
    <cellStyle name="normálne 4 4 2 2" xfId="979"/>
    <cellStyle name="normálne 4 4 2 2 2" xfId="1158"/>
    <cellStyle name="normálne 4 4 2 2 3" xfId="1295"/>
    <cellStyle name="normálne 4 4 2 2 4" xfId="1435"/>
    <cellStyle name="normálne 4 4 2 2 5" xfId="1601"/>
    <cellStyle name="normálne 4 4 2 2 6" xfId="1690"/>
    <cellStyle name="normálne 4 4 2 3" xfId="1085"/>
    <cellStyle name="normálne 4 4 2 4" xfId="1223"/>
    <cellStyle name="normálne 4 4 2 5" xfId="1364"/>
    <cellStyle name="normálne 4 4 2 6" xfId="1529"/>
    <cellStyle name="normálne 4 4 2 7" xfId="1674"/>
    <cellStyle name="normálne 4 4 3" xfId="944"/>
    <cellStyle name="normálne 4 4 3 2" xfId="1123"/>
    <cellStyle name="normálne 4 4 3 3" xfId="1260"/>
    <cellStyle name="normálne 4 4 3 4" xfId="1400"/>
    <cellStyle name="normálne 4 4 3 5" xfId="1566"/>
    <cellStyle name="normálne 4 4 3 6" xfId="1635"/>
    <cellStyle name="normálne 4 4 4" xfId="1044"/>
    <cellStyle name="normálne 4 4 5" xfId="1187"/>
    <cellStyle name="normálne 4 4 6" xfId="1329"/>
    <cellStyle name="normálne 4 4 7" xfId="1492"/>
    <cellStyle name="normálne 4 4 8" xfId="1659"/>
    <cellStyle name="normálne 4 5" xfId="883"/>
    <cellStyle name="normálne 4 5 2" xfId="957"/>
    <cellStyle name="normálne 4 5 2 2" xfId="1136"/>
    <cellStyle name="normálne 4 5 2 3" xfId="1273"/>
    <cellStyle name="normálne 4 5 2 4" xfId="1413"/>
    <cellStyle name="normálne 4 5 2 5" xfId="1579"/>
    <cellStyle name="normálne 4 5 2 6" xfId="1755"/>
    <cellStyle name="normálne 4 5 3" xfId="1063"/>
    <cellStyle name="normálne 4 5 4" xfId="1201"/>
    <cellStyle name="normálne 4 5 5" xfId="1342"/>
    <cellStyle name="normálne 4 5 6" xfId="1507"/>
    <cellStyle name="normálne 4 5 7" xfId="1617"/>
    <cellStyle name="normálne 4 6" xfId="922"/>
    <cellStyle name="normálne 4 6 2" xfId="1101"/>
    <cellStyle name="normálne 4 6 3" xfId="1238"/>
    <cellStyle name="normálne 4 6 4" xfId="1378"/>
    <cellStyle name="normálne 4 6 5" xfId="1544"/>
    <cellStyle name="normálne 4 6 6" xfId="1712"/>
    <cellStyle name="normálne 4 7" xfId="1009"/>
    <cellStyle name="normálne 4 8" xfId="1012"/>
    <cellStyle name="normálne 4 9" xfId="1181"/>
    <cellStyle name="normálne 4_Tab subjekty salda" xfId="629"/>
    <cellStyle name="normálne 40" xfId="1910"/>
    <cellStyle name="normálne 41" xfId="1917"/>
    <cellStyle name="normálne 42" xfId="1924"/>
    <cellStyle name="normálne 43" xfId="2010"/>
    <cellStyle name="normálne 44" xfId="2072"/>
    <cellStyle name="normálne 44 2" xfId="2458"/>
    <cellStyle name="normálne 45" xfId="2002"/>
    <cellStyle name="normálne 46" xfId="2001"/>
    <cellStyle name="normálne 47" xfId="2075"/>
    <cellStyle name="normálne 48" xfId="2074"/>
    <cellStyle name="normálne 48 2" xfId="2459"/>
    <cellStyle name="normálne 49" xfId="2149"/>
    <cellStyle name="normálne 49 2" xfId="2460"/>
    <cellStyle name="normálne 5" xfId="630"/>
    <cellStyle name="Normálne 5 10" xfId="2735"/>
    <cellStyle name="Normálne 5 11" xfId="2741"/>
    <cellStyle name="normálne 5 2" xfId="631"/>
    <cellStyle name="normálne 5 2 2" xfId="1616"/>
    <cellStyle name="normálne 5 2 2 2" xfId="2105"/>
    <cellStyle name="normálne 5 2 3" xfId="1639"/>
    <cellStyle name="normálne 5 2 3 2" xfId="2112"/>
    <cellStyle name="normálne 5 2 4" xfId="2083"/>
    <cellStyle name="normálne 5 2 5" xfId="1002"/>
    <cellStyle name="Normálne 5 2 6" xfId="2764"/>
    <cellStyle name="normálne 5 3" xfId="632"/>
    <cellStyle name="normálne 5 3 2" xfId="1623"/>
    <cellStyle name="normálne 5 3 2 2" xfId="2108"/>
    <cellStyle name="normálne 5 3 3" xfId="1759"/>
    <cellStyle name="normálne 5 3 3 2" xfId="2123"/>
    <cellStyle name="normálne 5 3 4" xfId="2086"/>
    <cellStyle name="normálne 5 3 5" xfId="1016"/>
    <cellStyle name="normálne 5 4" xfId="1234"/>
    <cellStyle name="normálne 5 4 2" xfId="1703"/>
    <cellStyle name="normálne 5 4 2 2" xfId="2120"/>
    <cellStyle name="normálne 5 4 3" xfId="1683"/>
    <cellStyle name="normálne 5 4 3 2" xfId="2116"/>
    <cellStyle name="normálne 5 4 4" xfId="2093"/>
    <cellStyle name="normálne 5 5" xfId="1462"/>
    <cellStyle name="normálne 5 5 2" xfId="2099"/>
    <cellStyle name="normálne 5 6" xfId="1638"/>
    <cellStyle name="normálne 5 6 2" xfId="2111"/>
    <cellStyle name="normálne 5 7" xfId="2077"/>
    <cellStyle name="normálne 5 8" xfId="2054"/>
    <cellStyle name="normálne 5 9" xfId="815"/>
    <cellStyle name="normálne 5_19_NPC_2012_2014_eu_cof" xfId="633"/>
    <cellStyle name="Normálne 50" xfId="2163"/>
    <cellStyle name="Normálne 50 2" xfId="2363"/>
    <cellStyle name="Normálne 51" xfId="2177"/>
    <cellStyle name="Normálne 52" xfId="2179"/>
    <cellStyle name="normálne 52 2" xfId="2461"/>
    <cellStyle name="Normálne 52 3" xfId="2712"/>
    <cellStyle name="Normálne 53" xfId="2216"/>
    <cellStyle name="normálne 53 2" xfId="2462"/>
    <cellStyle name="Normálne 53 3" xfId="2725"/>
    <cellStyle name="Normálne 54" xfId="2232"/>
    <cellStyle name="normálne 54 2" xfId="2464"/>
    <cellStyle name="normálne 54 3" xfId="2463"/>
    <cellStyle name="Normálne 54 4" xfId="2728"/>
    <cellStyle name="Normálne 55" xfId="2231"/>
    <cellStyle name="normálne 55 2" xfId="2465"/>
    <cellStyle name="Normálne 56" xfId="2238"/>
    <cellStyle name="Normálne 56 2" xfId="2523"/>
    <cellStyle name="Normálne 57" xfId="2242"/>
    <cellStyle name="Normálne 57 2" xfId="2588"/>
    <cellStyle name="Normálne 58" xfId="2244"/>
    <cellStyle name="Normálne 58 2" xfId="2615"/>
    <cellStyle name="Normálne 59" xfId="2243"/>
    <cellStyle name="normálne 6" xfId="634"/>
    <cellStyle name="normálne 6 10" xfId="1454"/>
    <cellStyle name="normálne 6 10 2" xfId="1788"/>
    <cellStyle name="normálne 6 10 3" xfId="1881"/>
    <cellStyle name="normálne 6 11" xfId="1821"/>
    <cellStyle name="normálne 6 12" xfId="1837"/>
    <cellStyle name="normálne 6 13" xfId="1856"/>
    <cellStyle name="normálne 6 14" xfId="1816"/>
    <cellStyle name="normálne 6 15" xfId="1813"/>
    <cellStyle name="normálne 6 16" xfId="1872"/>
    <cellStyle name="normálne 6 17" xfId="1861"/>
    <cellStyle name="normálne 6 18" xfId="1866"/>
    <cellStyle name="normálne 6 19" xfId="1540"/>
    <cellStyle name="normálne 6 2" xfId="837"/>
    <cellStyle name="normálne 6 2 10" xfId="1719"/>
    <cellStyle name="normálne 6 2 2" xfId="850"/>
    <cellStyle name="normálne 6 2 2 2" xfId="901"/>
    <cellStyle name="normálne 6 2 2 2 2" xfId="975"/>
    <cellStyle name="normálne 6 2 2 2 2 2" xfId="1154"/>
    <cellStyle name="normálne 6 2 2 2 2 3" xfId="1291"/>
    <cellStyle name="normálne 6 2 2 2 2 4" xfId="1431"/>
    <cellStyle name="normálne 6 2 2 2 2 5" xfId="1597"/>
    <cellStyle name="normálne 6 2 2 2 2 6" xfId="1767"/>
    <cellStyle name="normálne 6 2 2 2 3" xfId="1081"/>
    <cellStyle name="normálne 6 2 2 2 4" xfId="1219"/>
    <cellStyle name="normálne 6 2 2 2 5" xfId="1360"/>
    <cellStyle name="normálne 6 2 2 2 6" xfId="1525"/>
    <cellStyle name="normálne 6 2 2 2 7" xfId="1694"/>
    <cellStyle name="normálne 6 2 2 3" xfId="940"/>
    <cellStyle name="normálne 6 2 2 3 2" xfId="1119"/>
    <cellStyle name="normálne 6 2 2 3 3" xfId="1256"/>
    <cellStyle name="normálne 6 2 2 3 4" xfId="1396"/>
    <cellStyle name="normálne 6 2 2 3 5" xfId="1562"/>
    <cellStyle name="normálne 6 2 2 3 6" xfId="1717"/>
    <cellStyle name="normálne 6 2 2 4" xfId="1034"/>
    <cellStyle name="normálne 6 2 2 5" xfId="1179"/>
    <cellStyle name="normálne 6 2 2 6" xfId="1325"/>
    <cellStyle name="normálne 6 2 2 7" xfId="1486"/>
    <cellStyle name="normálne 6 2 2 8" xfId="1772"/>
    <cellStyle name="normálne 6 2 3" xfId="874"/>
    <cellStyle name="normálne 6 2 3 2" xfId="912"/>
    <cellStyle name="normálne 6 2 3 2 2" xfId="986"/>
    <cellStyle name="normálne 6 2 3 2 2 2" xfId="1165"/>
    <cellStyle name="normálne 6 2 3 2 2 3" xfId="1302"/>
    <cellStyle name="normálne 6 2 3 2 2 4" xfId="1442"/>
    <cellStyle name="normálne 6 2 3 2 2 5" xfId="1608"/>
    <cellStyle name="normálne 6 2 3 2 2 6" xfId="1655"/>
    <cellStyle name="normálne 6 2 3 2 3" xfId="1092"/>
    <cellStyle name="normálne 6 2 3 2 4" xfId="1230"/>
    <cellStyle name="normálne 6 2 3 2 5" xfId="1371"/>
    <cellStyle name="normálne 6 2 3 2 6" xfId="1536"/>
    <cellStyle name="normálne 6 2 3 2 7" xfId="1751"/>
    <cellStyle name="normálne 6 2 3 3" xfId="951"/>
    <cellStyle name="normálne 6 2 3 3 2" xfId="1130"/>
    <cellStyle name="normálne 6 2 3 3 3" xfId="1267"/>
    <cellStyle name="normálne 6 2 3 3 4" xfId="1407"/>
    <cellStyle name="normálne 6 2 3 3 5" xfId="1573"/>
    <cellStyle name="normálne 6 2 3 3 6" xfId="1775"/>
    <cellStyle name="normálne 6 2 3 4" xfId="1055"/>
    <cellStyle name="normálne 6 2 3 5" xfId="1194"/>
    <cellStyle name="normálne 6 2 3 6" xfId="1336"/>
    <cellStyle name="normálne 6 2 3 7" xfId="1500"/>
    <cellStyle name="normálne 6 2 3 8" xfId="1714"/>
    <cellStyle name="normálne 6 2 4" xfId="890"/>
    <cellStyle name="normálne 6 2 4 2" xfId="964"/>
    <cellStyle name="normálne 6 2 4 2 2" xfId="1143"/>
    <cellStyle name="normálne 6 2 4 2 3" xfId="1280"/>
    <cellStyle name="normálne 6 2 4 2 4" xfId="1420"/>
    <cellStyle name="normálne 6 2 4 2 5" xfId="1586"/>
    <cellStyle name="normálne 6 2 4 2 6" xfId="1722"/>
    <cellStyle name="normálne 6 2 4 3" xfId="1070"/>
    <cellStyle name="normálne 6 2 4 4" xfId="1208"/>
    <cellStyle name="normálne 6 2 4 5" xfId="1349"/>
    <cellStyle name="normálne 6 2 4 6" xfId="1514"/>
    <cellStyle name="normálne 6 2 4 7" xfId="1650"/>
    <cellStyle name="normálne 6 2 5" xfId="929"/>
    <cellStyle name="normálne 6 2 5 2" xfId="1108"/>
    <cellStyle name="normálne 6 2 5 3" xfId="1245"/>
    <cellStyle name="normálne 6 2 5 4" xfId="1385"/>
    <cellStyle name="normálne 6 2 5 5" xfId="1551"/>
    <cellStyle name="normálne 6 2 5 6" xfId="1677"/>
    <cellStyle name="normálne 6 2 6" xfId="1021"/>
    <cellStyle name="normálne 6 2 7" xfId="1036"/>
    <cellStyle name="normálne 6 2 8" xfId="1314"/>
    <cellStyle name="normálne 6 2 9" xfId="1468"/>
    <cellStyle name="normálne 6 20" xfId="1891"/>
    <cellStyle name="normálne 6 21" xfId="1899"/>
    <cellStyle name="normálne 6 22" xfId="1906"/>
    <cellStyle name="normálne 6 23" xfId="1913"/>
    <cellStyle name="normálne 6 24" xfId="1920"/>
    <cellStyle name="normálne 6 25" xfId="1927"/>
    <cellStyle name="normálne 6 26" xfId="1933"/>
    <cellStyle name="normálne 6 27" xfId="1939"/>
    <cellStyle name="normálne 6 28" xfId="1945"/>
    <cellStyle name="normálne 6 29" xfId="1951"/>
    <cellStyle name="normálne 6 3" xfId="844"/>
    <cellStyle name="normálne 6 3 2" xfId="895"/>
    <cellStyle name="normálne 6 3 2 2" xfId="969"/>
    <cellStyle name="normálne 6 3 2 2 2" xfId="1148"/>
    <cellStyle name="normálne 6 3 2 2 3" xfId="1285"/>
    <cellStyle name="normálne 6 3 2 2 4" xfId="1425"/>
    <cellStyle name="normálne 6 3 2 2 5" xfId="1591"/>
    <cellStyle name="normálne 6 3 2 2 6" xfId="1753"/>
    <cellStyle name="normálne 6 3 2 3" xfId="1075"/>
    <cellStyle name="normálne 6 3 2 4" xfId="1213"/>
    <cellStyle name="normálne 6 3 2 5" xfId="1354"/>
    <cellStyle name="normálne 6 3 2 6" xfId="1519"/>
    <cellStyle name="normálne 6 3 2 7" xfId="1632"/>
    <cellStyle name="normálne 6 3 3" xfId="934"/>
    <cellStyle name="normálne 6 3 3 2" xfId="1113"/>
    <cellStyle name="normálne 6 3 3 3" xfId="1250"/>
    <cellStyle name="normálne 6 3 3 4" xfId="1390"/>
    <cellStyle name="normálne 6 3 3 5" xfId="1556"/>
    <cellStyle name="normálne 6 3 3 6" xfId="1704"/>
    <cellStyle name="normálne 6 3 4" xfId="1028"/>
    <cellStyle name="normálne 6 3 5" xfId="1007"/>
    <cellStyle name="normálne 6 3 6" xfId="1319"/>
    <cellStyle name="normálne 6 3 7" xfId="1481"/>
    <cellStyle name="normálne 6 3 8" xfId="1710"/>
    <cellStyle name="normálne 6 30" xfId="2041"/>
    <cellStyle name="normálne 6 31" xfId="823"/>
    <cellStyle name="normálne 6 4" xfId="863"/>
    <cellStyle name="normálne 6 4 2" xfId="906"/>
    <cellStyle name="normálne 6 4 2 2" xfId="980"/>
    <cellStyle name="normálne 6 4 2 2 2" xfId="1159"/>
    <cellStyle name="normálne 6 4 2 2 3" xfId="1296"/>
    <cellStyle name="normálne 6 4 2 2 4" xfId="1436"/>
    <cellStyle name="normálne 6 4 2 2 5" xfId="1602"/>
    <cellStyle name="normálne 6 4 2 2 6" xfId="1640"/>
    <cellStyle name="normálne 6 4 2 3" xfId="1086"/>
    <cellStyle name="normálne 6 4 2 4" xfId="1224"/>
    <cellStyle name="normálne 6 4 2 5" xfId="1365"/>
    <cellStyle name="normálne 6 4 2 6" xfId="1530"/>
    <cellStyle name="normálne 6 4 2 7" xfId="1738"/>
    <cellStyle name="normálne 6 4 3" xfId="945"/>
    <cellStyle name="normálne 6 4 3 2" xfId="1124"/>
    <cellStyle name="normálne 6 4 3 3" xfId="1261"/>
    <cellStyle name="normálne 6 4 3 4" xfId="1401"/>
    <cellStyle name="normálne 6 4 3 5" xfId="1567"/>
    <cellStyle name="normálne 6 4 3 6" xfId="1760"/>
    <cellStyle name="normálne 6 4 4" xfId="1045"/>
    <cellStyle name="normálne 6 4 5" xfId="1188"/>
    <cellStyle name="normálne 6 4 6" xfId="1330"/>
    <cellStyle name="normálne 6 4 7" xfId="1493"/>
    <cellStyle name="normálne 6 4 8" xfId="1741"/>
    <cellStyle name="normálne 6 5" xfId="884"/>
    <cellStyle name="normálne 6 5 2" xfId="958"/>
    <cellStyle name="normálne 6 5 2 2" xfId="1137"/>
    <cellStyle name="normálne 6 5 2 3" xfId="1274"/>
    <cellStyle name="normálne 6 5 2 4" xfId="1414"/>
    <cellStyle name="normálne 6 5 2 5" xfId="1580"/>
    <cellStyle name="normálne 6 5 2 6" xfId="1708"/>
    <cellStyle name="normálne 6 5 3" xfId="1064"/>
    <cellStyle name="normálne 6 5 4" xfId="1202"/>
    <cellStyle name="normálne 6 5 5" xfId="1343"/>
    <cellStyle name="normálne 6 5 6" xfId="1508"/>
    <cellStyle name="normálne 6 5 7" xfId="1628"/>
    <cellStyle name="normálne 6 6" xfId="923"/>
    <cellStyle name="normálne 6 6 2" xfId="1102"/>
    <cellStyle name="normálne 6 6 3" xfId="1239"/>
    <cellStyle name="normálne 6 6 4" xfId="1379"/>
    <cellStyle name="normálne 6 6 5" xfId="1545"/>
    <cellStyle name="normálne 6 6 6" xfId="1666"/>
    <cellStyle name="normálne 6 7" xfId="1010"/>
    <cellStyle name="normálne 6 8" xfId="1173"/>
    <cellStyle name="normálne 6 9" xfId="1022"/>
    <cellStyle name="Normálne 60" xfId="2245"/>
    <cellStyle name="Normálne 61" xfId="2252"/>
    <cellStyle name="Normálne 62" xfId="2253"/>
    <cellStyle name="Normálne 63" xfId="2255"/>
    <cellStyle name="Normálne 64" xfId="2254"/>
    <cellStyle name="Normálne 65" xfId="2256"/>
    <cellStyle name="Normálne 66" xfId="2257"/>
    <cellStyle name="Normálne 67" xfId="2258"/>
    <cellStyle name="Normálne 68" xfId="2259"/>
    <cellStyle name="Normálne 69" xfId="2319"/>
    <cellStyle name="normálne 7" xfId="635"/>
    <cellStyle name="normálne 7 10" xfId="636"/>
    <cellStyle name="normálne 7 2" xfId="864"/>
    <cellStyle name="normálne 7 2 2" xfId="637"/>
    <cellStyle name="normálne 7 3" xfId="2142"/>
    <cellStyle name="normálne 7 4" xfId="825"/>
    <cellStyle name="normálne 7_NPC vysvetlenie_20121025" xfId="638"/>
    <cellStyle name="normálne 8" xfId="639"/>
    <cellStyle name="normálne 8 2" xfId="866"/>
    <cellStyle name="normálne 8 3" xfId="2032"/>
    <cellStyle name="normálne 8 4" xfId="829"/>
    <cellStyle name="Normálne 9" xfId="791"/>
    <cellStyle name="normálne 9 10" xfId="1862"/>
    <cellStyle name="normálne 9 11" xfId="1869"/>
    <cellStyle name="normálne 9 12" xfId="1871"/>
    <cellStyle name="normálne 9 13" xfId="1873"/>
    <cellStyle name="normálne 9 14" xfId="1875"/>
    <cellStyle name="normálne 9 15" xfId="1799"/>
    <cellStyle name="normálne 9 16" xfId="1851"/>
    <cellStyle name="normálne 9 17" xfId="1863"/>
    <cellStyle name="normálne 9 18" xfId="1476"/>
    <cellStyle name="normálne 9 19" xfId="1889"/>
    <cellStyle name="normálne 9 2" xfId="845"/>
    <cellStyle name="normálne 9 2 2" xfId="896"/>
    <cellStyle name="normálne 9 2 2 2" xfId="970"/>
    <cellStyle name="normálne 9 2 2 2 2" xfId="1149"/>
    <cellStyle name="normálne 9 2 2 2 3" xfId="1286"/>
    <cellStyle name="normálne 9 2 2 2 4" xfId="1426"/>
    <cellStyle name="normálne 9 2 2 2 5" xfId="1592"/>
    <cellStyle name="normálne 9 2 2 2 6" xfId="1706"/>
    <cellStyle name="normálne 9 2 2 3" xfId="1076"/>
    <cellStyle name="normálne 9 2 2 4" xfId="1214"/>
    <cellStyle name="normálne 9 2 2 5" xfId="1355"/>
    <cellStyle name="normálne 9 2 2 6" xfId="1520"/>
    <cellStyle name="normálne 9 2 2 7" xfId="1625"/>
    <cellStyle name="normálne 9 2 3" xfId="935"/>
    <cellStyle name="normálne 9 2 3 2" xfId="1114"/>
    <cellStyle name="normálne 9 2 3 3" xfId="1251"/>
    <cellStyle name="normálne 9 2 3 4" xfId="1391"/>
    <cellStyle name="normálne 9 2 3 5" xfId="1557"/>
    <cellStyle name="normálne 9 2 3 6" xfId="1658"/>
    <cellStyle name="normálne 9 2 4" xfId="1029"/>
    <cellStyle name="normálne 9 2 5" xfId="1174"/>
    <cellStyle name="normálne 9 2 6" xfId="1320"/>
    <cellStyle name="normálne 9 2 7" xfId="1470"/>
    <cellStyle name="normálne 9 2 8" xfId="1689"/>
    <cellStyle name="normálne 9 20" xfId="1902"/>
    <cellStyle name="normálne 9 21" xfId="1909"/>
    <cellStyle name="normálne 9 22" xfId="1916"/>
    <cellStyle name="normálne 9 23" xfId="1923"/>
    <cellStyle name="normálne 9 24" xfId="1930"/>
    <cellStyle name="normálne 9 25" xfId="1936"/>
    <cellStyle name="normálne 9 26" xfId="1942"/>
    <cellStyle name="normálne 9 27" xfId="1948"/>
    <cellStyle name="normálne 9 28" xfId="1954"/>
    <cellStyle name="normálne 9 29" xfId="826"/>
    <cellStyle name="normálne 9 3" xfId="865"/>
    <cellStyle name="normálne 9 3 2" xfId="907"/>
    <cellStyle name="normálne 9 3 2 2" xfId="981"/>
    <cellStyle name="normálne 9 3 2 2 2" xfId="1160"/>
    <cellStyle name="normálne 9 3 2 2 3" xfId="1297"/>
    <cellStyle name="normálne 9 3 2 2 4" xfId="1437"/>
    <cellStyle name="normálne 9 3 2 2 5" xfId="1603"/>
    <cellStyle name="normálne 9 3 2 2 6" xfId="1763"/>
    <cellStyle name="normálne 9 3 2 3" xfId="1087"/>
    <cellStyle name="normálne 9 3 2 4" xfId="1225"/>
    <cellStyle name="normálne 9 3 2 5" xfId="1366"/>
    <cellStyle name="normálne 9 3 2 6" xfId="1531"/>
    <cellStyle name="normálne 9 3 2 7" xfId="1691"/>
    <cellStyle name="normálne 9 3 3" xfId="946"/>
    <cellStyle name="normálne 9 3 3 2" xfId="1125"/>
    <cellStyle name="normálne 9 3 3 3" xfId="1262"/>
    <cellStyle name="normálne 9 3 3 4" xfId="1402"/>
    <cellStyle name="normálne 9 3 3 5" xfId="1568"/>
    <cellStyle name="normálne 9 3 3 6" xfId="1713"/>
    <cellStyle name="normálne 9 3 4" xfId="1047"/>
    <cellStyle name="normálne 9 3 5" xfId="1189"/>
    <cellStyle name="normálne 9 3 6" xfId="1331"/>
    <cellStyle name="normálne 9 3 7" xfId="1494"/>
    <cellStyle name="normálne 9 3 8" xfId="1645"/>
    <cellStyle name="Normálne 9 30" xfId="2737"/>
    <cellStyle name="normálne 9 4" xfId="885"/>
    <cellStyle name="normálne 9 4 2" xfId="959"/>
    <cellStyle name="normálne 9 4 2 2" xfId="1138"/>
    <cellStyle name="normálne 9 4 2 3" xfId="1275"/>
    <cellStyle name="normálne 9 4 2 4" xfId="1415"/>
    <cellStyle name="normálne 9 4 2 5" xfId="1581"/>
    <cellStyle name="normálne 9 4 2 6" xfId="1662"/>
    <cellStyle name="normálne 9 4 3" xfId="1065"/>
    <cellStyle name="normálne 9 4 4" xfId="1203"/>
    <cellStyle name="normálne 9 4 5" xfId="1344"/>
    <cellStyle name="normálne 9 4 6" xfId="1509"/>
    <cellStyle name="normálne 9 4 7" xfId="1756"/>
    <cellStyle name="normálne 9 5" xfId="924"/>
    <cellStyle name="normálne 9 5 2" xfId="1103"/>
    <cellStyle name="normálne 9 5 3" xfId="1240"/>
    <cellStyle name="normálne 9 5 4" xfId="1380"/>
    <cellStyle name="normálne 9 5 5" xfId="1546"/>
    <cellStyle name="normálne 9 5 6" xfId="1747"/>
    <cellStyle name="normálne 9 6" xfId="1013"/>
    <cellStyle name="normálne 9 7" xfId="1169"/>
    <cellStyle name="normálne 9 8" xfId="1048"/>
    <cellStyle name="normálne 9 9" xfId="1457"/>
    <cellStyle name="normálne 9 9 2" xfId="1789"/>
    <cellStyle name="normálne 9 9 3" xfId="1882"/>
    <cellStyle name="normálne 9_Tabulky IFP_casove rady-request_20111102_" xfId="2157"/>
    <cellStyle name="normálne_annex tab 2,3,5" xfId="2630"/>
    <cellStyle name="normálne_dane pre rozpocet 2006-2008_JUN2005_final" xfId="2755"/>
    <cellStyle name="normálne_IFP_DANE_20081103" xfId="2756"/>
    <cellStyle name="normální_15.6.07 východ.+rozpočet 08-10" xfId="640"/>
    <cellStyle name="Normßl - Style1" xfId="641"/>
    <cellStyle name="Normßl - Style1 2" xfId="642"/>
    <cellStyle name="Normßl - Style1 3" xfId="643"/>
    <cellStyle name="Normßl - Style1_NPC vysvetlenie_20121025" xfId="644"/>
    <cellStyle name="Note" xfId="2025"/>
    <cellStyle name="Note 2" xfId="2306"/>
    <cellStyle name="Note 2 2" xfId="2583"/>
    <cellStyle name="Note 3" xfId="2360"/>
    <cellStyle name="Notes" xfId="645"/>
    <cellStyle name="notes 2" xfId="2208"/>
    <cellStyle name="notes_G36, G37" xfId="2629"/>
    <cellStyle name="Notiz" xfId="646"/>
    <cellStyle name="Output" xfId="2666"/>
    <cellStyle name="Output 2" xfId="2307"/>
    <cellStyle name="Output 2 2" xfId="2584"/>
    <cellStyle name="Output 2_makro" xfId="2611"/>
    <cellStyle name="Output 3" xfId="2698"/>
    <cellStyle name="Pénznem [0]_3MONTH RATES (2)" xfId="647"/>
    <cellStyle name="Pénznem_3MONTH RATES (2)" xfId="648"/>
    <cellStyle name="Percent [2]" xfId="649"/>
    <cellStyle name="Percent 2" xfId="650"/>
    <cellStyle name="Percent 2 2" xfId="2233"/>
    <cellStyle name="Percent 2 2 2" xfId="2585"/>
    <cellStyle name="Percent 2 3" xfId="2221"/>
    <cellStyle name="Percent 2 4" xfId="2308"/>
    <cellStyle name="Percent 2 5" xfId="2736"/>
    <cellStyle name="Percent 3" xfId="651"/>
    <cellStyle name="Percent 3 2" xfId="2223"/>
    <cellStyle name="Percent 3 3" xfId="2228"/>
    <cellStyle name="Percent 3 4" xfId="2586"/>
    <cellStyle name="Percent 4" xfId="652"/>
    <cellStyle name="Percent 4 2" xfId="2587"/>
    <cellStyle name="Percent 5" xfId="653"/>
    <cellStyle name="Percentá" xfId="2752" builtinId="5"/>
    <cellStyle name="percentá 10" xfId="2003"/>
    <cellStyle name="percentá 10 2" xfId="2309"/>
    <cellStyle name="percentá 11" xfId="2004"/>
    <cellStyle name="percentá 11 2" xfId="2310"/>
    <cellStyle name="percentá 12" xfId="2005"/>
    <cellStyle name="percentá 12 2" xfId="2311"/>
    <cellStyle name="percentá 13" xfId="2012"/>
    <cellStyle name="percentá 13 2" xfId="2140"/>
    <cellStyle name="percentá 13 2 2" xfId="2466"/>
    <cellStyle name="percentá 13 3" xfId="2467"/>
    <cellStyle name="percentá 14" xfId="2006"/>
    <cellStyle name="percentá 14 2" xfId="2312"/>
    <cellStyle name="percentá 15" xfId="2007"/>
    <cellStyle name="percentá 15 2" xfId="2313"/>
    <cellStyle name="Percentá 16" xfId="811"/>
    <cellStyle name="percentá 17" xfId="2008"/>
    <cellStyle name="percentá 17 2" xfId="2314"/>
    <cellStyle name="Percentá 18" xfId="2015"/>
    <cellStyle name="Percentá 19" xfId="2016"/>
    <cellStyle name="Percentá 19 2" xfId="2658"/>
    <cellStyle name="percentá 2" xfId="654"/>
    <cellStyle name="percentá 2 10" xfId="1843"/>
    <cellStyle name="percentá 2 11" xfId="1826"/>
    <cellStyle name="percentá 2 12" xfId="1858"/>
    <cellStyle name="percentá 2 13" xfId="1865"/>
    <cellStyle name="percentá 2 14" xfId="1503"/>
    <cellStyle name="percentá 2 15" xfId="1894"/>
    <cellStyle name="percentá 2 16" xfId="1900"/>
    <cellStyle name="percentá 2 17" xfId="1907"/>
    <cellStyle name="percentá 2 18" xfId="1914"/>
    <cellStyle name="percentá 2 19" xfId="1921"/>
    <cellStyle name="percentá 2 2" xfId="655"/>
    <cellStyle name="percentá 2 2 2" xfId="871"/>
    <cellStyle name="percentá 2 2 3" xfId="834"/>
    <cellStyle name="percentá 2 20" xfId="1928"/>
    <cellStyle name="percentá 2 21" xfId="1934"/>
    <cellStyle name="percentá 2 22" xfId="1940"/>
    <cellStyle name="percentá 2 23" xfId="1946"/>
    <cellStyle name="percentá 2 24" xfId="1952"/>
    <cellStyle name="percentá 2 3" xfId="656"/>
    <cellStyle name="percentá 2 3 2" xfId="1015"/>
    <cellStyle name="percentá 2 3 2 2" xfId="1622"/>
    <cellStyle name="percentá 2 3 2 2 2" xfId="2107"/>
    <cellStyle name="percentá 2 3 2 3" xfId="1633"/>
    <cellStyle name="percentá 2 3 2 3 2" xfId="2109"/>
    <cellStyle name="percentá 2 3 2 4" xfId="2085"/>
    <cellStyle name="percentá 2 3 3" xfId="1058"/>
    <cellStyle name="percentá 2 3 3 2" xfId="1642"/>
    <cellStyle name="percentá 2 3 3 2 2" xfId="2113"/>
    <cellStyle name="percentá 2 3 3 3" xfId="1776"/>
    <cellStyle name="percentá 2 3 3 3 2" xfId="2127"/>
    <cellStyle name="percentá 2 3 3 4" xfId="2087"/>
    <cellStyle name="percentá 2 3 4" xfId="1185"/>
    <cellStyle name="percentá 2 3 4 2" xfId="1687"/>
    <cellStyle name="percentá 2 3 4 2 2" xfId="2119"/>
    <cellStyle name="percentá 2 3 4 3" xfId="1739"/>
    <cellStyle name="percentá 2 3 4 3 2" xfId="2122"/>
    <cellStyle name="percentá 2 3 4 4" xfId="2092"/>
    <cellStyle name="percentá 2 3 5" xfId="1472"/>
    <cellStyle name="percentá 2 3 5 2" xfId="2101"/>
    <cellStyle name="percentá 2 3 6" xfId="1762"/>
    <cellStyle name="percentá 2 3 6 2" xfId="2124"/>
    <cellStyle name="percentá 2 3 7" xfId="2079"/>
    <cellStyle name="percentá 2 3 8" xfId="828"/>
    <cellStyle name="percentá 2 4" xfId="858"/>
    <cellStyle name="percentá 2 5" xfId="1455"/>
    <cellStyle name="percentá 2 5 2" xfId="1785"/>
    <cellStyle name="percentá 2 5 3" xfId="1878"/>
    <cellStyle name="percentá 2 6" xfId="1779"/>
    <cellStyle name="percentá 2 7" xfId="1800"/>
    <cellStyle name="percentá 2 8" xfId="1810"/>
    <cellStyle name="percentá 2 9" xfId="1823"/>
    <cellStyle name="Percentá 20" xfId="2018"/>
    <cellStyle name="Percentá 21" xfId="2069"/>
    <cellStyle name="Percentá 22" xfId="2063"/>
    <cellStyle name="Percentá 23" xfId="2033"/>
    <cellStyle name="Percentá 24" xfId="2058"/>
    <cellStyle name="Percentá 25" xfId="2064"/>
    <cellStyle name="Percentá 26" xfId="2065"/>
    <cellStyle name="Percentá 27" xfId="2057"/>
    <cellStyle name="Percentá 28" xfId="2138"/>
    <cellStyle name="Percentá 29" xfId="2066"/>
    <cellStyle name="percentá 3" xfId="831"/>
    <cellStyle name="percentá 3 10" xfId="1817"/>
    <cellStyle name="percentá 3 11" xfId="1870"/>
    <cellStyle name="Percentá 3 12" xfId="2748"/>
    <cellStyle name="Percentá 3 13" xfId="2760"/>
    <cellStyle name="percentá 3 2" xfId="868"/>
    <cellStyle name="percentá 3 3" xfId="1793"/>
    <cellStyle name="percentá 3 4" xfId="1839"/>
    <cellStyle name="percentá 3 5" xfId="1827"/>
    <cellStyle name="percentá 3 6" xfId="1824"/>
    <cellStyle name="percentá 3 7" xfId="1812"/>
    <cellStyle name="percentá 3 8" xfId="1845"/>
    <cellStyle name="percentá 3 9" xfId="1835"/>
    <cellStyle name="Percentá 30" xfId="2145"/>
    <cellStyle name="Percentá 31" xfId="2148"/>
    <cellStyle name="Percentá 32" xfId="2146"/>
    <cellStyle name="Percentá 33" xfId="2150"/>
    <cellStyle name="Percentá 34" xfId="2152"/>
    <cellStyle name="Percentá 35" xfId="2637"/>
    <cellStyle name="Percentá 35 2" xfId="2733"/>
    <cellStyle name="Percentá 36" xfId="2738"/>
    <cellStyle name="Percentá 37" xfId="2744"/>
    <cellStyle name="percentá 4" xfId="839"/>
    <cellStyle name="percentá 4 2" xfId="2316"/>
    <cellStyle name="percentá 5" xfId="852"/>
    <cellStyle name="percentá 6" xfId="879"/>
    <cellStyle name="percentá 7" xfId="918"/>
    <cellStyle name="percentá 8" xfId="992"/>
    <cellStyle name="percentá 9" xfId="994"/>
    <cellStyle name="percentá 9 2" xfId="1172"/>
    <cellStyle name="percentá 9 2 2" xfId="2090"/>
    <cellStyle name="percentá 9 2 2 2" xfId="2468"/>
    <cellStyle name="percentá 9 2 3" xfId="2469"/>
    <cellStyle name="percentá 9 3" xfId="1309"/>
    <cellStyle name="percentá 9 3 2" xfId="2095"/>
    <cellStyle name="percentá 9 3 2 2" xfId="2470"/>
    <cellStyle name="percentá 9 3 3" xfId="2471"/>
    <cellStyle name="percentá 9 4" xfId="1448"/>
    <cellStyle name="percentá 9 4 2" xfId="2097"/>
    <cellStyle name="percentá 9 4 2 2" xfId="2472"/>
    <cellStyle name="percentá 9 4 3" xfId="2473"/>
    <cellStyle name="percentá 9 5" xfId="1615"/>
    <cellStyle name="percentá 9 5 2" xfId="2104"/>
    <cellStyle name="percentá 9 5 2 2" xfId="2474"/>
    <cellStyle name="percentá 9 5 3" xfId="2475"/>
    <cellStyle name="percentá 9 6" xfId="1665"/>
    <cellStyle name="percentá 9 6 2" xfId="2115"/>
    <cellStyle name="percentá 9 6 2 2" xfId="2476"/>
    <cellStyle name="percentá 9 6 3" xfId="2477"/>
    <cellStyle name="percentá 9 7" xfId="2081"/>
    <cellStyle name="percentá 9 7 2" xfId="2478"/>
    <cellStyle name="percentá 9 8" xfId="2479"/>
    <cellStyle name="percentage difference" xfId="657"/>
    <cellStyle name="percentage difference 2" xfId="658"/>
    <cellStyle name="percentage difference 3" xfId="659"/>
    <cellStyle name="percentage difference one decimal" xfId="660"/>
    <cellStyle name="percentage difference zero decimal" xfId="661"/>
    <cellStyle name="Pevný" xfId="662"/>
    <cellStyle name="Pevný 2" xfId="804"/>
    <cellStyle name="Poznámka 10" xfId="2193"/>
    <cellStyle name="Poznámka 10 2" xfId="2713"/>
    <cellStyle name="Poznámka 11" xfId="2639"/>
    <cellStyle name="Poznámka 2" xfId="2000"/>
    <cellStyle name="Poznámka 2 2" xfId="2589"/>
    <cellStyle name="Poznámka 2_makro" xfId="2612"/>
    <cellStyle name="Poznámka 3" xfId="1996"/>
    <cellStyle name="Poznámka 4" xfId="1998"/>
    <cellStyle name="Poznámka 5" xfId="1997"/>
    <cellStyle name="Poznámka 6" xfId="1999"/>
    <cellStyle name="Poznámka 7" xfId="1995"/>
    <cellStyle name="Poznámka 8" xfId="2158"/>
    <cellStyle name="Poznámka 8 2" xfId="2709"/>
    <cellStyle name="Poznámka 9" xfId="2164"/>
    <cellStyle name="Prepojená bunka 2" xfId="1966"/>
    <cellStyle name="Prepojená bunka 3" xfId="2480"/>
    <cellStyle name="Prepojená bunka 4" xfId="2481"/>
    <cellStyle name="Prepojená bunka 5" xfId="2482"/>
    <cellStyle name="Prepojená bunka 6" xfId="2331"/>
    <cellStyle name="Presentation" xfId="663"/>
    <cellStyle name="Presentation 2" xfId="664"/>
    <cellStyle name="Propojená buňka" xfId="2590"/>
    <cellStyle name="SAPBEXaggData" xfId="665"/>
    <cellStyle name="SAPBEXaggData 2" xfId="666"/>
    <cellStyle name="SAPBEXaggData 3" xfId="2248"/>
    <cellStyle name="SAPBEXaggDataEmph" xfId="667"/>
    <cellStyle name="SAPBEXaggItem" xfId="668"/>
    <cellStyle name="SAPBEXaggItem 2" xfId="669"/>
    <cellStyle name="SAPBEXaggItem 3" xfId="2249"/>
    <cellStyle name="SAPBEXaggItemX" xfId="670"/>
    <cellStyle name="SAPBEXexcBad" xfId="671"/>
    <cellStyle name="SAPBEXexcBad7" xfId="672"/>
    <cellStyle name="SAPBEXexcBad8" xfId="673"/>
    <cellStyle name="SAPBEXexcBad9" xfId="674"/>
    <cellStyle name="SAPBEXexcCritical" xfId="675"/>
    <cellStyle name="SAPBEXexcCritical4" xfId="676"/>
    <cellStyle name="SAPBEXexcCritical5" xfId="677"/>
    <cellStyle name="SAPBEXexcCritical6" xfId="678"/>
    <cellStyle name="SAPBEXexcGood" xfId="679"/>
    <cellStyle name="SAPBEXexcGood1" xfId="680"/>
    <cellStyle name="SAPBEXexcGood2" xfId="681"/>
    <cellStyle name="SAPBEXexcGood3" xfId="682"/>
    <cellStyle name="SAPBEXexcVeryBad" xfId="683"/>
    <cellStyle name="SAPBEXfilterDrill" xfId="684"/>
    <cellStyle name="SAPBEXfilterItem" xfId="685"/>
    <cellStyle name="SAPBEXfilterText" xfId="686"/>
    <cellStyle name="SAPBEXformats" xfId="687"/>
    <cellStyle name="SAPBEXheaderData" xfId="688"/>
    <cellStyle name="SAPBEXheaderItem" xfId="689"/>
    <cellStyle name="SAPBEXheaderText" xfId="690"/>
    <cellStyle name="SAPBEXHLevel0" xfId="691"/>
    <cellStyle name="SAPBEXHLevel0 2" xfId="2250"/>
    <cellStyle name="SAPBEXHLevel0X" xfId="692"/>
    <cellStyle name="SAPBEXHLevel1" xfId="693"/>
    <cellStyle name="SAPBEXHLevel1 2" xfId="2251"/>
    <cellStyle name="SAPBEXHLevel1X" xfId="694"/>
    <cellStyle name="SAPBEXHLevel2" xfId="695"/>
    <cellStyle name="SAPBEXHLevel2 2" xfId="696"/>
    <cellStyle name="SAPBEXHLevel2X" xfId="697"/>
    <cellStyle name="SAPBEXHLevel3" xfId="698"/>
    <cellStyle name="SAPBEXHLevel3 2" xfId="699"/>
    <cellStyle name="SAPBEXHLevel3X" xfId="700"/>
    <cellStyle name="SAPBEXchaText" xfId="701"/>
    <cellStyle name="SAPBEXchaText 2" xfId="702"/>
    <cellStyle name="SAPBEXresData" xfId="703"/>
    <cellStyle name="SAPBEXresDataEmph" xfId="704"/>
    <cellStyle name="SAPBEXresItem" xfId="705"/>
    <cellStyle name="SAPBEXresItemX" xfId="706"/>
    <cellStyle name="SAPBEXstdData" xfId="707"/>
    <cellStyle name="SAPBEXstdData 2" xfId="708"/>
    <cellStyle name="SAPBEXstdData_NPC vysvetlenie_20121025" xfId="709"/>
    <cellStyle name="SAPBEXstdDataEmph" xfId="710"/>
    <cellStyle name="SAPBEXstdItem" xfId="711"/>
    <cellStyle name="SAPBEXstdItem 2" xfId="712"/>
    <cellStyle name="SAPBEXstdItem 3" xfId="2247"/>
    <cellStyle name="SAPBEXstdItemX" xfId="713"/>
    <cellStyle name="SAPBEXsubData" xfId="714"/>
    <cellStyle name="SAPBEXsubDataEmph" xfId="715"/>
    <cellStyle name="SAPBEXsubItem" xfId="716"/>
    <cellStyle name="SAPBEXtitle" xfId="717"/>
    <cellStyle name="SAPBEXundefined" xfId="718"/>
    <cellStyle name="semestre" xfId="2235"/>
    <cellStyle name="Schlecht" xfId="719"/>
    <cellStyle name="Spolu" xfId="805" builtinId="25" customBuiltin="1"/>
    <cellStyle name="Spolu 2" xfId="1970"/>
    <cellStyle name="Spolu 3" xfId="2195"/>
    <cellStyle name="Spolu 3 2" xfId="2483"/>
    <cellStyle name="Spolu 4" xfId="2484"/>
    <cellStyle name="Spolu 5" xfId="2485"/>
    <cellStyle name="Spolu 6" xfId="2335"/>
    <cellStyle name="Správně" xfId="2591"/>
    <cellStyle name="Standaard_Kadaster prijzen per provincie" xfId="720"/>
    <cellStyle name="Standaard2" xfId="721"/>
    <cellStyle name="Style 1" xfId="2592"/>
    <cellStyle name="tête chapitre" xfId="2204"/>
    <cellStyle name="Text" xfId="722"/>
    <cellStyle name="Text 2" xfId="723"/>
    <cellStyle name="Text upozornění" xfId="2593"/>
    <cellStyle name="Text upozornenia" xfId="2141" builtinId="11" customBuiltin="1"/>
    <cellStyle name="Text upozornenia 2" xfId="1968"/>
    <cellStyle name="Text upozornenia 3" xfId="2192"/>
    <cellStyle name="Text upozornenia 3 2" xfId="2486"/>
    <cellStyle name="Text upozornenia 4" xfId="2487"/>
    <cellStyle name="Text upozornenia 5" xfId="2488"/>
    <cellStyle name="Text upozornenia 6" xfId="2333"/>
    <cellStyle name="Title" xfId="2659"/>
    <cellStyle name="Title 2" xfId="2317"/>
    <cellStyle name="Title 2 2" xfId="2594"/>
    <cellStyle name="Title 2_makro" xfId="2613"/>
    <cellStyle name="titre" xfId="2237"/>
    <cellStyle name="Titul 2" xfId="1955"/>
    <cellStyle name="Titul 3" xfId="2489"/>
    <cellStyle name="Titul 4" xfId="2320"/>
    <cellStyle name="Total 2" xfId="724"/>
    <cellStyle name="Total 2 2" xfId="2027"/>
    <cellStyle name="Total 2 3" xfId="2595"/>
    <cellStyle name="Überschrift" xfId="725"/>
    <cellStyle name="Überschrift 1" xfId="726"/>
    <cellStyle name="Überschrift 2" xfId="727"/>
    <cellStyle name="Überschrift 3" xfId="728"/>
    <cellStyle name="Überschrift 3 2" xfId="2682"/>
    <cellStyle name="Überschrift 4" xfId="729"/>
    <cellStyle name="USD" xfId="730"/>
    <cellStyle name="USD Paren" xfId="731"/>
    <cellStyle name="USD_Black Box 10 UNLOCKED" xfId="732"/>
    <cellStyle name="Valuta [0]_Betaalbaarheid_a" xfId="733"/>
    <cellStyle name="Valuta_Betaalbaarheid_a" xfId="734"/>
    <cellStyle name="Verknüpfte Zelle" xfId="735"/>
    <cellStyle name="Vstup 2" xfId="1963"/>
    <cellStyle name="Vstup 3" xfId="2490"/>
    <cellStyle name="Vstup 4" xfId="2491"/>
    <cellStyle name="Vstup 5" xfId="2492"/>
    <cellStyle name="Vstup 6" xfId="2328"/>
    <cellStyle name="Vstup 7" xfId="2750"/>
    <cellStyle name="Výpočet 2" xfId="1965"/>
    <cellStyle name="Výpočet 3" xfId="2493"/>
    <cellStyle name="Výpočet 4" xfId="2494"/>
    <cellStyle name="Výpočet 5" xfId="2495"/>
    <cellStyle name="Výpočet 6" xfId="2330"/>
    <cellStyle name="Výstup 2" xfId="1964"/>
    <cellStyle name="Výstup 3" xfId="2496"/>
    <cellStyle name="Výstup 4" xfId="2497"/>
    <cellStyle name="Výstup 5" xfId="2498"/>
    <cellStyle name="Výstup 6" xfId="2329"/>
    <cellStyle name="Vysvětlující text" xfId="2596"/>
    <cellStyle name="Vysvetľujúci text 2" xfId="1969"/>
    <cellStyle name="Vysvetľujúci text 3" xfId="2499"/>
    <cellStyle name="Vysvetľujúci text 4" xfId="2500"/>
    <cellStyle name="Vysvetľujúci text 5" xfId="2501"/>
    <cellStyle name="Vysvetľujúci text 6" xfId="2334"/>
    <cellStyle name="Warnender Text" xfId="736"/>
    <cellStyle name="Warning Text 2" xfId="2597"/>
    <cellStyle name="WebAnchor1" xfId="737"/>
    <cellStyle name="WebAnchor2" xfId="738"/>
    <cellStyle name="WebAnchor3" xfId="739"/>
    <cellStyle name="WebAnchor4" xfId="740"/>
    <cellStyle name="WebAnchor5" xfId="741"/>
    <cellStyle name="WebAnchor6" xfId="742"/>
    <cellStyle name="WebAnchor7" xfId="743"/>
    <cellStyle name="WebBold" xfId="744"/>
    <cellStyle name="WebDate" xfId="745"/>
    <cellStyle name="WebExclude" xfId="746"/>
    <cellStyle name="WebFN" xfId="747"/>
    <cellStyle name="WebFN1" xfId="748"/>
    <cellStyle name="WebFN2" xfId="749"/>
    <cellStyle name="WebFN3" xfId="750"/>
    <cellStyle name="WebFN4" xfId="751"/>
    <cellStyle name="WebHR" xfId="752"/>
    <cellStyle name="WebHR 2" xfId="2683"/>
    <cellStyle name="WebIndent1" xfId="753"/>
    <cellStyle name="WebIndent1 2" xfId="754"/>
    <cellStyle name="WebIndent1wFN3" xfId="755"/>
    <cellStyle name="WebIndent2" xfId="756"/>
    <cellStyle name="WebIndent2 2" xfId="757"/>
    <cellStyle name="WebNoBR" xfId="758"/>
    <cellStyle name="WebNoBR 2" xfId="759"/>
    <cellStyle name="Záhlaví 1" xfId="760"/>
    <cellStyle name="Záhlaví 1 2" xfId="761"/>
    <cellStyle name="Záhlaví 1 3" xfId="806"/>
    <cellStyle name="Záhlaví 2" xfId="762"/>
    <cellStyle name="Záhlaví 2 2" xfId="763"/>
    <cellStyle name="Záhlaví 2 3" xfId="807"/>
    <cellStyle name="Zelle überprüfen" xfId="764"/>
    <cellStyle name="zero" xfId="765"/>
    <cellStyle name="zero 2" xfId="766"/>
    <cellStyle name="zero_Tab subjekty salda" xfId="767"/>
    <cellStyle name="Zlá 2" xfId="1961"/>
    <cellStyle name="Zlá 3" xfId="2502"/>
    <cellStyle name="Zlá 4" xfId="2503"/>
    <cellStyle name="Zlá 5" xfId="2504"/>
    <cellStyle name="Zlá 6" xfId="2326"/>
    <cellStyle name="Zvýraznění 1" xfId="2598"/>
    <cellStyle name="Zvýraznění 2" xfId="2599"/>
    <cellStyle name="Zvýraznění 3" xfId="2600"/>
    <cellStyle name="Zvýraznění 4" xfId="2601"/>
    <cellStyle name="Zvýraznění 5" xfId="2602"/>
    <cellStyle name="Zvýraznění 6" xfId="2603"/>
    <cellStyle name="Zvýraznenie1 2" xfId="1971"/>
    <cellStyle name="Zvýraznenie1 3" xfId="2505"/>
    <cellStyle name="Zvýraznenie1 4" xfId="2506"/>
    <cellStyle name="Zvýraznenie1 5" xfId="2507"/>
    <cellStyle name="Zvýraznenie1 6" xfId="2336"/>
    <cellStyle name="Zvýraznenie2 2" xfId="1975"/>
    <cellStyle name="Zvýraznenie2 3" xfId="2508"/>
    <cellStyle name="Zvýraznenie2 4" xfId="2509"/>
    <cellStyle name="Zvýraznenie2 5" xfId="2510"/>
    <cellStyle name="Zvýraznenie2 6" xfId="2340"/>
    <cellStyle name="Zvýraznenie3 2" xfId="1979"/>
    <cellStyle name="Zvýraznenie3 3" xfId="2511"/>
    <cellStyle name="Zvýraznenie3 4" xfId="2512"/>
    <cellStyle name="Zvýraznenie3 5" xfId="2513"/>
    <cellStyle name="Zvýraznenie3 6" xfId="2344"/>
    <cellStyle name="Zvýraznenie4 2" xfId="1983"/>
    <cellStyle name="Zvýraznenie4 3" xfId="2514"/>
    <cellStyle name="Zvýraznenie4 4" xfId="2515"/>
    <cellStyle name="Zvýraznenie4 5" xfId="2516"/>
    <cellStyle name="Zvýraznenie4 6" xfId="2348"/>
    <cellStyle name="Zvýraznenie5 2" xfId="1987"/>
    <cellStyle name="Zvýraznenie5 3" xfId="2517"/>
    <cellStyle name="Zvýraznenie5 4" xfId="2518"/>
    <cellStyle name="Zvýraznenie5 5" xfId="2519"/>
    <cellStyle name="Zvýraznenie5 6" xfId="2352"/>
    <cellStyle name="Zvýraznenie6 2" xfId="1991"/>
    <cellStyle name="Zvýraznenie6 3" xfId="2520"/>
    <cellStyle name="Zvýraznenie6 4" xfId="2521"/>
    <cellStyle name="Zvýraznenie6 5" xfId="2522"/>
    <cellStyle name="Zvýraznenie6 6" xfId="2356"/>
    <cellStyle name="ДАТА" xfId="768"/>
    <cellStyle name="ДАТА 2" xfId="769"/>
    <cellStyle name="ДАТА_Tab subjekty salda" xfId="770"/>
    <cellStyle name="Денежный [0]_BARNARD" xfId="771"/>
    <cellStyle name="Денежный_BARNARD" xfId="772"/>
    <cellStyle name="ЗАГОЛОВОК1" xfId="773"/>
    <cellStyle name="ЗАГОЛОВОК1 2" xfId="774"/>
    <cellStyle name="ЗАГОЛОВОК1_Tab subjekty salda" xfId="775"/>
    <cellStyle name="ЗАГОЛОВОК2" xfId="776"/>
    <cellStyle name="ЗАГОЛОВОК2 2" xfId="777"/>
    <cellStyle name="ЗАГОЛОВОК2_Tab subjekty salda" xfId="778"/>
    <cellStyle name="ИТОГОВЫЙ" xfId="779"/>
    <cellStyle name="ИТОГОВЫЙ 2" xfId="780"/>
    <cellStyle name="ИТОГОВЫЙ_Tab subjekty salda" xfId="781"/>
    <cellStyle name="Обычный_1-Б (6)_1" xfId="782"/>
    <cellStyle name="ПРОЦЕНТНЫЙ_BOPENGC" xfId="783"/>
    <cellStyle name="ТЕКСТ" xfId="784"/>
    <cellStyle name="ТЕКСТ 2" xfId="785"/>
    <cellStyle name="ТЕКСТ_Tab subjekty salda" xfId="786"/>
    <cellStyle name="ФИКСИРОВАННЫЙ" xfId="787"/>
    <cellStyle name="Финансовый [0]_BARNARD" xfId="788"/>
    <cellStyle name="Финансовый_BARNARD" xfId="789"/>
  </cellStyles>
  <dxfs count="0"/>
  <tableStyles count="0" defaultTableStyle="TableStyleMedium2" defaultPivotStyle="PivotStyleLight16"/>
  <colors>
    <mruColors>
      <color rgb="FF13B5EA"/>
      <color rgb="FFDCB47B"/>
      <color rgb="FFB2E4F8"/>
      <color rgb="FF58595B"/>
      <color rgb="FFD2DCE6"/>
      <color rgb="FFDCE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5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06827063283756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'T33'!$A$4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'T33'!$C$4:$F$4</c:f>
              <c:numCache>
                <c:formatCode>#\ ##0.0</c:formatCode>
                <c:ptCount val="4"/>
                <c:pt idx="0">
                  <c:v>-0.27284551385364608</c:v>
                </c:pt>
                <c:pt idx="1">
                  <c:v>-0.36236195272423899</c:v>
                </c:pt>
                <c:pt idx="2">
                  <c:v>-0.24164053408644648</c:v>
                </c:pt>
                <c:pt idx="3">
                  <c:v>-0.87684800066433155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E08-9584-9E38E6A4C1AF}"/>
            </c:ext>
          </c:extLst>
        </c:ser>
        <c:ser>
          <c:idx val="1"/>
          <c:order val="1"/>
          <c:tx>
            <c:strRef>
              <c:f>'T33'!$A$5</c:f>
              <c:strCache>
                <c:ptCount val="1"/>
                <c:pt idx="0">
                  <c:v>Nedaňové príjmy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'T33'!$C$5:$F$5</c:f>
              <c:numCache>
                <c:formatCode>#\ ##0.0</c:formatCode>
                <c:ptCount val="4"/>
                <c:pt idx="0">
                  <c:v>-9.6354815890217438E-2</c:v>
                </c:pt>
                <c:pt idx="1">
                  <c:v>-7.5101273846788885E-2</c:v>
                </c:pt>
                <c:pt idx="2">
                  <c:v>-8.7036438228738966E-2</c:v>
                </c:pt>
                <c:pt idx="3">
                  <c:v>-0.25849252796574529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E08-9584-9E38E6A4C1AF}"/>
            </c:ext>
          </c:extLst>
        </c:ser>
        <c:ser>
          <c:idx val="2"/>
          <c:order val="2"/>
          <c:tx>
            <c:strRef>
              <c:f>'T33'!$A$6</c:f>
              <c:strCache>
                <c:ptCount val="1"/>
                <c:pt idx="0">
                  <c:v>Sociálne platby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'T33'!$C$6:$F$6</c:f>
              <c:numCache>
                <c:formatCode>#\ ##0.0</c:formatCode>
                <c:ptCount val="4"/>
                <c:pt idx="0">
                  <c:v>0.37207441717288958</c:v>
                </c:pt>
                <c:pt idx="1">
                  <c:v>0.41310685073600162</c:v>
                </c:pt>
                <c:pt idx="2">
                  <c:v>0.29396819261827822</c:v>
                </c:pt>
                <c:pt idx="3">
                  <c:v>1.0791494605271694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D-4E08-9584-9E38E6A4C1AF}"/>
            </c:ext>
          </c:extLst>
        </c:ser>
        <c:ser>
          <c:idx val="3"/>
          <c:order val="3"/>
          <c:tx>
            <c:strRef>
              <c:f>'T33'!$A$7</c:f>
              <c:strCache>
                <c:ptCount val="1"/>
                <c:pt idx="0">
                  <c:v>Prev. výdavky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'T33'!$C$7:$F$7</c:f>
              <c:numCache>
                <c:formatCode>#\ ##0.0</c:formatCode>
                <c:ptCount val="4"/>
                <c:pt idx="0">
                  <c:v>0.27158973489298699</c:v>
                </c:pt>
                <c:pt idx="1">
                  <c:v>0.3387276533508663</c:v>
                </c:pt>
                <c:pt idx="2">
                  <c:v>0.20500127212830677</c:v>
                </c:pt>
                <c:pt idx="3">
                  <c:v>0.81531866037216005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D-4E08-9584-9E38E6A4C1AF}"/>
            </c:ext>
          </c:extLst>
        </c:ser>
        <c:ser>
          <c:idx val="4"/>
          <c:order val="4"/>
          <c:tx>
            <c:strRef>
              <c:f>'T33'!$A$8</c:f>
              <c:strCache>
                <c:ptCount val="1"/>
                <c:pt idx="0">
                  <c:v>Dotácie a ost. transfery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'T33'!$C$8:$F$8</c:f>
              <c:numCache>
                <c:formatCode>#\ ##0.0</c:formatCode>
                <c:ptCount val="4"/>
                <c:pt idx="0">
                  <c:v>5.0876315499828628E-2</c:v>
                </c:pt>
                <c:pt idx="1">
                  <c:v>5.3063946810927742E-2</c:v>
                </c:pt>
                <c:pt idx="2">
                  <c:v>1.3884693283470861E-2</c:v>
                </c:pt>
                <c:pt idx="3">
                  <c:v>0.11782495559422723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D-4E08-9584-9E38E6A4C1AF}"/>
            </c:ext>
          </c:extLst>
        </c:ser>
        <c:ser>
          <c:idx val="5"/>
          <c:order val="5"/>
          <c:tx>
            <c:strRef>
              <c:f>'T33'!$A$9</c:f>
              <c:strCache>
                <c:ptCount val="1"/>
                <c:pt idx="0">
                  <c:v>Úroky 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'T33'!$C$9:$F$9</c:f>
              <c:numCache>
                <c:formatCode>#\ ##0.0</c:formatCode>
                <c:ptCount val="4"/>
                <c:pt idx="0">
                  <c:v>4.2568761501874608E-2</c:v>
                </c:pt>
                <c:pt idx="1">
                  <c:v>7.5114509771063265E-2</c:v>
                </c:pt>
                <c:pt idx="2">
                  <c:v>0.11931574988703209</c:v>
                </c:pt>
                <c:pt idx="3">
                  <c:v>0.23699902115996996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ED-4E08-9584-9E38E6A4C1AF}"/>
            </c:ext>
          </c:extLst>
        </c:ser>
        <c:ser>
          <c:idx val="6"/>
          <c:order val="6"/>
          <c:tx>
            <c:strRef>
              <c:f>'T33'!$A$10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'T33'!$C$2:$F$2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'T33'!$C$10:$F$10</c:f>
              <c:numCache>
                <c:formatCode>#\ ##0.0</c:formatCode>
                <c:ptCount val="4"/>
                <c:pt idx="0">
                  <c:v>-3.7106798709453548E-2</c:v>
                </c:pt>
                <c:pt idx="1">
                  <c:v>0.1581998462919213</c:v>
                </c:pt>
                <c:pt idx="2">
                  <c:v>1.5791075806192989E-3</c:v>
                </c:pt>
                <c:pt idx="3">
                  <c:v>0.12267215516308705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ED-4E08-9584-9E38E6A4C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9728704"/>
        <c:axId val="369730672"/>
      </c:barChart>
      <c:lineChart>
        <c:grouping val="standard"/>
        <c:varyColors val="0"/>
        <c:ser>
          <c:idx val="7"/>
          <c:order val="7"/>
          <c:tx>
            <c:v>Spolu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'T33'!$C$3:$F$3</c:f>
              <c:numCache>
                <c:formatCode>#\ ##0.0</c:formatCode>
                <c:ptCount val="4"/>
                <c:pt idx="0">
                  <c:v>0.33080210061426274</c:v>
                </c:pt>
                <c:pt idx="1">
                  <c:v>0.60074958038975235</c:v>
                </c:pt>
                <c:pt idx="2">
                  <c:v>0.30507204318252179</c:v>
                </c:pt>
                <c:pt idx="3">
                  <c:v>1.2366237241865368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ED-4E08-9584-9E38E6A4C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728704"/>
        <c:axId val="369730672"/>
      </c:lineChart>
      <c:catAx>
        <c:axId val="369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30672"/>
        <c:crosses val="autoZero"/>
        <c:auto val="1"/>
        <c:lblAlgn val="ctr"/>
        <c:lblOffset val="100"/>
        <c:noMultiLvlLbl val="0"/>
      </c:catAx>
      <c:valAx>
        <c:axId val="36973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02580927384095E-2"/>
          <c:y val="5.0345581802274712E-2"/>
          <c:w val="0.72468372703412076"/>
          <c:h val="0.19965441819772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19</a:t>
            </a:r>
            <a:endParaRPr lang="en-US" b="1"/>
          </a:p>
        </c:rich>
      </c:tx>
      <c:layout>
        <c:manualLayout>
          <c:xMode val="edge"/>
          <c:yMode val="edge"/>
          <c:x val="0.4943924333211021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5495605925248769E-2"/>
          <c:y val="9.2311679790026246E-2"/>
          <c:w val="0.8413751152727531"/>
          <c:h val="0.8318622047244094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0665753767247467E-2"/>
                  <c:y val="4.166687425455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79915461140619E-2"/>
                      <c:h val="5.89914948752363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CAD-4E59-8996-51BD9BFE3FE3}"/>
                </c:ext>
              </c:extLst>
            </c:dLbl>
            <c:dLbl>
              <c:idx val="1"/>
              <c:layout>
                <c:manualLayout>
                  <c:x val="-0.11241645706195352"/>
                  <c:y val="-4.8356352338751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E59-8996-51BD9BFE3FE3}"/>
                </c:ext>
              </c:extLst>
            </c:dLbl>
            <c:dLbl>
              <c:idx val="2"/>
              <c:layout>
                <c:manualLayout>
                  <c:x val="-4.7365296081585536E-3"/>
                  <c:y val="-5.416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D-4E59-8996-51BD9BFE3FE3}"/>
                </c:ext>
              </c:extLst>
            </c:dLbl>
            <c:dLbl>
              <c:idx val="3"/>
              <c:layout>
                <c:manualLayout>
                  <c:x val="-2.9594750555016883E-2"/>
                  <c:y val="3.8736563666540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D-4E59-8996-51BD9BFE3FE3}"/>
                </c:ext>
              </c:extLst>
            </c:dLbl>
            <c:dLbl>
              <c:idx val="4"/>
              <c:layout>
                <c:manualLayout>
                  <c:x val="5.2846353424636942E-2"/>
                  <c:y val="-4.140664208161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D-4E59-8996-51BD9BFE3FE3}"/>
                </c:ext>
              </c:extLst>
            </c:dLbl>
            <c:dLbl>
              <c:idx val="5"/>
              <c:layout>
                <c:manualLayout>
                  <c:x val="-2.6862885377141571E-2"/>
                  <c:y val="-4.5626156472108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D-4E59-8996-51BD9BFE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'G07'!$E$24:$E$29</c:f>
              <c:numCache>
                <c:formatCode>0.00</c:formatCode>
                <c:ptCount val="6"/>
                <c:pt idx="0">
                  <c:v>0.19</c:v>
                </c:pt>
                <c:pt idx="1">
                  <c:v>0</c:v>
                </c:pt>
                <c:pt idx="2">
                  <c:v>-0.32</c:v>
                </c:pt>
                <c:pt idx="3">
                  <c:v>0</c:v>
                </c:pt>
                <c:pt idx="4">
                  <c:v>-0.33</c:v>
                </c:pt>
                <c:pt idx="5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D-4E59-8996-51BD9BFE3FE3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6.735332282405701E-2"/>
                  <c:y val="3.3758440108237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D-4E59-8996-51BD9BFE3FE3}"/>
                </c:ext>
              </c:extLst>
            </c:dLbl>
            <c:dLbl>
              <c:idx val="1"/>
              <c:layout>
                <c:manualLayout>
                  <c:x val="6.0762817661323881E-2"/>
                  <c:y val="7.7156265185053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D-4E59-8996-51BD9BFE3FE3}"/>
                </c:ext>
              </c:extLst>
            </c:dLbl>
            <c:dLbl>
              <c:idx val="2"/>
              <c:layout>
                <c:manualLayout>
                  <c:x val="6.6439398443014511E-2"/>
                  <c:y val="7.18685865722855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D-4E59-8996-51BD9BFE3FE3}"/>
                </c:ext>
              </c:extLst>
            </c:dLbl>
            <c:dLbl>
              <c:idx val="3"/>
              <c:layout>
                <c:manualLayout>
                  <c:x val="6.4687396863206528E-2"/>
                  <c:y val="3.87373940180809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21118930431734E-2"/>
                      <c:h val="5.89914948752363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CAD-4E59-8996-51BD9BFE3FE3}"/>
                </c:ext>
              </c:extLst>
            </c:dLbl>
            <c:dLbl>
              <c:idx val="4"/>
              <c:layout>
                <c:manualLayout>
                  <c:x val="-1.7032475576865654E-2"/>
                  <c:y val="-5.775061753244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D-4E59-8996-51BD9BFE3FE3}"/>
                </c:ext>
              </c:extLst>
            </c:dLbl>
            <c:dLbl>
              <c:idx val="5"/>
              <c:layout>
                <c:manualLayout>
                  <c:x val="-2.9846891187993163E-3"/>
                  <c:y val="4.9897152658137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D-4E59-8996-51BD9BFE3FE3}"/>
                </c:ext>
              </c:extLst>
            </c:dLbl>
            <c:dLbl>
              <c:idx val="6"/>
              <c:layout>
                <c:manualLayout>
                  <c:x val="-1.3017016417840078E-2"/>
                  <c:y val="3.37454866241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F-4C19-AC84-B4F0FDE02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'G07'!$F$24:$F$29</c:f>
              <c:numCache>
                <c:formatCode>0.00</c:formatCode>
                <c:ptCount val="6"/>
                <c:pt idx="0">
                  <c:v>-6.5994055754417524E-3</c:v>
                </c:pt>
                <c:pt idx="1">
                  <c:v>-6.2054664886594502E-2</c:v>
                </c:pt>
                <c:pt idx="2">
                  <c:v>2.9274927564434783E-2</c:v>
                </c:pt>
                <c:pt idx="3">
                  <c:v>8.305294986968903E-2</c:v>
                </c:pt>
                <c:pt idx="4">
                  <c:v>-6.1423226749071469E-2</c:v>
                </c:pt>
                <c:pt idx="5">
                  <c:v>0.14132293054769438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AD-4E59-8996-51BD9BFE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457822176"/>
        <c:axId val="457822568"/>
      </c:barChart>
      <c:barChart>
        <c:barDir val="bar"/>
        <c:grouping val="stacked"/>
        <c:varyColors val="0"/>
        <c:ser>
          <c:idx val="2"/>
          <c:order val="2"/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4.2634999443104818E-3"/>
                  <c:y val="-3.359104123758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D-4E59-8996-51BD9BFE3FE3}"/>
                </c:ext>
              </c:extLst>
            </c:dLbl>
            <c:dLbl>
              <c:idx val="1"/>
              <c:layout>
                <c:manualLayout>
                  <c:x val="-2.0000423650928033E-3"/>
                  <c:y val="3.80161506696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AD-4E59-8996-51BD9BFE3FE3}"/>
                </c:ext>
              </c:extLst>
            </c:dLbl>
            <c:dLbl>
              <c:idx val="2"/>
              <c:layout>
                <c:manualLayout>
                  <c:x val="5.9294047226145551E-3"/>
                  <c:y val="5.0671704575535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D-4E59-8996-51BD9BFE3FE3}"/>
                </c:ext>
              </c:extLst>
            </c:dLbl>
            <c:dLbl>
              <c:idx val="3"/>
              <c:layout>
                <c:manualLayout>
                  <c:x val="4.0903497101749335E-2"/>
                  <c:y val="-5.0566083859527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D-4E59-8996-51BD9BFE3FE3}"/>
                </c:ext>
              </c:extLst>
            </c:dLbl>
            <c:dLbl>
              <c:idx val="4"/>
              <c:layout>
                <c:manualLayout>
                  <c:x val="-5.3320227486882199E-2"/>
                  <c:y val="5.06215513424625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59816367821937"/>
                      <c:h val="6.71166507737381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CAD-4E59-8996-51BD9BFE3FE3}"/>
                </c:ext>
              </c:extLst>
            </c:dLbl>
            <c:dLbl>
              <c:idx val="5"/>
              <c:layout>
                <c:manualLayout>
                  <c:x val="-1.1103754162199541E-4"/>
                  <c:y val="4.00226121331631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8083341703855"/>
                      <c:h val="6.32096807032612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CAD-4E59-8996-51BD9BFE3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'G07'!$G$24:$G$29</c:f>
              <c:numCache>
                <c:formatCode>0.00</c:formatCode>
                <c:ptCount val="6"/>
                <c:pt idx="0">
                  <c:v>0.18340059442455825</c:v>
                </c:pt>
                <c:pt idx="1">
                  <c:v>-6.2054664886594502E-2</c:v>
                </c:pt>
                <c:pt idx="2">
                  <c:v>-0.29072507243556522</c:v>
                </c:pt>
                <c:pt idx="3">
                  <c:v>8.305294986968903E-2</c:v>
                </c:pt>
                <c:pt idx="4">
                  <c:v>-0.39142322674907148</c:v>
                </c:pt>
                <c:pt idx="5">
                  <c:v>-1.8677069452305628E-2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AD-4E59-8996-51BD9BFE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457823352"/>
        <c:axId val="457822960"/>
      </c:barChart>
      <c:catAx>
        <c:axId val="457822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457822568"/>
        <c:crosses val="autoZero"/>
        <c:auto val="1"/>
        <c:lblAlgn val="ctr"/>
        <c:lblOffset val="100"/>
        <c:noMultiLvlLbl val="0"/>
      </c:catAx>
      <c:valAx>
        <c:axId val="457822568"/>
        <c:scaling>
          <c:orientation val="minMax"/>
          <c:max val="0.30000000000000004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2176"/>
        <c:crosses val="autoZero"/>
        <c:crossBetween val="between"/>
        <c:majorUnit val="0.1"/>
      </c:valAx>
      <c:valAx>
        <c:axId val="457822960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457823352"/>
        <c:crosses val="max"/>
        <c:crossBetween val="between"/>
      </c:valAx>
      <c:catAx>
        <c:axId val="457823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7822960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20</a:t>
            </a:r>
            <a:endParaRPr lang="en-US" b="1"/>
          </a:p>
        </c:rich>
      </c:tx>
      <c:layout>
        <c:manualLayout>
          <c:xMode val="edge"/>
          <c:yMode val="edge"/>
          <c:x val="0.56742277688826503"/>
          <c:y val="8.51970181043663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7.2567939316863742E-2"/>
          <c:y val="8.694858010962081E-2"/>
          <c:w val="0.85021765037030539"/>
          <c:h val="0.819082790370053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574997496515468E-2"/>
                  <c:y val="4.1666653082183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2-4E61-9E3E-E5866418FC44}"/>
                </c:ext>
              </c:extLst>
            </c:dLbl>
            <c:dLbl>
              <c:idx val="1"/>
              <c:layout>
                <c:manualLayout>
                  <c:x val="-4.6467503709226456E-2"/>
                  <c:y val="-3.2810439403695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2-4E61-9E3E-E5866418FC44}"/>
                </c:ext>
              </c:extLst>
            </c:dLbl>
            <c:dLbl>
              <c:idx val="2"/>
              <c:layout>
                <c:manualLayout>
                  <c:x val="-3.6193840118808558E-2"/>
                  <c:y val="-4.588447212056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2-4E61-9E3E-E5866418FC44}"/>
                </c:ext>
              </c:extLst>
            </c:dLbl>
            <c:dLbl>
              <c:idx val="3"/>
              <c:layout>
                <c:manualLayout>
                  <c:x val="6.4312129143709207E-2"/>
                  <c:y val="4.1013619802916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2-4E61-9E3E-E5866418FC44}"/>
                </c:ext>
              </c:extLst>
            </c:dLbl>
            <c:dLbl>
              <c:idx val="4"/>
              <c:layout>
                <c:manualLayout>
                  <c:x val="0.17665931485555328"/>
                  <c:y val="-3.14435686980902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63906830036577"/>
                      <c:h val="7.03274132155286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A62-4E61-9E3E-E5866418FC44}"/>
                </c:ext>
              </c:extLst>
            </c:dLbl>
            <c:dLbl>
              <c:idx val="5"/>
              <c:layout>
                <c:manualLayout>
                  <c:x val="-0.17841582329610009"/>
                  <c:y val="-3.351498504348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2-4E61-9E3E-E5866418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'G07'!$H$24:$H$29</c:f>
              <c:numCache>
                <c:formatCode>0.00</c:formatCode>
                <c:ptCount val="6"/>
                <c:pt idx="0">
                  <c:v>0.16999999999999998</c:v>
                </c:pt>
                <c:pt idx="1">
                  <c:v>0</c:v>
                </c:pt>
                <c:pt idx="2">
                  <c:v>-0.4</c:v>
                </c:pt>
                <c:pt idx="3">
                  <c:v>0</c:v>
                </c:pt>
                <c:pt idx="4">
                  <c:v>-0.35</c:v>
                </c:pt>
                <c:pt idx="5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62-4E61-9E3E-E5866418FC44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4.4569455507152723E-2"/>
                  <c:y val="4.219481779132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2-4E61-9E3E-E5866418FC44}"/>
                </c:ext>
              </c:extLst>
            </c:dLbl>
            <c:dLbl>
              <c:idx val="1"/>
              <c:layout>
                <c:manualLayout>
                  <c:x val="3.9532409243820288E-2"/>
                  <c:y val="2.513085932724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62-4E61-9E3E-E5866418FC44}"/>
                </c:ext>
              </c:extLst>
            </c:dLbl>
            <c:dLbl>
              <c:idx val="2"/>
              <c:layout>
                <c:manualLayout>
                  <c:x val="8.6273792391600809E-2"/>
                  <c:y val="3.91725419556764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64038886634082"/>
                      <c:h val="6.20463122203294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A62-4E61-9E3E-E5866418FC44}"/>
                </c:ext>
              </c:extLst>
            </c:dLbl>
            <c:dLbl>
              <c:idx val="3"/>
              <c:layout>
                <c:manualLayout>
                  <c:x val="-3.6193840118808475E-2"/>
                  <c:y val="-4.179608603868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2-4E61-9E3E-E5866418FC44}"/>
                </c:ext>
              </c:extLst>
            </c:dLbl>
            <c:dLbl>
              <c:idx val="4"/>
              <c:layout>
                <c:manualLayout>
                  <c:x val="-6.259100564354414E-2"/>
                  <c:y val="-4.5407167716747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62-4E61-9E3E-E5866418FC44}"/>
                </c:ext>
              </c:extLst>
            </c:dLbl>
            <c:dLbl>
              <c:idx val="5"/>
              <c:layout>
                <c:manualLayout>
                  <c:x val="8.177990496312712E-2"/>
                  <c:y val="5.8333183904017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62-4E61-9E3E-E5866418FC44}"/>
                </c:ext>
              </c:extLst>
            </c:dLbl>
            <c:dLbl>
              <c:idx val="6"/>
              <c:layout>
                <c:manualLayout>
                  <c:x val="-1.3481662285421381E-2"/>
                  <c:y val="4.9686605971195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7-4086-AB12-6EE01374E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'G07'!$I$24:$I$29</c:f>
              <c:numCache>
                <c:formatCode>0.00</c:formatCode>
                <c:ptCount val="6"/>
                <c:pt idx="0">
                  <c:v>2.9982947578214847E-3</c:v>
                </c:pt>
                <c:pt idx="1">
                  <c:v>-7.5284835390187155E-2</c:v>
                </c:pt>
                <c:pt idx="2">
                  <c:v>0.19005323231736038</c:v>
                </c:pt>
                <c:pt idx="3">
                  <c:v>-0.25490940196958878</c:v>
                </c:pt>
                <c:pt idx="4">
                  <c:v>-8.3924984097353827E-2</c:v>
                </c:pt>
                <c:pt idx="5">
                  <c:v>0.40829544154062269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62-4E61-9E3E-E5866418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457824136"/>
        <c:axId val="457824528"/>
      </c:barChart>
      <c:barChart>
        <c:barDir val="bar"/>
        <c:grouping val="stacked"/>
        <c:varyColors val="0"/>
        <c:ser>
          <c:idx val="2"/>
          <c:order val="2"/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2821733147302825E-2"/>
                  <c:y val="-3.3124403980796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62-4E61-9E3E-E5866418FC44}"/>
                </c:ext>
              </c:extLst>
            </c:dLbl>
            <c:dLbl>
              <c:idx val="1"/>
              <c:layout>
                <c:manualLayout>
                  <c:x val="-1.4240315407204586E-2"/>
                  <c:y val="4.1380726878530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62-4E61-9E3E-E5866418FC44}"/>
                </c:ext>
              </c:extLst>
            </c:dLbl>
            <c:dLbl>
              <c:idx val="2"/>
              <c:layout>
                <c:manualLayout>
                  <c:x val="2.6125763032008156E-2"/>
                  <c:y val="4.13810529061285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34362103295009"/>
                      <c:h val="4.96246607275305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A62-4E61-9E3E-E5866418FC44}"/>
                </c:ext>
              </c:extLst>
            </c:dLbl>
            <c:dLbl>
              <c:idx val="3"/>
              <c:layout>
                <c:manualLayout>
                  <c:x val="5.3656662046572948E-2"/>
                  <c:y val="4.140746114158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62-4E61-9E3E-E5866418FC44}"/>
                </c:ext>
              </c:extLst>
            </c:dLbl>
            <c:dLbl>
              <c:idx val="4"/>
              <c:layout>
                <c:manualLayout>
                  <c:x val="2.4271238306604138E-2"/>
                  <c:y val="4.9688888164383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62-4E61-9E3E-E5866418FC44}"/>
                </c:ext>
              </c:extLst>
            </c:dLbl>
            <c:dLbl>
              <c:idx val="5"/>
              <c:layout>
                <c:manualLayout>
                  <c:x val="-1.0471111557747692E-2"/>
                  <c:y val="4.554801163918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62-4E61-9E3E-E5866418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'G07'!$J$24:$J$29</c:f>
              <c:numCache>
                <c:formatCode>#,##0.00</c:formatCode>
                <c:ptCount val="6"/>
                <c:pt idx="0">
                  <c:v>0.17299829475782147</c:v>
                </c:pt>
                <c:pt idx="1">
                  <c:v>-7.5284835390187155E-2</c:v>
                </c:pt>
                <c:pt idx="2">
                  <c:v>-0.20994676768263965</c:v>
                </c:pt>
                <c:pt idx="3">
                  <c:v>-0.25490940196958878</c:v>
                </c:pt>
                <c:pt idx="4">
                  <c:v>-0.43392498409735381</c:v>
                </c:pt>
                <c:pt idx="5">
                  <c:v>-3.1704558459377336E-2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62-4E61-9E3E-E5866418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457825312"/>
        <c:axId val="457824920"/>
      </c:barChart>
      <c:catAx>
        <c:axId val="457824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457824528"/>
        <c:crosses val="autoZero"/>
        <c:auto val="1"/>
        <c:lblAlgn val="ctr"/>
        <c:lblOffset val="100"/>
        <c:noMultiLvlLbl val="0"/>
      </c:catAx>
      <c:valAx>
        <c:axId val="457824528"/>
        <c:scaling>
          <c:orientation val="minMax"/>
          <c:max val="0.5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4136"/>
        <c:crosses val="autoZero"/>
        <c:crossBetween val="between"/>
        <c:majorUnit val="0.2"/>
        <c:minorUnit val="5.000000000000001E-2"/>
      </c:valAx>
      <c:valAx>
        <c:axId val="457824920"/>
        <c:scaling>
          <c:orientation val="minMax"/>
        </c:scaling>
        <c:delete val="1"/>
        <c:axPos val="t"/>
        <c:numFmt formatCode="#,##0.00" sourceLinked="1"/>
        <c:majorTickMark val="out"/>
        <c:minorTickMark val="none"/>
        <c:tickLblPos val="nextTo"/>
        <c:crossAx val="457825312"/>
        <c:crosses val="max"/>
        <c:crossBetween val="between"/>
      </c:valAx>
      <c:catAx>
        <c:axId val="457825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7824920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49145299145295E-2"/>
          <c:y val="4.4391358024691352E-2"/>
          <c:w val="0.91071973919921145"/>
          <c:h val="0.84155409869993592"/>
        </c:manualLayout>
      </c:layout>
      <c:lineChart>
        <c:grouping val="standard"/>
        <c:varyColors val="0"/>
        <c:ser>
          <c:idx val="0"/>
          <c:order val="0"/>
          <c:tx>
            <c:strRef>
              <c:f>'G08'!$A$3</c:f>
              <c:strCache>
                <c:ptCount val="1"/>
                <c:pt idx="0">
                  <c:v>oecd_y_ea_2012_6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'G08'!$B$3:$H$3</c:f>
              <c:numCache>
                <c:formatCode>0.0</c:formatCode>
                <c:ptCount val="7"/>
                <c:pt idx="0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E-4D70-9917-7A083482FC6A}"/>
            </c:ext>
          </c:extLst>
        </c:ser>
        <c:ser>
          <c:idx val="1"/>
          <c:order val="1"/>
          <c:tx>
            <c:strRef>
              <c:f>'G08'!$A$4</c:f>
              <c:strCache>
                <c:ptCount val="1"/>
                <c:pt idx="0">
                  <c:v>imf_y_ea_2012_10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'G08'!$B$4:$H$4</c:f>
              <c:numCache>
                <c:formatCode>0.0</c:formatCode>
                <c:ptCount val="7"/>
                <c:pt idx="0">
                  <c:v>0.157</c:v>
                </c:pt>
                <c:pt idx="1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E-4D70-9917-7A083482FC6A}"/>
            </c:ext>
          </c:extLst>
        </c:ser>
        <c:ser>
          <c:idx val="2"/>
          <c:order val="2"/>
          <c:tx>
            <c:strRef>
              <c:f>'G08'!$A$5</c:f>
              <c:strCache>
                <c:ptCount val="1"/>
                <c:pt idx="0">
                  <c:v>oecd_y_ea_2012_11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'G08'!$B$5:$H$5</c:f>
              <c:numCache>
                <c:formatCode>0.0</c:formatCode>
                <c:ptCount val="7"/>
                <c:pt idx="0">
                  <c:v>9.2999999999999999E-2</c:v>
                </c:pt>
                <c:pt idx="1">
                  <c:v>1.3069999999999999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E-4D70-9917-7A083482FC6A}"/>
            </c:ext>
          </c:extLst>
        </c:ser>
        <c:ser>
          <c:idx val="3"/>
          <c:order val="3"/>
          <c:tx>
            <c:strRef>
              <c:f>'G08'!$A$6</c:f>
              <c:strCache>
                <c:ptCount val="1"/>
                <c:pt idx="0">
                  <c:v>imf_y_ea_2013_4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'G08'!$B$6:$H$6</c:f>
              <c:numCache>
                <c:formatCode>0.0</c:formatCode>
                <c:ptCount val="7"/>
                <c:pt idx="0">
                  <c:v>-0.33800000000000002</c:v>
                </c:pt>
                <c:pt idx="1">
                  <c:v>1.0669999999999999</c:v>
                </c:pt>
                <c:pt idx="2">
                  <c:v>1.446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E-4D70-9917-7A083482FC6A}"/>
            </c:ext>
          </c:extLst>
        </c:ser>
        <c:ser>
          <c:idx val="4"/>
          <c:order val="4"/>
          <c:tx>
            <c:strRef>
              <c:f>'G08'!$A$7</c:f>
              <c:strCache>
                <c:ptCount val="1"/>
                <c:pt idx="0">
                  <c:v>oecd_y_ea_2013_6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'G08'!$B$7:$H$7</c:f>
              <c:numCache>
                <c:formatCode>0.0</c:formatCode>
                <c:ptCount val="7"/>
                <c:pt idx="0">
                  <c:v>-0.61299999999999999</c:v>
                </c:pt>
                <c:pt idx="1">
                  <c:v>1.0580000000000001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8E-4D70-9917-7A083482FC6A}"/>
            </c:ext>
          </c:extLst>
        </c:ser>
        <c:ser>
          <c:idx val="5"/>
          <c:order val="5"/>
          <c:tx>
            <c:strRef>
              <c:f>'G08'!$A$8</c:f>
              <c:strCache>
                <c:ptCount val="1"/>
                <c:pt idx="0">
                  <c:v>imf_y_ea_2013_10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'G08'!$B$8:$H$8</c:f>
              <c:numCache>
                <c:formatCode>0.0</c:formatCode>
                <c:ptCount val="7"/>
                <c:pt idx="0">
                  <c:v>-0.437</c:v>
                </c:pt>
                <c:pt idx="1">
                  <c:v>0.96099999999999997</c:v>
                </c:pt>
                <c:pt idx="2">
                  <c:v>1.3520000000000001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E-4D70-9917-7A083482FC6A}"/>
            </c:ext>
          </c:extLst>
        </c:ser>
        <c:ser>
          <c:idx val="6"/>
          <c:order val="6"/>
          <c:tx>
            <c:strRef>
              <c:f>'G08'!$A$9</c:f>
              <c:strCache>
                <c:ptCount val="1"/>
                <c:pt idx="0">
                  <c:v>oecd_y_ea_2013_11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'G08'!$B$9:$H$9</c:f>
              <c:numCache>
                <c:formatCode>0.0</c:formatCode>
                <c:ptCount val="7"/>
                <c:pt idx="0">
                  <c:v>-0.4</c:v>
                </c:pt>
                <c:pt idx="1">
                  <c:v>1</c:v>
                </c:pt>
                <c:pt idx="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8E-4D70-9917-7A083482FC6A}"/>
            </c:ext>
          </c:extLst>
        </c:ser>
        <c:ser>
          <c:idx val="7"/>
          <c:order val="7"/>
          <c:tx>
            <c:strRef>
              <c:f>'G08'!$A$10</c:f>
              <c:strCache>
                <c:ptCount val="1"/>
                <c:pt idx="0">
                  <c:v>imf_y_ea_2014_4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'G08'!$B$10:$H$10</c:f>
              <c:numCache>
                <c:formatCode>0.0</c:formatCode>
                <c:ptCount val="7"/>
                <c:pt idx="1">
                  <c:v>1.161</c:v>
                </c:pt>
                <c:pt idx="2">
                  <c:v>1.464</c:v>
                </c:pt>
                <c:pt idx="3">
                  <c:v>1.536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8E-4D70-9917-7A083482FC6A}"/>
            </c:ext>
          </c:extLst>
        </c:ser>
        <c:ser>
          <c:idx val="8"/>
          <c:order val="8"/>
          <c:tx>
            <c:strRef>
              <c:f>'G08'!$A$11</c:f>
              <c:strCache>
                <c:ptCount val="1"/>
                <c:pt idx="0">
                  <c:v>oecd_y_ea_2014_6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'G08'!$B$11:$H$11</c:f>
              <c:numCache>
                <c:formatCode>0.0</c:formatCode>
                <c:ptCount val="7"/>
                <c:pt idx="1">
                  <c:v>1.2</c:v>
                </c:pt>
                <c:pt idx="2">
                  <c:v>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8E-4D70-9917-7A083482FC6A}"/>
            </c:ext>
          </c:extLst>
        </c:ser>
        <c:ser>
          <c:idx val="9"/>
          <c:order val="9"/>
          <c:tx>
            <c:strRef>
              <c:f>'G08'!$A$12</c:f>
              <c:strCache>
                <c:ptCount val="1"/>
                <c:pt idx="0">
                  <c:v>imf_y_ea_2014_10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'G08'!$B$12:$H$12</c:f>
              <c:numCache>
                <c:formatCode>0.0</c:formatCode>
                <c:ptCount val="7"/>
                <c:pt idx="1">
                  <c:v>0.83199999999999996</c:v>
                </c:pt>
                <c:pt idx="2">
                  <c:v>1.349</c:v>
                </c:pt>
                <c:pt idx="3">
                  <c:v>1.698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8E-4D70-9917-7A083482FC6A}"/>
            </c:ext>
          </c:extLst>
        </c:ser>
        <c:ser>
          <c:idx val="10"/>
          <c:order val="10"/>
          <c:tx>
            <c:strRef>
              <c:f>'G08'!$A$13</c:f>
              <c:strCache>
                <c:ptCount val="1"/>
                <c:pt idx="0">
                  <c:v>oecd_y_ea_2014_11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'G08'!$B$13:$H$13</c:f>
              <c:numCache>
                <c:formatCode>0.0</c:formatCode>
                <c:ptCount val="7"/>
                <c:pt idx="1">
                  <c:v>0.83</c:v>
                </c:pt>
                <c:pt idx="2">
                  <c:v>1.0569999999999999</c:v>
                </c:pt>
                <c:pt idx="3">
                  <c:v>1.669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8E-4D70-9917-7A083482FC6A}"/>
            </c:ext>
          </c:extLst>
        </c:ser>
        <c:ser>
          <c:idx val="11"/>
          <c:order val="11"/>
          <c:tx>
            <c:strRef>
              <c:f>'G08'!$A$14</c:f>
              <c:strCache>
                <c:ptCount val="1"/>
                <c:pt idx="0">
                  <c:v>imf_y_ea_2015_4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'G08'!$B$14:$H$14</c:f>
              <c:numCache>
                <c:formatCode>0.0</c:formatCode>
                <c:ptCount val="7"/>
                <c:pt idx="2">
                  <c:v>1.4530000000000001</c:v>
                </c:pt>
                <c:pt idx="3">
                  <c:v>1.65</c:v>
                </c:pt>
                <c:pt idx="4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8E-4D70-9917-7A083482FC6A}"/>
            </c:ext>
          </c:extLst>
        </c:ser>
        <c:ser>
          <c:idx val="12"/>
          <c:order val="12"/>
          <c:tx>
            <c:strRef>
              <c:f>'G08'!$A$15</c:f>
              <c:strCache>
                <c:ptCount val="1"/>
                <c:pt idx="0">
                  <c:v>oecd_y_ea_2015_6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'G08'!$B$15:$H$15</c:f>
              <c:numCache>
                <c:formatCode>0.0</c:formatCode>
                <c:ptCount val="7"/>
                <c:pt idx="2">
                  <c:v>1.4470000000000001</c:v>
                </c:pt>
                <c:pt idx="3">
                  <c:v>2.056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8E-4D70-9917-7A083482FC6A}"/>
            </c:ext>
          </c:extLst>
        </c:ser>
        <c:ser>
          <c:idx val="13"/>
          <c:order val="13"/>
          <c:tx>
            <c:strRef>
              <c:f>'G08'!$A$16</c:f>
              <c:strCache>
                <c:ptCount val="1"/>
                <c:pt idx="0">
                  <c:v>imf_y_ea_2015_10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'G08'!$B$16:$H$16</c:f>
              <c:numCache>
                <c:formatCode>0.0</c:formatCode>
                <c:ptCount val="7"/>
                <c:pt idx="2">
                  <c:v>1.482</c:v>
                </c:pt>
                <c:pt idx="3">
                  <c:v>1.6379999999999999</c:v>
                </c:pt>
                <c:pt idx="4">
                  <c:v>1.6739999999999999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8E-4D70-9917-7A083482FC6A}"/>
            </c:ext>
          </c:extLst>
        </c:ser>
        <c:ser>
          <c:idx val="14"/>
          <c:order val="14"/>
          <c:tx>
            <c:strRef>
              <c:f>'G08'!$A$17</c:f>
              <c:strCache>
                <c:ptCount val="1"/>
                <c:pt idx="0">
                  <c:v>oecd_y_ea_2015_11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'G08'!$B$17:$H$17</c:f>
              <c:numCache>
                <c:formatCode>0.0</c:formatCode>
                <c:ptCount val="7"/>
                <c:pt idx="2">
                  <c:v>1.5</c:v>
                </c:pt>
                <c:pt idx="3">
                  <c:v>1.75</c:v>
                </c:pt>
                <c:pt idx="4">
                  <c:v>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8E-4D70-9917-7A083482FC6A}"/>
            </c:ext>
          </c:extLst>
        </c:ser>
        <c:ser>
          <c:idx val="15"/>
          <c:order val="15"/>
          <c:tx>
            <c:strRef>
              <c:f>'G08'!$A$18</c:f>
              <c:strCache>
                <c:ptCount val="1"/>
                <c:pt idx="0">
                  <c:v>imf_y_ea_2016_4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'G08'!$B$18:$H$18</c:f>
              <c:numCache>
                <c:formatCode>0.0</c:formatCode>
                <c:ptCount val="7"/>
                <c:pt idx="3">
                  <c:v>1.5049999999999999</c:v>
                </c:pt>
                <c:pt idx="4">
                  <c:v>1.6319999999999999</c:v>
                </c:pt>
                <c:pt idx="5">
                  <c:v>1.556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8E-4D70-9917-7A083482FC6A}"/>
            </c:ext>
          </c:extLst>
        </c:ser>
        <c:ser>
          <c:idx val="16"/>
          <c:order val="16"/>
          <c:tx>
            <c:strRef>
              <c:f>'G08'!$A$19</c:f>
              <c:strCache>
                <c:ptCount val="1"/>
                <c:pt idx="0">
                  <c:v>oecd_y_ea_2016_6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'G08'!$B$19:$H$19</c:f>
              <c:numCache>
                <c:formatCode>0.0</c:formatCode>
                <c:ptCount val="7"/>
                <c:pt idx="3">
                  <c:v>1.57</c:v>
                </c:pt>
                <c:pt idx="4">
                  <c:v>1.63</c:v>
                </c:pt>
                <c:pt idx="5">
                  <c:v>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8E-4D70-9917-7A083482FC6A}"/>
            </c:ext>
          </c:extLst>
        </c:ser>
        <c:ser>
          <c:idx val="17"/>
          <c:order val="17"/>
          <c:tx>
            <c:strRef>
              <c:f>'G08'!$A$20</c:f>
              <c:strCache>
                <c:ptCount val="1"/>
                <c:pt idx="0">
                  <c:v>imf_y_ea_2016_10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'G08'!$B$20:$H$20</c:f>
              <c:numCache>
                <c:formatCode>0.0</c:formatCode>
                <c:ptCount val="7"/>
                <c:pt idx="3">
                  <c:v>1.661</c:v>
                </c:pt>
                <c:pt idx="4">
                  <c:v>1.512</c:v>
                </c:pt>
                <c:pt idx="5">
                  <c:v>1.5860000000000001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8E-4D70-9917-7A083482FC6A}"/>
            </c:ext>
          </c:extLst>
        </c:ser>
        <c:ser>
          <c:idx val="18"/>
          <c:order val="18"/>
          <c:tx>
            <c:strRef>
              <c:f>'G08'!$A$21</c:f>
              <c:strCache>
                <c:ptCount val="1"/>
                <c:pt idx="0">
                  <c:v>oecd_y_ea_2016_11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'G08'!$B$21:$H$21</c:f>
              <c:numCache>
                <c:formatCode>0.0</c:formatCode>
                <c:ptCount val="7"/>
                <c:pt idx="3">
                  <c:v>1.663</c:v>
                </c:pt>
                <c:pt idx="4">
                  <c:v>1.57</c:v>
                </c:pt>
                <c:pt idx="5">
                  <c:v>1.665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8E-4D70-9917-7A083482FC6A}"/>
            </c:ext>
          </c:extLst>
        </c:ser>
        <c:ser>
          <c:idx val="19"/>
          <c:order val="19"/>
          <c:tx>
            <c:strRef>
              <c:f>'G08'!$A$22</c:f>
              <c:strCache>
                <c:ptCount val="1"/>
                <c:pt idx="0">
                  <c:v>imf_y_ea_2017_4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'G08'!$B$22:$H$22</c:f>
              <c:numCache>
                <c:formatCode>0.0</c:formatCode>
                <c:ptCount val="7"/>
                <c:pt idx="4">
                  <c:v>1.68</c:v>
                </c:pt>
                <c:pt idx="5">
                  <c:v>1.6180000000000001</c:v>
                </c:pt>
                <c:pt idx="6">
                  <c:v>1.579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8E-4D70-9917-7A083482FC6A}"/>
            </c:ext>
          </c:extLst>
        </c:ser>
        <c:ser>
          <c:idx val="20"/>
          <c:order val="20"/>
          <c:tx>
            <c:strRef>
              <c:f>'G08'!$A$23</c:f>
              <c:strCache>
                <c:ptCount val="1"/>
                <c:pt idx="0">
                  <c:v>prognózy OECD</c:v>
                </c:pt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'G08'!$B$23:$H$23</c:f>
              <c:numCache>
                <c:formatCode>0.0</c:formatCode>
                <c:ptCount val="7"/>
                <c:pt idx="4">
                  <c:v>1.84</c:v>
                </c:pt>
                <c:pt idx="5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8E-4D70-9917-7A083482FC6A}"/>
            </c:ext>
          </c:extLst>
        </c:ser>
        <c:ser>
          <c:idx val="21"/>
          <c:order val="21"/>
          <c:tx>
            <c:strRef>
              <c:f>'G08'!$A$24</c:f>
              <c:strCache>
                <c:ptCount val="1"/>
                <c:pt idx="0">
                  <c:v>prognózy MMF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'G08'!$B$24:$H$24</c:f>
              <c:numCache>
                <c:formatCode>0.0</c:formatCode>
                <c:ptCount val="7"/>
                <c:pt idx="4">
                  <c:v>2.145</c:v>
                </c:pt>
                <c:pt idx="5">
                  <c:v>1.94</c:v>
                </c:pt>
                <c:pt idx="6">
                  <c:v>1.665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8E-4D70-9917-7A083482FC6A}"/>
            </c:ext>
          </c:extLst>
        </c:ser>
        <c:ser>
          <c:idx val="22"/>
          <c:order val="22"/>
          <c:tx>
            <c:strRef>
              <c:f>'G08'!$A$25</c:f>
              <c:strCache>
                <c:ptCount val="1"/>
                <c:pt idx="0">
                  <c:v>rast HDP eurozóny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lgDash"/>
              <a:round/>
            </a:ln>
            <a:effectLst/>
          </c:spPr>
          <c:marker>
            <c:symbol val="dash"/>
            <c:size val="11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'G08'!$B$2:$H$2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'G08'!$B$25:$H$25</c:f>
              <c:numCache>
                <c:formatCode>0.0</c:formatCode>
                <c:ptCount val="7"/>
                <c:pt idx="0">
                  <c:v>-0.3</c:v>
                </c:pt>
                <c:pt idx="1">
                  <c:v>1.3</c:v>
                </c:pt>
                <c:pt idx="2">
                  <c:v>2.1</c:v>
                </c:pt>
                <c:pt idx="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8E-4D70-9917-7A083482F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359472"/>
        <c:axId val="1004526432"/>
      </c:lineChart>
      <c:catAx>
        <c:axId val="105635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004526432"/>
        <c:crosses val="autoZero"/>
        <c:auto val="1"/>
        <c:lblAlgn val="ctr"/>
        <c:lblOffset val="100"/>
        <c:noMultiLvlLbl val="0"/>
      </c:catAx>
      <c:valAx>
        <c:axId val="10045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9.2264957264957259E-2"/>
              <c:y val="5.07830246913580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05635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50971987179487177"/>
          <c:y val="0.47447993827160484"/>
          <c:w val="0.40344252136752135"/>
          <c:h val="0.34894135802469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  <a:headEnd type="none" w="med" len="med"/>
      <a:tailEnd type="none" w="med" len="med"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98952991452992"/>
          <c:y val="3.841750841750842E-2"/>
          <c:w val="0.85848888888888886"/>
          <c:h val="0.84905339506172839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'G09'!$A$6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CADFF2"/>
            </a:solidFill>
            <a:ln w="19050">
              <a:noFill/>
            </a:ln>
            <a:effectLst/>
          </c:spPr>
          <c:invertIfNegative val="0"/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'G09'!$B$6:$H$6</c:f>
              <c:numCache>
                <c:formatCode>0.0</c:formatCode>
                <c:ptCount val="7"/>
                <c:pt idx="0">
                  <c:v>-2.5019870000000002</c:v>
                </c:pt>
                <c:pt idx="1">
                  <c:v>-0.16498199999999999</c:v>
                </c:pt>
                <c:pt idx="2">
                  <c:v>-0.24693200000000001</c:v>
                </c:pt>
                <c:pt idx="3">
                  <c:v>0.89264900000000003</c:v>
                </c:pt>
                <c:pt idx="4">
                  <c:v>1.0106660000000001</c:v>
                </c:pt>
                <c:pt idx="5">
                  <c:v>1.0625599999999999</c:v>
                </c:pt>
                <c:pt idx="6">
                  <c:v>0.70837300000000003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D-4E7F-81DC-913F1E011DD2}"/>
            </c:ext>
          </c:extLst>
        </c:ser>
        <c:ser>
          <c:idx val="4"/>
          <c:order val="4"/>
          <c:tx>
            <c:strRef>
              <c:f>'G09'!$A$7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4472C4">
                <a:lumMod val="50000"/>
                <a:alpha val="59000"/>
              </a:srgbClr>
            </a:solidFill>
            <a:ln>
              <a:noFill/>
            </a:ln>
            <a:effectLst/>
          </c:spPr>
          <c:invertIfNegative val="0"/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'G09'!$B$7:$H$7</c:f>
              <c:numCache>
                <c:formatCode>0.0</c:formatCode>
                <c:ptCount val="7"/>
                <c:pt idx="0">
                  <c:v>-0.79405999999999999</c:v>
                </c:pt>
                <c:pt idx="1">
                  <c:v>0.30161900000000003</c:v>
                </c:pt>
                <c:pt idx="2">
                  <c:v>0.42451299999999997</c:v>
                </c:pt>
                <c:pt idx="3">
                  <c:v>1.4607129999999999</c:v>
                </c:pt>
                <c:pt idx="4">
                  <c:v>2.145292</c:v>
                </c:pt>
                <c:pt idx="5">
                  <c:v>2.4077679999999999</c:v>
                </c:pt>
                <c:pt idx="6">
                  <c:v>1.6051789999999999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D-4E7F-81DC-913F1E011DD2}"/>
            </c:ext>
          </c:extLst>
        </c:ser>
        <c:ser>
          <c:idx val="5"/>
          <c:order val="5"/>
          <c:tx>
            <c:strRef>
              <c:f>'G09'!$A$8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'G09'!$B$8:$H$8</c:f>
              <c:numCache>
                <c:formatCode>0.0</c:formatCode>
                <c:ptCount val="7"/>
                <c:pt idx="0">
                  <c:v>-1.1412720000000001</c:v>
                </c:pt>
                <c:pt idx="1">
                  <c:v>-0.47312700000000002</c:v>
                </c:pt>
                <c:pt idx="2">
                  <c:v>-0.46347500000000003</c:v>
                </c:pt>
                <c:pt idx="3">
                  <c:v>0.60736999999999997</c:v>
                </c:pt>
                <c:pt idx="4">
                  <c:v>1.0592980000000001</c:v>
                </c:pt>
                <c:pt idx="5">
                  <c:v>1.1083069999999999</c:v>
                </c:pt>
                <c:pt idx="6">
                  <c:v>0.73887199999999997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D-4E7F-81DC-913F1E011DD2}"/>
            </c:ext>
          </c:extLst>
        </c:ser>
        <c:ser>
          <c:idx val="6"/>
          <c:order val="6"/>
          <c:tx>
            <c:strRef>
              <c:f>'G09'!$A$9</c:f>
              <c:strCache>
                <c:ptCount val="1"/>
                <c:pt idx="0">
                  <c:v>Nemecko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'G09'!$B$9:$H$9</c:f>
              <c:numCache>
                <c:formatCode>0.0</c:formatCode>
                <c:ptCount val="7"/>
                <c:pt idx="0">
                  <c:v>-0.31150299999999997</c:v>
                </c:pt>
                <c:pt idx="1">
                  <c:v>-0.25533</c:v>
                </c:pt>
                <c:pt idx="2">
                  <c:v>-0.212061</c:v>
                </c:pt>
                <c:pt idx="3">
                  <c:v>-3.8969999999999999E-3</c:v>
                </c:pt>
                <c:pt idx="4">
                  <c:v>0.19799900000000001</c:v>
                </c:pt>
                <c:pt idx="5">
                  <c:v>0.28992600000000002</c:v>
                </c:pt>
                <c:pt idx="6">
                  <c:v>0.19328400000000001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D-4E7F-81DC-913F1E01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axId val="967198656"/>
        <c:axId val="967199216"/>
      </c:barChart>
      <c:lineChart>
        <c:grouping val="standard"/>
        <c:varyColors val="0"/>
        <c:ser>
          <c:idx val="0"/>
          <c:order val="0"/>
          <c:tx>
            <c:strRef>
              <c:f>'G09'!$A$3</c:f>
              <c:strCache>
                <c:ptCount val="1"/>
                <c:pt idx="0">
                  <c:v>Eurozóna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'G09'!$B$3:$H$3</c:f>
              <c:numCache>
                <c:formatCode>0.0</c:formatCode>
                <c:ptCount val="7"/>
                <c:pt idx="0">
                  <c:v>-2.572139454952127</c:v>
                </c:pt>
                <c:pt idx="1">
                  <c:v>-1.8374523950483335</c:v>
                </c:pt>
                <c:pt idx="2">
                  <c:v>-1.2001454311600379</c:v>
                </c:pt>
                <c:pt idx="3">
                  <c:v>-0.36625593439318926</c:v>
                </c:pt>
                <c:pt idx="4">
                  <c:v>0.26611864646020056</c:v>
                </c:pt>
                <c:pt idx="5">
                  <c:v>0.62434597681626514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3D-4E7F-81DC-913F1E011DD2}"/>
            </c:ext>
          </c:extLst>
        </c:ser>
        <c:ser>
          <c:idx val="1"/>
          <c:order val="1"/>
          <c:tx>
            <c:strRef>
              <c:f>'G09'!$A$4</c:f>
              <c:strCache>
                <c:ptCount val="1"/>
                <c:pt idx="0">
                  <c:v>Slovensko (met. RRZ)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'G09'!$B$4:$H$4</c:f>
              <c:numCache>
                <c:formatCode>0.0</c:formatCode>
                <c:ptCount val="7"/>
                <c:pt idx="0">
                  <c:v>-1.0101222626670623</c:v>
                </c:pt>
                <c:pt idx="1">
                  <c:v>-0.20198844470225594</c:v>
                </c:pt>
                <c:pt idx="2">
                  <c:v>0.15202482434424647</c:v>
                </c:pt>
                <c:pt idx="3">
                  <c:v>0.52175554039024741</c:v>
                </c:pt>
                <c:pt idx="4">
                  <c:v>0.83201056236194548</c:v>
                </c:pt>
                <c:pt idx="5">
                  <c:v>1.0095020270174031</c:v>
                </c:pt>
                <c:pt idx="6">
                  <c:v>0.60126887606129442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3D-4E7F-81DC-913F1E011DD2}"/>
            </c:ext>
          </c:extLst>
        </c:ser>
        <c:ser>
          <c:idx val="2"/>
          <c:order val="2"/>
          <c:tx>
            <c:strRef>
              <c:f>'G09'!$A$5</c:f>
              <c:strCache>
                <c:ptCount val="1"/>
                <c:pt idx="0">
                  <c:v>Slovensko (met. EK)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'G09'!$B$2:$H$2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'G09'!$B$5:$H$5</c:f>
              <c:numCache>
                <c:formatCode>0.0</c:formatCode>
                <c:ptCount val="7"/>
                <c:pt idx="0">
                  <c:v>-2.0515889999999999</c:v>
                </c:pt>
                <c:pt idx="1">
                  <c:v>-1.152109</c:v>
                </c:pt>
                <c:pt idx="2">
                  <c:v>-0.441635</c:v>
                </c:pt>
                <c:pt idx="3">
                  <c:v>2.9090000000000001E-3</c:v>
                </c:pt>
                <c:pt idx="4">
                  <c:v>0.52951300000000001</c:v>
                </c:pt>
                <c:pt idx="5">
                  <c:v>0.99307000000000001</c:v>
                </c:pt>
                <c:pt idx="6">
                  <c:v>0.66204600000000002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3D-4E7F-81DC-913F1E01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7198656"/>
        <c:axId val="967199216"/>
      </c:lineChart>
      <c:catAx>
        <c:axId val="9671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9216"/>
        <c:crosses val="autoZero"/>
        <c:auto val="1"/>
        <c:lblAlgn val="ctr"/>
        <c:lblOffset val="100"/>
        <c:tickLblSkip val="1"/>
        <c:noMultiLvlLbl val="0"/>
      </c:catAx>
      <c:valAx>
        <c:axId val="9671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</a:p>
            </c:rich>
          </c:tx>
          <c:layout>
            <c:manualLayout>
              <c:xMode val="edge"/>
              <c:yMode val="edge"/>
              <c:x val="0.10583333333333332"/>
              <c:y val="4.57746913580246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865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26025641025644"/>
          <c:y val="0.5200848765432099"/>
          <c:w val="0.4162260683760684"/>
          <c:h val="0.37439197530864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64068659056247E-2"/>
          <c:y val="5.3951293237252285E-2"/>
          <c:w val="0.93043593134094371"/>
          <c:h val="0.730063117446249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'G10, G11'!$A$3</c:f>
              <c:strCache>
                <c:ptCount val="1"/>
                <c:pt idx="0">
                  <c:v>Spotreba domácností</c:v>
                </c:pt>
              </c:strCache>
            </c:strRef>
          </c:tx>
          <c:spPr>
            <a:solidFill>
              <a:srgbClr val="DEBE85"/>
            </a:solidFill>
            <a:ln>
              <a:noFill/>
            </a:ln>
            <a:effectLst/>
          </c:spPr>
          <c:invertIfNegative val="0"/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G11'!$B$3:$I$3</c:f>
              <c:numCache>
                <c:formatCode>0.0%</c:formatCode>
                <c:ptCount val="8"/>
                <c:pt idx="0">
                  <c:v>-4.3350350681967713E-3</c:v>
                </c:pt>
                <c:pt idx="1">
                  <c:v>7.3305090065520209E-3</c:v>
                </c:pt>
                <c:pt idx="2">
                  <c:v>1.1761064265670031E-2</c:v>
                </c:pt>
                <c:pt idx="3">
                  <c:v>1.3964457435988668E-2</c:v>
                </c:pt>
                <c:pt idx="4">
                  <c:v>1.6895127930211824E-2</c:v>
                </c:pt>
                <c:pt idx="5">
                  <c:v>1.501615924268291E-2</c:v>
                </c:pt>
                <c:pt idx="6">
                  <c:v>1.4569781658848127E-2</c:v>
                </c:pt>
                <c:pt idx="7">
                  <c:v>1.447162391130867E-2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2-4929-9801-4C6D6390D0AD}"/>
            </c:ext>
          </c:extLst>
        </c:ser>
        <c:ser>
          <c:idx val="2"/>
          <c:order val="1"/>
          <c:tx>
            <c:strRef>
              <c:f>'G10, G11'!$A$4</c:f>
              <c:strCache>
                <c:ptCount val="1"/>
                <c:pt idx="0">
                  <c:v>Verejná správa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G11'!$B$4:$I$4</c:f>
              <c:numCache>
                <c:formatCode>0.0%</c:formatCode>
                <c:ptCount val="8"/>
                <c:pt idx="0">
                  <c:v>3.8975674535420613E-3</c:v>
                </c:pt>
                <c:pt idx="1">
                  <c:v>9.3852834626227902E-3</c:v>
                </c:pt>
                <c:pt idx="2">
                  <c:v>1.0073542289192121E-2</c:v>
                </c:pt>
                <c:pt idx="3">
                  <c:v>2.9701598291112124E-3</c:v>
                </c:pt>
                <c:pt idx="4">
                  <c:v>6.7737283874849349E-4</c:v>
                </c:pt>
                <c:pt idx="5">
                  <c:v>2.4134388982567511E-3</c:v>
                </c:pt>
                <c:pt idx="6">
                  <c:v>2.7737890801678025E-3</c:v>
                </c:pt>
                <c:pt idx="7">
                  <c:v>2.650745950106166E-3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2-4929-9801-4C6D6390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1578968"/>
        <c:axId val="591579752"/>
      </c:barChart>
      <c:lineChart>
        <c:grouping val="standard"/>
        <c:varyColors val="0"/>
        <c:ser>
          <c:idx val="4"/>
          <c:order val="2"/>
          <c:tx>
            <c:strRef>
              <c:f>'G10, G11'!$A$5</c:f>
              <c:strCache>
                <c:ptCount val="1"/>
                <c:pt idx="0">
                  <c:v>rast HDP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G11'!$B$5:$I$5</c:f>
              <c:numCache>
                <c:formatCode>0.0%</c:formatCode>
                <c:ptCount val="8"/>
                <c:pt idx="0">
                  <c:v>1.4906461212620403E-2</c:v>
                </c:pt>
                <c:pt idx="1">
                  <c:v>2.7503009623821573E-2</c:v>
                </c:pt>
                <c:pt idx="2">
                  <c:v>3.8500752800431082E-2</c:v>
                </c:pt>
                <c:pt idx="3">
                  <c:v>3.32469651293823E-2</c:v>
                </c:pt>
                <c:pt idx="4">
                  <c:v>3.3344437711642083E-2</c:v>
                </c:pt>
                <c:pt idx="5">
                  <c:v>4.1662564708083938E-2</c:v>
                </c:pt>
                <c:pt idx="6">
                  <c:v>4.3734515982513322E-2</c:v>
                </c:pt>
                <c:pt idx="7">
                  <c:v>3.8783375877819326E-2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2-4929-9801-4C6D6390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578968"/>
        <c:axId val="591579752"/>
      </c:lineChart>
      <c:catAx>
        <c:axId val="59157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9752"/>
        <c:crosses val="autoZero"/>
        <c:auto val="1"/>
        <c:lblAlgn val="ctr"/>
        <c:lblOffset val="0"/>
        <c:noMultiLvlLbl val="0"/>
      </c:catAx>
      <c:valAx>
        <c:axId val="591579752"/>
        <c:scaling>
          <c:orientation val="minMax"/>
          <c:max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42426494972043E-2"/>
          <c:y val="5.3951293237252285E-2"/>
          <c:w val="0.88879005269068534"/>
          <c:h val="0.67743150087910353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'G10, G11'!$A$6</c:f>
              <c:strCache>
                <c:ptCount val="1"/>
                <c:pt idx="0">
                  <c:v>Hrubé investície</c:v>
                </c:pt>
              </c:strCache>
            </c:strRef>
          </c:tx>
          <c:spPr>
            <a:solidFill>
              <a:srgbClr val="FFCC99"/>
            </a:solidFill>
            <a:ln>
              <a:noFill/>
            </a:ln>
            <a:effectLst/>
          </c:spPr>
          <c:invertIfNegative val="0"/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G11'!$B$6:$I$6</c:f>
              <c:numCache>
                <c:formatCode>0.0%</c:formatCode>
                <c:ptCount val="8"/>
                <c:pt idx="0">
                  <c:v>3.8536791167967845E-3</c:v>
                </c:pt>
                <c:pt idx="1">
                  <c:v>1.6870632906801422E-2</c:v>
                </c:pt>
                <c:pt idx="2">
                  <c:v>3.1788678261648717E-2</c:v>
                </c:pt>
                <c:pt idx="3">
                  <c:v>-8.6176468281255417E-3</c:v>
                </c:pt>
                <c:pt idx="4">
                  <c:v>1.0896611029892048E-2</c:v>
                </c:pt>
                <c:pt idx="5">
                  <c:v>8.2671097677353422E-3</c:v>
                </c:pt>
                <c:pt idx="6">
                  <c:v>6.1076360702764553E-3</c:v>
                </c:pt>
                <c:pt idx="7">
                  <c:v>6.4873576758808817E-3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7-4ABF-953D-1EDEC1E204A6}"/>
            </c:ext>
          </c:extLst>
        </c:ser>
        <c:ser>
          <c:idx val="4"/>
          <c:order val="2"/>
          <c:tx>
            <c:strRef>
              <c:f>'G10, G11'!$A$7</c:f>
              <c:strCache>
                <c:ptCount val="1"/>
                <c:pt idx="0">
                  <c:v>Čistý export</c:v>
                </c:pt>
              </c:strCache>
            </c:strRef>
          </c:tx>
          <c:spPr>
            <a:solidFill>
              <a:srgbClr val="00B0F0"/>
            </a:solidFill>
            <a:ln w="12700">
              <a:noFill/>
              <a:prstDash val="dash"/>
            </a:ln>
            <a:effectLst/>
          </c:spPr>
          <c:invertIfNegative val="0"/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G11'!$B$7:$I$7</c:f>
              <c:numCache>
                <c:formatCode>0.0%</c:formatCode>
                <c:ptCount val="8"/>
                <c:pt idx="0">
                  <c:v>1.2665324533013923E-2</c:v>
                </c:pt>
                <c:pt idx="1">
                  <c:v>-5.0288268256175814E-3</c:v>
                </c:pt>
                <c:pt idx="2">
                  <c:v>-1.3570772065062769E-2</c:v>
                </c:pt>
                <c:pt idx="3">
                  <c:v>2.6191528246586021E-2</c:v>
                </c:pt>
                <c:pt idx="4">
                  <c:v>5.5826410719405223E-3</c:v>
                </c:pt>
                <c:pt idx="5">
                  <c:v>1.5706122856958854E-2</c:v>
                </c:pt>
                <c:pt idx="6">
                  <c:v>2.0258974339131548E-2</c:v>
                </c:pt>
                <c:pt idx="7">
                  <c:v>1.5161397561549821E-2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7-4ABF-953D-1EDEC1E2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overlap val="100"/>
        <c:axId val="591578968"/>
        <c:axId val="591579752"/>
      </c:barChart>
      <c:lineChart>
        <c:grouping val="standard"/>
        <c:varyColors val="0"/>
        <c:ser>
          <c:idx val="0"/>
          <c:order val="0"/>
          <c:tx>
            <c:strRef>
              <c:f>'G10, G11'!$A$5</c:f>
              <c:strCache>
                <c:ptCount val="1"/>
                <c:pt idx="0">
                  <c:v>rast HDP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G11'!$B$5:$I$5</c:f>
              <c:numCache>
                <c:formatCode>0.0%</c:formatCode>
                <c:ptCount val="8"/>
                <c:pt idx="0">
                  <c:v>1.4906461212620403E-2</c:v>
                </c:pt>
                <c:pt idx="1">
                  <c:v>2.7503009623821573E-2</c:v>
                </c:pt>
                <c:pt idx="2">
                  <c:v>3.8500752800431082E-2</c:v>
                </c:pt>
                <c:pt idx="3">
                  <c:v>3.32469651293823E-2</c:v>
                </c:pt>
                <c:pt idx="4">
                  <c:v>3.3344437711642083E-2</c:v>
                </c:pt>
                <c:pt idx="5">
                  <c:v>4.1662564708083938E-2</c:v>
                </c:pt>
                <c:pt idx="6">
                  <c:v>4.3734515982513322E-2</c:v>
                </c:pt>
                <c:pt idx="7">
                  <c:v>3.8783375877819326E-2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7-4ABF-953D-1EDEC1E204A6}"/>
            </c:ext>
          </c:extLst>
        </c:ser>
        <c:ser>
          <c:idx val="1"/>
          <c:order val="3"/>
          <c:tx>
            <c:strRef>
              <c:f>'G10, G11'!$A$8</c:f>
              <c:strCache>
                <c:ptCount val="1"/>
                <c:pt idx="0">
                  <c:v>rast HDP (bez autom. priem.)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7-4ABF-953D-1EDEC1E204A6}"/>
                </c:ext>
              </c:extLst>
            </c:dLbl>
            <c:dLbl>
              <c:idx val="3"/>
              <c:layout>
                <c:manualLayout>
                  <c:x val="-5.6762686888469097E-2"/>
                  <c:y val="2.4062330094777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7-4ABF-953D-1EDEC1E20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'G10, G11'!$B$2:$I$2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'G10, G11'!$B$8:$I$8</c:f>
              <c:numCache>
                <c:formatCode>0.0%</c:formatCode>
                <c:ptCount val="8"/>
                <c:pt idx="1">
                  <c:v>2.7503009623821573E-2</c:v>
                </c:pt>
                <c:pt idx="2">
                  <c:v>3.5500752800431086E-2</c:v>
                </c:pt>
                <c:pt idx="3">
                  <c:v>3.0246965129382301E-2</c:v>
                </c:pt>
                <c:pt idx="4">
                  <c:v>3.2844437711642083E-2</c:v>
                </c:pt>
                <c:pt idx="5">
                  <c:v>3.6362564708083939E-2</c:v>
                </c:pt>
                <c:pt idx="6">
                  <c:v>3.4834515982513324E-2</c:v>
                </c:pt>
                <c:pt idx="7">
                  <c:v>3.4183375877819326E-2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E7-4ABF-953D-1EDEC1E2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578968"/>
        <c:axId val="591579752"/>
      </c:lineChart>
      <c:catAx>
        <c:axId val="59157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9752"/>
        <c:crosses val="autoZero"/>
        <c:auto val="1"/>
        <c:lblAlgn val="ctr"/>
        <c:lblOffset val="0"/>
        <c:noMultiLvlLbl val="0"/>
      </c:catAx>
      <c:valAx>
        <c:axId val="591579752"/>
        <c:scaling>
          <c:orientation val="minMax"/>
          <c:max val="4.5000000000000012E-2"/>
          <c:min val="-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9157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0921877657884E-3"/>
          <c:y val="0.86693656647507089"/>
          <c:w val="0.98897082217751842"/>
          <c:h val="0.113353781020070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98952991452992"/>
          <c:y val="3.841750841750842E-2"/>
          <c:w val="0.85848888888888886"/>
          <c:h val="0.84905339506172839"/>
        </c:manualLayout>
      </c:layout>
      <c:lineChart>
        <c:grouping val="standard"/>
        <c:varyColors val="0"/>
        <c:ser>
          <c:idx val="0"/>
          <c:order val="0"/>
          <c:tx>
            <c:strRef>
              <c:f>'G12'!$A$3</c:f>
              <c:strCache>
                <c:ptCount val="1"/>
                <c:pt idx="0">
                  <c:v>Produkčná medzera, RRZ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'G12'!$B$2:$V$2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'G12'!$B$3:$V$3</c:f>
              <c:numCache>
                <c:formatCode>0.0</c:formatCode>
                <c:ptCount val="21"/>
                <c:pt idx="0">
                  <c:v>-1.3403964179323296</c:v>
                </c:pt>
                <c:pt idx="1">
                  <c:v>-1.0846795864358085</c:v>
                </c:pt>
                <c:pt idx="2">
                  <c:v>-0.99348297286372045</c:v>
                </c:pt>
                <c:pt idx="3">
                  <c:v>-0.74983636488363381</c:v>
                </c:pt>
                <c:pt idx="4">
                  <c:v>-1.0358869562702955</c:v>
                </c:pt>
                <c:pt idx="5">
                  <c:v>-0.68234073004500206</c:v>
                </c:pt>
                <c:pt idx="6">
                  <c:v>0.67943427249180699</c:v>
                </c:pt>
                <c:pt idx="7">
                  <c:v>3.4052381703396617</c:v>
                </c:pt>
                <c:pt idx="8">
                  <c:v>3.6349073452110212</c:v>
                </c:pt>
                <c:pt idx="9">
                  <c:v>-3.1077113835223376</c:v>
                </c:pt>
                <c:pt idx="10">
                  <c:v>-0.93882694959056023</c:v>
                </c:pt>
                <c:pt idx="11">
                  <c:v>-0.56513608600844512</c:v>
                </c:pt>
                <c:pt idx="12">
                  <c:v>-1.027275097787437</c:v>
                </c:pt>
                <c:pt idx="13">
                  <c:v>-1.571795011257995</c:v>
                </c:pt>
                <c:pt idx="14">
                  <c:v>-1.0101222626670623</c:v>
                </c:pt>
                <c:pt idx="15">
                  <c:v>-0.20198844470225594</c:v>
                </c:pt>
                <c:pt idx="16">
                  <c:v>0.15202482434424647</c:v>
                </c:pt>
                <c:pt idx="17">
                  <c:v>0.52175554039024741</c:v>
                </c:pt>
                <c:pt idx="18">
                  <c:v>0.83201056236194548</c:v>
                </c:pt>
                <c:pt idx="19">
                  <c:v>1.0095020270174031</c:v>
                </c:pt>
                <c:pt idx="20">
                  <c:v>0.60126887606129442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606-934D-14EC73CAA535}"/>
            </c:ext>
          </c:extLst>
        </c:ser>
        <c:ser>
          <c:idx val="1"/>
          <c:order val="1"/>
          <c:tx>
            <c:strRef>
              <c:f>'G12'!$A$4</c:f>
              <c:strCache>
                <c:ptCount val="1"/>
                <c:pt idx="0">
                  <c:v>Produkčná medzera, VpMP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'G12'!$B$2:$V$2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'G12'!$B$4:$V$4</c:f>
              <c:numCache>
                <c:formatCode>0.0</c:formatCode>
                <c:ptCount val="21"/>
                <c:pt idx="0">
                  <c:v>-1.3287960600396604</c:v>
                </c:pt>
                <c:pt idx="1">
                  <c:v>-1.3503859443255672</c:v>
                </c:pt>
                <c:pt idx="2">
                  <c:v>-1.1251347827135303</c:v>
                </c:pt>
                <c:pt idx="3">
                  <c:v>-0.66158016512855411</c:v>
                </c:pt>
                <c:pt idx="4">
                  <c:v>-1.3264983456888684</c:v>
                </c:pt>
                <c:pt idx="5">
                  <c:v>-1.7628294460214422</c:v>
                </c:pt>
                <c:pt idx="6">
                  <c:v>-1.1260288491925134</c:v>
                </c:pt>
                <c:pt idx="7">
                  <c:v>2.1611949793378669</c:v>
                </c:pt>
                <c:pt idx="8">
                  <c:v>2.4331977154343649</c:v>
                </c:pt>
                <c:pt idx="9">
                  <c:v>-4.4903640946039252</c:v>
                </c:pt>
                <c:pt idx="10">
                  <c:v>-1.0377285646708476</c:v>
                </c:pt>
                <c:pt idx="11">
                  <c:v>-0.79757498961619122</c:v>
                </c:pt>
                <c:pt idx="12">
                  <c:v>-1.1492135150198222</c:v>
                </c:pt>
                <c:pt idx="13">
                  <c:v>-1.9531714805497817</c:v>
                </c:pt>
                <c:pt idx="14">
                  <c:v>-1.5715085583752106</c:v>
                </c:pt>
                <c:pt idx="15">
                  <c:v>-0.75531757863283056</c:v>
                </c:pt>
                <c:pt idx="16">
                  <c:v>-0.20997029082948238</c:v>
                </c:pt>
                <c:pt idx="17">
                  <c:v>0.1538964153457161</c:v>
                </c:pt>
                <c:pt idx="18">
                  <c:v>0.76466660384759766</c:v>
                </c:pt>
                <c:pt idx="19">
                  <c:v>1.3475754184047233</c:v>
                </c:pt>
                <c:pt idx="20">
                  <c:v>1.3407115494943964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606-934D-14EC73CA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198656"/>
        <c:axId val="967199216"/>
      </c:lineChart>
      <c:catAx>
        <c:axId val="96719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lg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9216"/>
        <c:crosses val="autoZero"/>
        <c:auto val="1"/>
        <c:lblAlgn val="ctr"/>
        <c:lblOffset val="100"/>
        <c:noMultiLvlLbl val="0"/>
      </c:catAx>
      <c:valAx>
        <c:axId val="9671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</a:p>
            </c:rich>
          </c:tx>
          <c:layout>
            <c:manualLayout>
              <c:xMode val="edge"/>
              <c:yMode val="edge"/>
              <c:x val="0.10583333333333332"/>
              <c:y val="4.57746913580246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95636752136752"/>
          <c:y val="4.1875000000000002E-2"/>
          <c:w val="0.50629230769230771"/>
          <c:h val="0.14507253086419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30362504105737E-2"/>
          <c:y val="5.0731783769699015E-2"/>
          <c:w val="0.85757281900969706"/>
          <c:h val="0.73860530243321654"/>
        </c:manualLayout>
      </c:layout>
      <c:areaChart>
        <c:grouping val="standard"/>
        <c:varyColors val="0"/>
        <c:ser>
          <c:idx val="1"/>
          <c:order val="2"/>
          <c:tx>
            <c:strRef>
              <c:f>'G13'!$A$5</c:f>
              <c:strCache>
                <c:ptCount val="1"/>
                <c:pt idx="0">
                  <c:v>Nedostatok zamestnancov v odvetviach (pravá os)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 w="25400">
              <a:noFill/>
            </a:ln>
            <a:effectLst/>
          </c:spPr>
          <c:cat>
            <c:strRef>
              <c:f>'G13'!$B$2:$BH$2</c:f>
              <c:strCache>
                <c:ptCount val="59"/>
                <c:pt idx="0">
                  <c:v>2003Q1</c:v>
                </c:pt>
                <c:pt idx="1">
                  <c:v>2003Q2</c:v>
                </c:pt>
                <c:pt idx="2">
                  <c:v>2003Q3</c:v>
                </c:pt>
                <c:pt idx="3">
                  <c:v>2003Q4</c:v>
                </c:pt>
                <c:pt idx="4">
                  <c:v>2004Q1</c:v>
                </c:pt>
                <c:pt idx="5">
                  <c:v>2004Q2</c:v>
                </c:pt>
                <c:pt idx="6">
                  <c:v>2004Q3</c:v>
                </c:pt>
                <c:pt idx="7">
                  <c:v>2004Q4</c:v>
                </c:pt>
                <c:pt idx="8">
                  <c:v>2005Q1</c:v>
                </c:pt>
                <c:pt idx="9">
                  <c:v>2005Q2</c:v>
                </c:pt>
                <c:pt idx="10">
                  <c:v>2005Q3</c:v>
                </c:pt>
                <c:pt idx="11">
                  <c:v>2005Q4</c:v>
                </c:pt>
                <c:pt idx="12">
                  <c:v>2006Q1</c:v>
                </c:pt>
                <c:pt idx="13">
                  <c:v>2006Q2</c:v>
                </c:pt>
                <c:pt idx="14">
                  <c:v>2006Q3</c:v>
                </c:pt>
                <c:pt idx="15">
                  <c:v>2006Q4</c:v>
                </c:pt>
                <c:pt idx="16">
                  <c:v>2007Q1</c:v>
                </c:pt>
                <c:pt idx="17">
                  <c:v>2007Q2</c:v>
                </c:pt>
                <c:pt idx="18">
                  <c:v>2007Q3</c:v>
                </c:pt>
                <c:pt idx="19">
                  <c:v>2007Q4</c:v>
                </c:pt>
                <c:pt idx="20">
                  <c:v>2008Q1</c:v>
                </c:pt>
                <c:pt idx="21">
                  <c:v>2008Q2</c:v>
                </c:pt>
                <c:pt idx="22">
                  <c:v>2008Q3</c:v>
                </c:pt>
                <c:pt idx="23">
                  <c:v>2008Q4</c:v>
                </c:pt>
                <c:pt idx="24">
                  <c:v>2009Q1</c:v>
                </c:pt>
                <c:pt idx="25">
                  <c:v>2009Q2</c:v>
                </c:pt>
                <c:pt idx="26">
                  <c:v>2009Q3</c:v>
                </c:pt>
                <c:pt idx="27">
                  <c:v>2009Q4</c:v>
                </c:pt>
                <c:pt idx="28">
                  <c:v>2010Q1</c:v>
                </c:pt>
                <c:pt idx="29">
                  <c:v>2010Q2</c:v>
                </c:pt>
                <c:pt idx="30">
                  <c:v>2010Q3</c:v>
                </c:pt>
                <c:pt idx="31">
                  <c:v>2010Q4</c:v>
                </c:pt>
                <c:pt idx="32">
                  <c:v>2011Q1</c:v>
                </c:pt>
                <c:pt idx="33">
                  <c:v>2011Q2</c:v>
                </c:pt>
                <c:pt idx="34">
                  <c:v>2011Q3</c:v>
                </c:pt>
                <c:pt idx="35">
                  <c:v>2011Q4</c:v>
                </c:pt>
                <c:pt idx="36">
                  <c:v>2012Q1</c:v>
                </c:pt>
                <c:pt idx="37">
                  <c:v>2012Q2</c:v>
                </c:pt>
                <c:pt idx="38">
                  <c:v>2012Q3</c:v>
                </c:pt>
                <c:pt idx="39">
                  <c:v>2012Q4</c:v>
                </c:pt>
                <c:pt idx="40">
                  <c:v>2013Q1</c:v>
                </c:pt>
                <c:pt idx="41">
                  <c:v>2013Q2</c:v>
                </c:pt>
                <c:pt idx="42">
                  <c:v>2013Q3</c:v>
                </c:pt>
                <c:pt idx="43">
                  <c:v>2013Q4</c:v>
                </c:pt>
                <c:pt idx="44">
                  <c:v>2014Q1</c:v>
                </c:pt>
                <c:pt idx="45">
                  <c:v>2014Q2</c:v>
                </c:pt>
                <c:pt idx="46">
                  <c:v>2014Q3</c:v>
                </c:pt>
                <c:pt idx="47">
                  <c:v>2014Q4</c:v>
                </c:pt>
                <c:pt idx="48">
                  <c:v>2015Q1</c:v>
                </c:pt>
                <c:pt idx="49">
                  <c:v>2015Q2</c:v>
                </c:pt>
                <c:pt idx="50">
                  <c:v>2015Q3</c:v>
                </c:pt>
                <c:pt idx="51">
                  <c:v>2015Q4</c:v>
                </c:pt>
                <c:pt idx="52">
                  <c:v>2016Q1</c:v>
                </c:pt>
                <c:pt idx="53">
                  <c:v>2016Q2</c:v>
                </c:pt>
                <c:pt idx="54">
                  <c:v>2016Q3</c:v>
                </c:pt>
                <c:pt idx="55">
                  <c:v>2016Q4</c:v>
                </c:pt>
                <c:pt idx="56">
                  <c:v>2017Q1</c:v>
                </c:pt>
                <c:pt idx="57">
                  <c:v>2017Q2</c:v>
                </c:pt>
                <c:pt idx="58">
                  <c:v>2017Q3</c:v>
                </c:pt>
              </c:strCache>
            </c:strRef>
          </c:cat>
          <c:val>
            <c:numRef>
              <c:f>'G13'!$B$5:$BH$5</c:f>
              <c:numCache>
                <c:formatCode>0.0</c:formatCode>
                <c:ptCount val="59"/>
                <c:pt idx="0">
                  <c:v>2.0579478105512257</c:v>
                </c:pt>
                <c:pt idx="1">
                  <c:v>2.3357937127014408</c:v>
                </c:pt>
                <c:pt idx="2">
                  <c:v>1.6719007694225452</c:v>
                </c:pt>
                <c:pt idx="3">
                  <c:v>2.2111261841580578</c:v>
                </c:pt>
                <c:pt idx="4">
                  <c:v>0.37927961921573144</c:v>
                </c:pt>
                <c:pt idx="5">
                  <c:v>0.50955770033441405</c:v>
                </c:pt>
                <c:pt idx="6">
                  <c:v>1.338758685526684</c:v>
                </c:pt>
                <c:pt idx="7">
                  <c:v>1.0401625069468408</c:v>
                </c:pt>
                <c:pt idx="8">
                  <c:v>1.7572048438309311</c:v>
                </c:pt>
                <c:pt idx="9">
                  <c:v>1.848174519837734</c:v>
                </c:pt>
                <c:pt idx="10">
                  <c:v>2.0281396208552112</c:v>
                </c:pt>
                <c:pt idx="11">
                  <c:v>1.7562315129554857</c:v>
                </c:pt>
                <c:pt idx="12">
                  <c:v>2.9610914620797173</c:v>
                </c:pt>
                <c:pt idx="13">
                  <c:v>3.3212340961409144</c:v>
                </c:pt>
                <c:pt idx="14">
                  <c:v>5.0152009477864192</c:v>
                </c:pt>
                <c:pt idx="15">
                  <c:v>5.6832577499487593</c:v>
                </c:pt>
                <c:pt idx="16">
                  <c:v>7.2845908702486515</c:v>
                </c:pt>
                <c:pt idx="17">
                  <c:v>6.8982736197732653</c:v>
                </c:pt>
                <c:pt idx="18">
                  <c:v>11.333227392056472</c:v>
                </c:pt>
                <c:pt idx="19">
                  <c:v>10.157729008383043</c:v>
                </c:pt>
                <c:pt idx="20">
                  <c:v>12.168253287764493</c:v>
                </c:pt>
                <c:pt idx="21">
                  <c:v>11.464739643157863</c:v>
                </c:pt>
                <c:pt idx="22">
                  <c:v>11.354092984154565</c:v>
                </c:pt>
                <c:pt idx="23">
                  <c:v>8.2759088887250556</c:v>
                </c:pt>
                <c:pt idx="24">
                  <c:v>4.0420005479870511</c:v>
                </c:pt>
                <c:pt idx="25">
                  <c:v>3.9344161482713957</c:v>
                </c:pt>
                <c:pt idx="26">
                  <c:v>1.2719553664261891</c:v>
                </c:pt>
                <c:pt idx="27">
                  <c:v>2.2770211816987649</c:v>
                </c:pt>
                <c:pt idx="28">
                  <c:v>2.0275899250625224</c:v>
                </c:pt>
                <c:pt idx="29">
                  <c:v>2.6673326410679743</c:v>
                </c:pt>
                <c:pt idx="30">
                  <c:v>2.1335915137211638</c:v>
                </c:pt>
                <c:pt idx="31">
                  <c:v>3.3857616503834871</c:v>
                </c:pt>
                <c:pt idx="32">
                  <c:v>3.1712023923233552</c:v>
                </c:pt>
                <c:pt idx="33">
                  <c:v>2.7275700812825678</c:v>
                </c:pt>
                <c:pt idx="34">
                  <c:v>2.5476114518410391</c:v>
                </c:pt>
                <c:pt idx="35">
                  <c:v>3.0702142517264019</c:v>
                </c:pt>
                <c:pt idx="36">
                  <c:v>3.9683589117747955</c:v>
                </c:pt>
                <c:pt idx="37">
                  <c:v>3.2459038495414578</c:v>
                </c:pt>
                <c:pt idx="38">
                  <c:v>2.3735813704429063</c:v>
                </c:pt>
                <c:pt idx="39">
                  <c:v>2.0328696193508993</c:v>
                </c:pt>
                <c:pt idx="40">
                  <c:v>2.495329685950145</c:v>
                </c:pt>
                <c:pt idx="41">
                  <c:v>2.3238396058935309</c:v>
                </c:pt>
                <c:pt idx="42">
                  <c:v>1.9210108939531056</c:v>
                </c:pt>
                <c:pt idx="43">
                  <c:v>3.8712830140100367</c:v>
                </c:pt>
                <c:pt idx="44">
                  <c:v>3.5238853332597553</c:v>
                </c:pt>
                <c:pt idx="45">
                  <c:v>4.2151580257711618</c:v>
                </c:pt>
                <c:pt idx="46">
                  <c:v>4.7613051545836189</c:v>
                </c:pt>
                <c:pt idx="47">
                  <c:v>4.8000561402802902</c:v>
                </c:pt>
                <c:pt idx="48">
                  <c:v>5.0562667967055193</c:v>
                </c:pt>
                <c:pt idx="49">
                  <c:v>6.1663562062077784</c:v>
                </c:pt>
                <c:pt idx="50">
                  <c:v>7.2834609746712067</c:v>
                </c:pt>
                <c:pt idx="51">
                  <c:v>8.6045687987259782</c:v>
                </c:pt>
                <c:pt idx="52">
                  <c:v>7.3423434681392283</c:v>
                </c:pt>
                <c:pt idx="53">
                  <c:v>8.8826123285055285</c:v>
                </c:pt>
                <c:pt idx="54">
                  <c:v>10.486812404988861</c:v>
                </c:pt>
                <c:pt idx="55">
                  <c:v>11.276676921513832</c:v>
                </c:pt>
                <c:pt idx="56">
                  <c:v>12.823236610378169</c:v>
                </c:pt>
                <c:pt idx="57">
                  <c:v>14.203824780055172</c:v>
                </c:pt>
                <c:pt idx="58">
                  <c:v>15.843919717931861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C87-AE24-C2776F18B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529296"/>
        <c:axId val="1300256544"/>
      </c:areaChart>
      <c:lineChart>
        <c:grouping val="standard"/>
        <c:varyColors val="0"/>
        <c:ser>
          <c:idx val="2"/>
          <c:order val="0"/>
          <c:tx>
            <c:strRef>
              <c:f>'G13'!$A$3</c:f>
              <c:strCache>
                <c:ptCount val="1"/>
                <c:pt idx="0">
                  <c:v>Miera voľných pracovných miest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'G13'!$B$2:$BH$2</c:f>
              <c:strCache>
                <c:ptCount val="59"/>
                <c:pt idx="0">
                  <c:v>2003Q1</c:v>
                </c:pt>
                <c:pt idx="1">
                  <c:v>2003Q2</c:v>
                </c:pt>
                <c:pt idx="2">
                  <c:v>2003Q3</c:v>
                </c:pt>
                <c:pt idx="3">
                  <c:v>2003Q4</c:v>
                </c:pt>
                <c:pt idx="4">
                  <c:v>2004Q1</c:v>
                </c:pt>
                <c:pt idx="5">
                  <c:v>2004Q2</c:v>
                </c:pt>
                <c:pt idx="6">
                  <c:v>2004Q3</c:v>
                </c:pt>
                <c:pt idx="7">
                  <c:v>2004Q4</c:v>
                </c:pt>
                <c:pt idx="8">
                  <c:v>2005Q1</c:v>
                </c:pt>
                <c:pt idx="9">
                  <c:v>2005Q2</c:v>
                </c:pt>
                <c:pt idx="10">
                  <c:v>2005Q3</c:v>
                </c:pt>
                <c:pt idx="11">
                  <c:v>2005Q4</c:v>
                </c:pt>
                <c:pt idx="12">
                  <c:v>2006Q1</c:v>
                </c:pt>
                <c:pt idx="13">
                  <c:v>2006Q2</c:v>
                </c:pt>
                <c:pt idx="14">
                  <c:v>2006Q3</c:v>
                </c:pt>
                <c:pt idx="15">
                  <c:v>2006Q4</c:v>
                </c:pt>
                <c:pt idx="16">
                  <c:v>2007Q1</c:v>
                </c:pt>
                <c:pt idx="17">
                  <c:v>2007Q2</c:v>
                </c:pt>
                <c:pt idx="18">
                  <c:v>2007Q3</c:v>
                </c:pt>
                <c:pt idx="19">
                  <c:v>2007Q4</c:v>
                </c:pt>
                <c:pt idx="20">
                  <c:v>2008Q1</c:v>
                </c:pt>
                <c:pt idx="21">
                  <c:v>2008Q2</c:v>
                </c:pt>
                <c:pt idx="22">
                  <c:v>2008Q3</c:v>
                </c:pt>
                <c:pt idx="23">
                  <c:v>2008Q4</c:v>
                </c:pt>
                <c:pt idx="24">
                  <c:v>2009Q1</c:v>
                </c:pt>
                <c:pt idx="25">
                  <c:v>2009Q2</c:v>
                </c:pt>
                <c:pt idx="26">
                  <c:v>2009Q3</c:v>
                </c:pt>
                <c:pt idx="27">
                  <c:v>2009Q4</c:v>
                </c:pt>
                <c:pt idx="28">
                  <c:v>2010Q1</c:v>
                </c:pt>
                <c:pt idx="29">
                  <c:v>2010Q2</c:v>
                </c:pt>
                <c:pt idx="30">
                  <c:v>2010Q3</c:v>
                </c:pt>
                <c:pt idx="31">
                  <c:v>2010Q4</c:v>
                </c:pt>
                <c:pt idx="32">
                  <c:v>2011Q1</c:v>
                </c:pt>
                <c:pt idx="33">
                  <c:v>2011Q2</c:v>
                </c:pt>
                <c:pt idx="34">
                  <c:v>2011Q3</c:v>
                </c:pt>
                <c:pt idx="35">
                  <c:v>2011Q4</c:v>
                </c:pt>
                <c:pt idx="36">
                  <c:v>2012Q1</c:v>
                </c:pt>
                <c:pt idx="37">
                  <c:v>2012Q2</c:v>
                </c:pt>
                <c:pt idx="38">
                  <c:v>2012Q3</c:v>
                </c:pt>
                <c:pt idx="39">
                  <c:v>2012Q4</c:v>
                </c:pt>
                <c:pt idx="40">
                  <c:v>2013Q1</c:v>
                </c:pt>
                <c:pt idx="41">
                  <c:v>2013Q2</c:v>
                </c:pt>
                <c:pt idx="42">
                  <c:v>2013Q3</c:v>
                </c:pt>
                <c:pt idx="43">
                  <c:v>2013Q4</c:v>
                </c:pt>
                <c:pt idx="44">
                  <c:v>2014Q1</c:v>
                </c:pt>
                <c:pt idx="45">
                  <c:v>2014Q2</c:v>
                </c:pt>
                <c:pt idx="46">
                  <c:v>2014Q3</c:v>
                </c:pt>
                <c:pt idx="47">
                  <c:v>2014Q4</c:v>
                </c:pt>
                <c:pt idx="48">
                  <c:v>2015Q1</c:v>
                </c:pt>
                <c:pt idx="49">
                  <c:v>2015Q2</c:v>
                </c:pt>
                <c:pt idx="50">
                  <c:v>2015Q3</c:v>
                </c:pt>
                <c:pt idx="51">
                  <c:v>2015Q4</c:v>
                </c:pt>
                <c:pt idx="52">
                  <c:v>2016Q1</c:v>
                </c:pt>
                <c:pt idx="53">
                  <c:v>2016Q2</c:v>
                </c:pt>
                <c:pt idx="54">
                  <c:v>2016Q3</c:v>
                </c:pt>
                <c:pt idx="55">
                  <c:v>2016Q4</c:v>
                </c:pt>
                <c:pt idx="56">
                  <c:v>2017Q1</c:v>
                </c:pt>
                <c:pt idx="57">
                  <c:v>2017Q2</c:v>
                </c:pt>
                <c:pt idx="58">
                  <c:v>2017Q3</c:v>
                </c:pt>
              </c:strCache>
            </c:strRef>
          </c:cat>
          <c:val>
            <c:numRef>
              <c:f>'G13'!$B$3:$BH$3</c:f>
              <c:numCache>
                <c:formatCode>0.0</c:formatCode>
                <c:ptCount val="59"/>
                <c:pt idx="4">
                  <c:v>4.3045125127382136</c:v>
                </c:pt>
                <c:pt idx="5">
                  <c:v>4.0393275843998593</c:v>
                </c:pt>
                <c:pt idx="6">
                  <c:v>4.1798485218910164</c:v>
                </c:pt>
                <c:pt idx="7">
                  <c:v>4.8031018214325112</c:v>
                </c:pt>
                <c:pt idx="8">
                  <c:v>4.9069598693861218</c:v>
                </c:pt>
                <c:pt idx="9">
                  <c:v>5.1271215987801266</c:v>
                </c:pt>
                <c:pt idx="10">
                  <c:v>5.6601561191998826</c:v>
                </c:pt>
                <c:pt idx="11">
                  <c:v>5.6394888998079198</c:v>
                </c:pt>
                <c:pt idx="12">
                  <c:v>5.7848317003252951</c:v>
                </c:pt>
                <c:pt idx="13">
                  <c:v>6.9901601062904941</c:v>
                </c:pt>
                <c:pt idx="14">
                  <c:v>7.211397271041518</c:v>
                </c:pt>
                <c:pt idx="15">
                  <c:v>7.5519382685997698</c:v>
                </c:pt>
                <c:pt idx="16">
                  <c:v>7.9549358224466191</c:v>
                </c:pt>
                <c:pt idx="17">
                  <c:v>8.2305350459897184</c:v>
                </c:pt>
                <c:pt idx="18">
                  <c:v>8.4804051606590782</c:v>
                </c:pt>
                <c:pt idx="19">
                  <c:v>8.6047650334093344</c:v>
                </c:pt>
                <c:pt idx="20">
                  <c:v>10.655017504171324</c:v>
                </c:pt>
                <c:pt idx="21">
                  <c:v>9.6506667455535808</c:v>
                </c:pt>
                <c:pt idx="22">
                  <c:v>9.3858469499970667</c:v>
                </c:pt>
                <c:pt idx="23">
                  <c:v>8.3844275954112479</c:v>
                </c:pt>
                <c:pt idx="24">
                  <c:v>7.7193493505938866</c:v>
                </c:pt>
                <c:pt idx="25">
                  <c:v>6.8273128133088621</c:v>
                </c:pt>
                <c:pt idx="26">
                  <c:v>6.0097748584352626</c:v>
                </c:pt>
                <c:pt idx="27">
                  <c:v>5.4382622909090612</c:v>
                </c:pt>
                <c:pt idx="28">
                  <c:v>4.9373232905332163</c:v>
                </c:pt>
                <c:pt idx="29">
                  <c:v>4.8676621131825808</c:v>
                </c:pt>
                <c:pt idx="30">
                  <c:v>5.0651169193130929</c:v>
                </c:pt>
                <c:pt idx="31">
                  <c:v>5.2065504942330572</c:v>
                </c:pt>
                <c:pt idx="32">
                  <c:v>5.3593156317252992</c:v>
                </c:pt>
                <c:pt idx="33">
                  <c:v>5.3808091636438764</c:v>
                </c:pt>
                <c:pt idx="34">
                  <c:v>5.3848440596501925</c:v>
                </c:pt>
                <c:pt idx="35">
                  <c:v>5.2546103047945385</c:v>
                </c:pt>
                <c:pt idx="36">
                  <c:v>5.2952932285677132</c:v>
                </c:pt>
                <c:pt idx="37">
                  <c:v>5.2817746583316163</c:v>
                </c:pt>
                <c:pt idx="38">
                  <c:v>5.0744686167965103</c:v>
                </c:pt>
                <c:pt idx="39">
                  <c:v>5.2321527423554253</c:v>
                </c:pt>
                <c:pt idx="40">
                  <c:v>5.4501587402280904</c:v>
                </c:pt>
                <c:pt idx="41">
                  <c:v>5.414989731860433</c:v>
                </c:pt>
                <c:pt idx="42">
                  <c:v>5.7962018958768464</c:v>
                </c:pt>
                <c:pt idx="43">
                  <c:v>5.5949067070487795</c:v>
                </c:pt>
                <c:pt idx="44">
                  <c:v>5.8143610483095518</c:v>
                </c:pt>
                <c:pt idx="45">
                  <c:v>6.1007733507413606</c:v>
                </c:pt>
                <c:pt idx="46">
                  <c:v>5.7919778654147391</c:v>
                </c:pt>
                <c:pt idx="47">
                  <c:v>5.9493105987720396</c:v>
                </c:pt>
                <c:pt idx="48">
                  <c:v>6.130160364662264</c:v>
                </c:pt>
                <c:pt idx="49">
                  <c:v>6.0069512613696965</c:v>
                </c:pt>
                <c:pt idx="50">
                  <c:v>6.4978202813039303</c:v>
                </c:pt>
                <c:pt idx="51">
                  <c:v>6.8796443445775148</c:v>
                </c:pt>
                <c:pt idx="52">
                  <c:v>7.1410466033043392</c:v>
                </c:pt>
                <c:pt idx="53">
                  <c:v>7.4112668687670036</c:v>
                </c:pt>
                <c:pt idx="54">
                  <c:v>7.4448296205727198</c:v>
                </c:pt>
                <c:pt idx="55">
                  <c:v>7.3734739676698773</c:v>
                </c:pt>
                <c:pt idx="56">
                  <c:v>7.152869980183322</c:v>
                </c:pt>
                <c:pt idx="57">
                  <c:v>7.3113622197241286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0-4C87-AE24-C2776F18BCEA}"/>
            </c:ext>
          </c:extLst>
        </c:ser>
        <c:ser>
          <c:idx val="0"/>
          <c:order val="1"/>
          <c:tx>
            <c:strRef>
              <c:f>'G13'!$A$4</c:f>
              <c:strCache>
                <c:ptCount val="1"/>
                <c:pt idx="0">
                  <c:v>Miera nezamestnanosti (z celk. počtu nezamestnaných)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'G13'!$B$2:$BH$2</c:f>
              <c:strCache>
                <c:ptCount val="59"/>
                <c:pt idx="0">
                  <c:v>2003Q1</c:v>
                </c:pt>
                <c:pt idx="1">
                  <c:v>2003Q2</c:v>
                </c:pt>
                <c:pt idx="2">
                  <c:v>2003Q3</c:v>
                </c:pt>
                <c:pt idx="3">
                  <c:v>2003Q4</c:v>
                </c:pt>
                <c:pt idx="4">
                  <c:v>2004Q1</c:v>
                </c:pt>
                <c:pt idx="5">
                  <c:v>2004Q2</c:v>
                </c:pt>
                <c:pt idx="6">
                  <c:v>2004Q3</c:v>
                </c:pt>
                <c:pt idx="7">
                  <c:v>2004Q4</c:v>
                </c:pt>
                <c:pt idx="8">
                  <c:v>2005Q1</c:v>
                </c:pt>
                <c:pt idx="9">
                  <c:v>2005Q2</c:v>
                </c:pt>
                <c:pt idx="10">
                  <c:v>2005Q3</c:v>
                </c:pt>
                <c:pt idx="11">
                  <c:v>2005Q4</c:v>
                </c:pt>
                <c:pt idx="12">
                  <c:v>2006Q1</c:v>
                </c:pt>
                <c:pt idx="13">
                  <c:v>2006Q2</c:v>
                </c:pt>
                <c:pt idx="14">
                  <c:v>2006Q3</c:v>
                </c:pt>
                <c:pt idx="15">
                  <c:v>2006Q4</c:v>
                </c:pt>
                <c:pt idx="16">
                  <c:v>2007Q1</c:v>
                </c:pt>
                <c:pt idx="17">
                  <c:v>2007Q2</c:v>
                </c:pt>
                <c:pt idx="18">
                  <c:v>2007Q3</c:v>
                </c:pt>
                <c:pt idx="19">
                  <c:v>2007Q4</c:v>
                </c:pt>
                <c:pt idx="20">
                  <c:v>2008Q1</c:v>
                </c:pt>
                <c:pt idx="21">
                  <c:v>2008Q2</c:v>
                </c:pt>
                <c:pt idx="22">
                  <c:v>2008Q3</c:v>
                </c:pt>
                <c:pt idx="23">
                  <c:v>2008Q4</c:v>
                </c:pt>
                <c:pt idx="24">
                  <c:v>2009Q1</c:v>
                </c:pt>
                <c:pt idx="25">
                  <c:v>2009Q2</c:v>
                </c:pt>
                <c:pt idx="26">
                  <c:v>2009Q3</c:v>
                </c:pt>
                <c:pt idx="27">
                  <c:v>2009Q4</c:v>
                </c:pt>
                <c:pt idx="28">
                  <c:v>2010Q1</c:v>
                </c:pt>
                <c:pt idx="29">
                  <c:v>2010Q2</c:v>
                </c:pt>
                <c:pt idx="30">
                  <c:v>2010Q3</c:v>
                </c:pt>
                <c:pt idx="31">
                  <c:v>2010Q4</c:v>
                </c:pt>
                <c:pt idx="32">
                  <c:v>2011Q1</c:v>
                </c:pt>
                <c:pt idx="33">
                  <c:v>2011Q2</c:v>
                </c:pt>
                <c:pt idx="34">
                  <c:v>2011Q3</c:v>
                </c:pt>
                <c:pt idx="35">
                  <c:v>2011Q4</c:v>
                </c:pt>
                <c:pt idx="36">
                  <c:v>2012Q1</c:v>
                </c:pt>
                <c:pt idx="37">
                  <c:v>2012Q2</c:v>
                </c:pt>
                <c:pt idx="38">
                  <c:v>2012Q3</c:v>
                </c:pt>
                <c:pt idx="39">
                  <c:v>2012Q4</c:v>
                </c:pt>
                <c:pt idx="40">
                  <c:v>2013Q1</c:v>
                </c:pt>
                <c:pt idx="41">
                  <c:v>2013Q2</c:v>
                </c:pt>
                <c:pt idx="42">
                  <c:v>2013Q3</c:v>
                </c:pt>
                <c:pt idx="43">
                  <c:v>2013Q4</c:v>
                </c:pt>
                <c:pt idx="44">
                  <c:v>2014Q1</c:v>
                </c:pt>
                <c:pt idx="45">
                  <c:v>2014Q2</c:v>
                </c:pt>
                <c:pt idx="46">
                  <c:v>2014Q3</c:v>
                </c:pt>
                <c:pt idx="47">
                  <c:v>2014Q4</c:v>
                </c:pt>
                <c:pt idx="48">
                  <c:v>2015Q1</c:v>
                </c:pt>
                <c:pt idx="49">
                  <c:v>2015Q2</c:v>
                </c:pt>
                <c:pt idx="50">
                  <c:v>2015Q3</c:v>
                </c:pt>
                <c:pt idx="51">
                  <c:v>2015Q4</c:v>
                </c:pt>
                <c:pt idx="52">
                  <c:v>2016Q1</c:v>
                </c:pt>
                <c:pt idx="53">
                  <c:v>2016Q2</c:v>
                </c:pt>
                <c:pt idx="54">
                  <c:v>2016Q3</c:v>
                </c:pt>
                <c:pt idx="55">
                  <c:v>2016Q4</c:v>
                </c:pt>
                <c:pt idx="56">
                  <c:v>2017Q1</c:v>
                </c:pt>
                <c:pt idx="57">
                  <c:v>2017Q2</c:v>
                </c:pt>
                <c:pt idx="58">
                  <c:v>2017Q3</c:v>
                </c:pt>
              </c:strCache>
            </c:strRef>
          </c:cat>
          <c:val>
            <c:numRef>
              <c:f>'G13'!$B$4:$BH$4</c:f>
              <c:numCache>
                <c:formatCode>0.0</c:formatCode>
                <c:ptCount val="59"/>
                <c:pt idx="0">
                  <c:v>18.114419079336553</c:v>
                </c:pt>
                <c:pt idx="1">
                  <c:v>17.255965854336498</c:v>
                </c:pt>
                <c:pt idx="2">
                  <c:v>16.661890845902988</c:v>
                </c:pt>
                <c:pt idx="3">
                  <c:v>16.666203026073209</c:v>
                </c:pt>
                <c:pt idx="4">
                  <c:v>17.188215874890435</c:v>
                </c:pt>
                <c:pt idx="5">
                  <c:v>16.580080076436815</c:v>
                </c:pt>
                <c:pt idx="6">
                  <c:v>15.630668291795791</c:v>
                </c:pt>
                <c:pt idx="7">
                  <c:v>14.833983737951591</c:v>
                </c:pt>
                <c:pt idx="8">
                  <c:v>14.149281392046044</c:v>
                </c:pt>
                <c:pt idx="9">
                  <c:v>13.109980509301268</c:v>
                </c:pt>
                <c:pt idx="10">
                  <c:v>12.723065491678559</c:v>
                </c:pt>
                <c:pt idx="11">
                  <c:v>12.671761003407093</c:v>
                </c:pt>
                <c:pt idx="12">
                  <c:v>12.662450807478132</c:v>
                </c:pt>
                <c:pt idx="13">
                  <c:v>12.07895627268141</c:v>
                </c:pt>
                <c:pt idx="14">
                  <c:v>11.334483298909413</c:v>
                </c:pt>
                <c:pt idx="15">
                  <c:v>10.69186819245062</c:v>
                </c:pt>
                <c:pt idx="16">
                  <c:v>10.049223423868019</c:v>
                </c:pt>
                <c:pt idx="17">
                  <c:v>9.6913327352219376</c:v>
                </c:pt>
                <c:pt idx="18">
                  <c:v>9.577007663613939</c:v>
                </c:pt>
                <c:pt idx="19">
                  <c:v>9.2715231436760455</c:v>
                </c:pt>
                <c:pt idx="20">
                  <c:v>8.6797147592426853</c:v>
                </c:pt>
                <c:pt idx="21">
                  <c:v>8.6102586404019856</c:v>
                </c:pt>
                <c:pt idx="22">
                  <c:v>8.7996464489058024</c:v>
                </c:pt>
                <c:pt idx="23">
                  <c:v>9.2550684065006337</c:v>
                </c:pt>
                <c:pt idx="24">
                  <c:v>10.607480276567209</c:v>
                </c:pt>
                <c:pt idx="25">
                  <c:v>12.763640633021657</c:v>
                </c:pt>
                <c:pt idx="26">
                  <c:v>13.709897765997063</c:v>
                </c:pt>
                <c:pt idx="27">
                  <c:v>14.251211413722109</c:v>
                </c:pt>
                <c:pt idx="28">
                  <c:v>14.311851777304625</c:v>
                </c:pt>
                <c:pt idx="29">
                  <c:v>14.153626493909769</c:v>
                </c:pt>
                <c:pt idx="30">
                  <c:v>14.095244911660691</c:v>
                </c:pt>
                <c:pt idx="31">
                  <c:v>14.117215353066234</c:v>
                </c:pt>
                <c:pt idx="32">
                  <c:v>14.383778197939906</c:v>
                </c:pt>
                <c:pt idx="33">
                  <c:v>14.442152811382302</c:v>
                </c:pt>
                <c:pt idx="34">
                  <c:v>14.675673745016688</c:v>
                </c:pt>
                <c:pt idx="35">
                  <c:v>14.851395604775268</c:v>
                </c:pt>
                <c:pt idx="36">
                  <c:v>14.809614549250064</c:v>
                </c:pt>
                <c:pt idx="37">
                  <c:v>14.75041986903638</c:v>
                </c:pt>
                <c:pt idx="38">
                  <c:v>14.981946187406878</c:v>
                </c:pt>
                <c:pt idx="39">
                  <c:v>15.535931388470585</c:v>
                </c:pt>
                <c:pt idx="40">
                  <c:v>15.770025325571346</c:v>
                </c:pt>
                <c:pt idx="41">
                  <c:v>15.613797810480094</c:v>
                </c:pt>
                <c:pt idx="42">
                  <c:v>15.21955908036513</c:v>
                </c:pt>
                <c:pt idx="43">
                  <c:v>14.882049148902894</c:v>
                </c:pt>
                <c:pt idx="44">
                  <c:v>14.550081574493694</c:v>
                </c:pt>
                <c:pt idx="45">
                  <c:v>14.445591565076391</c:v>
                </c:pt>
                <c:pt idx="46">
                  <c:v>14.236336429380616</c:v>
                </c:pt>
                <c:pt idx="47">
                  <c:v>13.911474902418851</c:v>
                </c:pt>
                <c:pt idx="48">
                  <c:v>13.654669042061398</c:v>
                </c:pt>
                <c:pt idx="49">
                  <c:v>13.296278586017905</c:v>
                </c:pt>
                <c:pt idx="50">
                  <c:v>13.045877853989404</c:v>
                </c:pt>
                <c:pt idx="51">
                  <c:v>12.562480854917922</c:v>
                </c:pt>
                <c:pt idx="52">
                  <c:v>11.736627612581627</c:v>
                </c:pt>
                <c:pt idx="53">
                  <c:v>11.309328742338108</c:v>
                </c:pt>
                <c:pt idx="54">
                  <c:v>10.963410221437178</c:v>
                </c:pt>
                <c:pt idx="55">
                  <c:v>10.309756007554631</c:v>
                </c:pt>
                <c:pt idx="56">
                  <c:v>9.5461385117785067</c:v>
                </c:pt>
                <c:pt idx="57">
                  <c:v>8.7759301023568614</c:v>
                </c:pt>
                <c:pt idx="58">
                  <c:v>7.8227050257128212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0-4C87-AE24-C2776F18B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628624"/>
        <c:axId val="824634896"/>
      </c:lineChart>
      <c:valAx>
        <c:axId val="8246348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5.0352628816477493E-2"/>
              <c:y val="1.0537209005339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24628624"/>
        <c:crosses val="max"/>
        <c:crossBetween val="between"/>
      </c:valAx>
      <c:catAx>
        <c:axId val="82462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24634896"/>
        <c:crosses val="autoZero"/>
        <c:auto val="1"/>
        <c:lblAlgn val="ctr"/>
        <c:lblOffset val="100"/>
        <c:noMultiLvlLbl val="0"/>
      </c:catAx>
      <c:valAx>
        <c:axId val="130025654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55529296"/>
        <c:crosses val="autoZero"/>
        <c:crossBetween val="between"/>
      </c:valAx>
      <c:catAx>
        <c:axId val="125552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025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2828456780934085E-2"/>
          <c:y val="1.2185036734001264E-3"/>
          <c:w val="0.8674277777777778"/>
          <c:h val="0.188666510153773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143919510061238E-2"/>
          <c:y val="0.13717158435898202"/>
          <c:w val="0.893413167104112"/>
          <c:h val="0.7517800379119277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'G14'!$C$2</c:f>
              <c:strCache>
                <c:ptCount val="1"/>
                <c:pt idx="0">
                  <c:v>Produktivita faktorov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bg1"/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'G14'!$A$3:$A$11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2016F</c:v>
                </c:pt>
                <c:pt idx="5">
                  <c:v>2017F</c:v>
                </c:pt>
                <c:pt idx="6">
                  <c:v>2018F</c:v>
                </c:pt>
                <c:pt idx="7">
                  <c:v>2019F</c:v>
                </c:pt>
                <c:pt idx="8">
                  <c:v>2020F</c:v>
                </c:pt>
              </c:strCache>
            </c:strRef>
          </c:cat>
          <c:val>
            <c:numRef>
              <c:f>'G14'!$C$3:$C$11</c:f>
              <c:numCache>
                <c:formatCode>0.0</c:formatCode>
                <c:ptCount val="9"/>
                <c:pt idx="0">
                  <c:v>1.3976905521890366</c:v>
                </c:pt>
                <c:pt idx="1">
                  <c:v>1.4311620873222657</c:v>
                </c:pt>
                <c:pt idx="2">
                  <c:v>1.6905105274826557</c:v>
                </c:pt>
                <c:pt idx="3">
                  <c:v>2.0294869006392515</c:v>
                </c:pt>
                <c:pt idx="4">
                  <c:v>1.806400125110085</c:v>
                </c:pt>
                <c:pt idx="5">
                  <c:v>2.0361454078111905</c:v>
                </c:pt>
                <c:pt idx="6">
                  <c:v>2.6494684867799139</c:v>
                </c:pt>
                <c:pt idx="7">
                  <c:v>2.7931376067206539</c:v>
                </c:pt>
                <c:pt idx="8">
                  <c:v>2.8485387994211422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2-4E99-8489-A5A5D348E89F}"/>
            </c:ext>
          </c:extLst>
        </c:ser>
        <c:ser>
          <c:idx val="1"/>
          <c:order val="2"/>
          <c:tx>
            <c:strRef>
              <c:f>'G14'!$D$2</c:f>
              <c:strCache>
                <c:ptCount val="1"/>
                <c:pt idx="0">
                  <c:v>Zásoba kapitálu</c:v>
                </c:pt>
              </c:strCache>
            </c:strRef>
          </c:tx>
          <c:spPr>
            <a:solidFill>
              <a:srgbClr val="00B0F0"/>
            </a:solidFill>
            <a:ln w="12700">
              <a:noFill/>
            </a:ln>
            <a:effectLst/>
          </c:spPr>
          <c:invertIfNegative val="0"/>
          <c:cat>
            <c:strRef>
              <c:f>'G14'!$A$3:$A$11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2016F</c:v>
                </c:pt>
                <c:pt idx="5">
                  <c:v>2017F</c:v>
                </c:pt>
                <c:pt idx="6">
                  <c:v>2018F</c:v>
                </c:pt>
                <c:pt idx="7">
                  <c:v>2019F</c:v>
                </c:pt>
                <c:pt idx="8">
                  <c:v>2020F</c:v>
                </c:pt>
              </c:strCache>
            </c:strRef>
          </c:cat>
          <c:val>
            <c:numRef>
              <c:f>'G14'!$D$3:$D$11</c:f>
              <c:numCache>
                <c:formatCode>0.0</c:formatCode>
                <c:ptCount val="9"/>
                <c:pt idx="0">
                  <c:v>0.80620908434713912</c:v>
                </c:pt>
                <c:pt idx="1">
                  <c:v>0.55406952388935193</c:v>
                </c:pt>
                <c:pt idx="2">
                  <c:v>0.4672090966082636</c:v>
                </c:pt>
                <c:pt idx="3">
                  <c:v>0.64992627276023207</c:v>
                </c:pt>
                <c:pt idx="4">
                  <c:v>0.70466387507695594</c:v>
                </c:pt>
                <c:pt idx="5">
                  <c:v>0.53440670345777141</c:v>
                </c:pt>
                <c:pt idx="6">
                  <c:v>0.68731793690974907</c:v>
                </c:pt>
                <c:pt idx="7">
                  <c:v>0.77569481158930054</c:v>
                </c:pt>
                <c:pt idx="8">
                  <c:v>0.86168302657427787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2-4E99-8489-A5A5D348E89F}"/>
            </c:ext>
          </c:extLst>
        </c:ser>
        <c:ser>
          <c:idx val="3"/>
          <c:order val="3"/>
          <c:tx>
            <c:strRef>
              <c:f>'G14'!$E$2</c:f>
              <c:strCache>
                <c:ptCount val="1"/>
                <c:pt idx="0">
                  <c:v> Práca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'G14'!$A$3:$A$11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2016F</c:v>
                </c:pt>
                <c:pt idx="5">
                  <c:v>2017F</c:v>
                </c:pt>
                <c:pt idx="6">
                  <c:v>2018F</c:v>
                </c:pt>
                <c:pt idx="7">
                  <c:v>2019F</c:v>
                </c:pt>
                <c:pt idx="8">
                  <c:v>2020F</c:v>
                </c:pt>
              </c:strCache>
            </c:strRef>
          </c:cat>
          <c:val>
            <c:numRef>
              <c:f>'G14'!$E$3:$E$11</c:f>
              <c:numCache>
                <c:formatCode>0.0</c:formatCode>
                <c:ptCount val="9"/>
                <c:pt idx="0">
                  <c:v>0.14743997968755981</c:v>
                </c:pt>
                <c:pt idx="1">
                  <c:v>8.7714913339971057E-2</c:v>
                </c:pt>
                <c:pt idx="2">
                  <c:v>0.19248912295742412</c:v>
                </c:pt>
                <c:pt idx="3">
                  <c:v>0.2780094964094344</c:v>
                </c:pt>
                <c:pt idx="4">
                  <c:v>0.30522445436184664</c:v>
                </c:pt>
                <c:pt idx="5">
                  <c:v>0.26234767559862043</c:v>
                </c:pt>
                <c:pt idx="6">
                  <c:v>0.20595882502581039</c:v>
                </c:pt>
                <c:pt idx="7">
                  <c:v>0.19096124234608683</c:v>
                </c:pt>
                <c:pt idx="8">
                  <c:v>0.18675223158849286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2-4E99-8489-A5A5D348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2"/>
        <c:overlap val="100"/>
        <c:axId val="948161568"/>
        <c:axId val="948162688"/>
      </c:barChart>
      <c:lineChart>
        <c:grouping val="standard"/>
        <c:varyColors val="0"/>
        <c:ser>
          <c:idx val="0"/>
          <c:order val="0"/>
          <c:tx>
            <c:strRef>
              <c:f>'G14'!$B$2</c:f>
              <c:strCache>
                <c:ptCount val="1"/>
                <c:pt idx="0">
                  <c:v>Potenciány rast HDP (%)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'G14'!$A$3:$A$11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2016F</c:v>
                </c:pt>
                <c:pt idx="5">
                  <c:v>2017F</c:v>
                </c:pt>
                <c:pt idx="6">
                  <c:v>2018F</c:v>
                </c:pt>
                <c:pt idx="7">
                  <c:v>2019F</c:v>
                </c:pt>
                <c:pt idx="8">
                  <c:v>2020F</c:v>
                </c:pt>
              </c:strCache>
            </c:strRef>
          </c:cat>
          <c:val>
            <c:numRef>
              <c:f>'G14'!$B$3:$B$11</c:f>
              <c:numCache>
                <c:formatCode>0.0</c:formatCode>
                <c:ptCount val="9"/>
                <c:pt idx="0">
                  <c:v>2.3513396162237354</c:v>
                </c:pt>
                <c:pt idx="1">
                  <c:v>2.0729465245515888</c:v>
                </c:pt>
                <c:pt idx="2">
                  <c:v>2.3502087470483435</c:v>
                </c:pt>
                <c:pt idx="3">
                  <c:v>2.9574226698089179</c:v>
                </c:pt>
                <c:pt idx="4">
                  <c:v>2.8162884545488875</c:v>
                </c:pt>
                <c:pt idx="5">
                  <c:v>2.832899786867582</c:v>
                </c:pt>
                <c:pt idx="6">
                  <c:v>3.5427452487154731</c:v>
                </c:pt>
                <c:pt idx="7">
                  <c:v>3.7597936606560411</c:v>
                </c:pt>
                <c:pt idx="8">
                  <c:v>3.8969740575839129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2-4E99-8489-A5A5D348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61568"/>
        <c:axId val="948162688"/>
      </c:lineChart>
      <c:catAx>
        <c:axId val="9481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2688"/>
        <c:crosses val="autoZero"/>
        <c:auto val="1"/>
        <c:lblAlgn val="ctr"/>
        <c:lblOffset val="1"/>
        <c:noMultiLvlLbl val="0"/>
      </c:catAx>
      <c:valAx>
        <c:axId val="9481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555555555555561E-2"/>
          <c:y val="4.912510936132982E-2"/>
          <c:w val="0.45555555555555555"/>
          <c:h val="0.294117818606007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38034188034184E-2"/>
          <c:y val="4.831111111111111E-2"/>
          <c:w val="0.88402094017094013"/>
          <c:h val="0.85852901234567902"/>
        </c:manualLayout>
      </c:layout>
      <c:areaChart>
        <c:grouping val="stacked"/>
        <c:varyColors val="0"/>
        <c:ser>
          <c:idx val="1"/>
          <c:order val="1"/>
          <c:tx>
            <c:strRef>
              <c:f>'G15'!$A$4</c:f>
              <c:strCache>
                <c:ptCount val="1"/>
                <c:pt idx="0">
                  <c:v>Fiškálne scenáre návrhu rozpočtu (min)</c:v>
                </c:pt>
              </c:strCache>
            </c:strRef>
          </c:tx>
          <c:spPr>
            <a:solidFill>
              <a:schemeClr val="bg1">
                <a:alpha val="59000"/>
              </a:schemeClr>
            </a:solidFill>
            <a:ln>
              <a:noFill/>
            </a:ln>
            <a:effectLst/>
          </c:spPr>
          <c:cat>
            <c:numRef>
              <c:f>'G15'!$B$2:$F$2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'G15'!$B$4:$F$4</c:f>
              <c:numCache>
                <c:formatCode>0.0</c:formatCode>
                <c:ptCount val="5"/>
                <c:pt idx="0">
                  <c:v>3.3</c:v>
                </c:pt>
                <c:pt idx="1">
                  <c:v>3.8745018671230866</c:v>
                </c:pt>
                <c:pt idx="2">
                  <c:v>3.0962044897680556</c:v>
                </c:pt>
                <c:pt idx="3">
                  <c:v>4.785396439412466</c:v>
                </c:pt>
                <c:pt idx="4">
                  <c:v>3.9891623924391979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D-4074-8031-610933ED7801}"/>
            </c:ext>
          </c:extLst>
        </c:ser>
        <c:ser>
          <c:idx val="2"/>
          <c:order val="2"/>
          <c:tx>
            <c:strRef>
              <c:f>'G15'!$A$5</c:f>
              <c:strCache>
                <c:ptCount val="1"/>
                <c:pt idx="0">
                  <c:v>Fiškálne scenáre návrhu rozpočtu</c:v>
                </c:pt>
              </c:strCache>
            </c:strRef>
          </c:tx>
          <c:spPr>
            <a:solidFill>
              <a:srgbClr val="FF0000"/>
            </a:solidFill>
            <a:ln w="63500" cap="flat">
              <a:noFill/>
              <a:bevel/>
            </a:ln>
            <a:effectLst/>
          </c:spPr>
          <c:cat>
            <c:numRef>
              <c:f>'G15'!$B$2:$F$2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'G15'!$B$5:$F$5</c:f>
              <c:numCache>
                <c:formatCode>0.0</c:formatCode>
                <c:ptCount val="5"/>
                <c:pt idx="0">
                  <c:v>0</c:v>
                </c:pt>
                <c:pt idx="1">
                  <c:v>1.7091068283434652E-3</c:v>
                </c:pt>
                <c:pt idx="2">
                  <c:v>0.43105872753675101</c:v>
                </c:pt>
                <c:pt idx="3">
                  <c:v>5.0557807744880279E-2</c:v>
                </c:pt>
                <c:pt idx="4">
                  <c:v>0.16967730182933849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D-4074-8031-610933ED7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654336"/>
        <c:axId val="796659328"/>
      </c:areaChart>
      <c:lineChart>
        <c:grouping val="standard"/>
        <c:varyColors val="0"/>
        <c:ser>
          <c:idx val="0"/>
          <c:order val="0"/>
          <c:tx>
            <c:strRef>
              <c:f>'G15'!$A$3</c:f>
              <c:strCache>
                <c:ptCount val="1"/>
                <c:pt idx="0">
                  <c:v>Oficiálna prognóza VpMP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'G15'!$B$2:$F$2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'G15'!$B$3:$F$3</c:f>
              <c:numCache>
                <c:formatCode>0.0</c:formatCode>
                <c:ptCount val="5"/>
                <c:pt idx="0">
                  <c:v>3.3</c:v>
                </c:pt>
                <c:pt idx="1">
                  <c:v>3.3344437711642083</c:v>
                </c:pt>
                <c:pt idx="2">
                  <c:v>4.1662564708083938</c:v>
                </c:pt>
                <c:pt idx="3">
                  <c:v>4.3734515982513322</c:v>
                </c:pt>
                <c:pt idx="4">
                  <c:v>3.8783375877819326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D-4074-8031-610933ED7801}"/>
            </c:ext>
          </c:extLst>
        </c:ser>
        <c:ser>
          <c:idx val="3"/>
          <c:order val="3"/>
          <c:tx>
            <c:strRef>
              <c:f>'G15'!$A$6</c:f>
              <c:strCache>
                <c:ptCount val="1"/>
                <c:pt idx="0">
                  <c:v>RRZ scenár po zohľadnení rizík</c:v>
                </c:pt>
              </c:strCache>
            </c:strRef>
          </c:tx>
          <c:spPr>
            <a:ln w="508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'G15'!$B$2:$F$2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'G15'!$B$6:$F$6</c:f>
              <c:numCache>
                <c:formatCode>0.0</c:formatCode>
                <c:ptCount val="5"/>
                <c:pt idx="0">
                  <c:v>3.3</c:v>
                </c:pt>
                <c:pt idx="1">
                  <c:v>3.6415267961227897</c:v>
                </c:pt>
                <c:pt idx="2">
                  <c:v>4.1832018875693819</c:v>
                </c:pt>
                <c:pt idx="3">
                  <c:v>4.4182239294301269</c:v>
                </c:pt>
                <c:pt idx="4">
                  <c:v>4.1203114650990074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1D-4074-8031-610933ED7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654336"/>
        <c:axId val="796659328"/>
      </c:lineChart>
      <c:catAx>
        <c:axId val="796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9328"/>
        <c:crosses val="autoZero"/>
        <c:auto val="1"/>
        <c:lblAlgn val="ctr"/>
        <c:lblOffset val="100"/>
        <c:noMultiLvlLbl val="0"/>
      </c:catAx>
      <c:valAx>
        <c:axId val="796659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96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2860702126747003"/>
          <c:y val="0.66036316733840805"/>
          <c:w val="0.72425373181865094"/>
          <c:h val="0.23519878495092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036745406826E-2"/>
          <c:y val="0.11574074074074074"/>
          <c:w val="0.84698293963254578"/>
          <c:h val="0.83333333333333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'T37'!$B$2:$F$2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'T37'!$B$9:$F$9</c:f>
              <c:numCache>
                <c:formatCode>0.00</c:formatCode>
                <c:ptCount val="5"/>
                <c:pt idx="0">
                  <c:v>-0.18158389879380521</c:v>
                </c:pt>
                <c:pt idx="1">
                  <c:v>-0.11390685245266813</c:v>
                </c:pt>
                <c:pt idx="2">
                  <c:v>6.6002370030385046E-2</c:v>
                </c:pt>
                <c:pt idx="3">
                  <c:v>-6.0612731040221492E-3</c:v>
                </c:pt>
                <c:pt idx="4">
                  <c:v>-5.7164359384860933E-3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1-43E5-AB04-66816F65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826096"/>
        <c:axId val="457826488"/>
      </c:barChart>
      <c:catAx>
        <c:axId val="45782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6488"/>
        <c:crosses val="autoZero"/>
        <c:auto val="1"/>
        <c:lblAlgn val="ctr"/>
        <c:lblOffset val="100"/>
        <c:noMultiLvlLbl val="0"/>
      </c:catAx>
      <c:valAx>
        <c:axId val="45782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6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70299145299147E-2"/>
          <c:y val="4.831111111111111E-2"/>
          <c:w val="0.8867487179487179"/>
          <c:h val="0.8389302469135802"/>
        </c:manualLayout>
      </c:layout>
      <c:areaChart>
        <c:grouping val="standard"/>
        <c:varyColors val="0"/>
        <c:ser>
          <c:idx val="0"/>
          <c:order val="1"/>
          <c:tx>
            <c:strRef>
              <c:f>'G16'!$A$4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'G16'!$B$2:$I$2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'G16'!$B$4:$I$4</c:f>
              <c:numCache>
                <c:formatCode>0.00</c:formatCode>
                <c:ptCount val="8"/>
                <c:pt idx="0">
                  <c:v>1.9224864492967839</c:v>
                </c:pt>
                <c:pt idx="1">
                  <c:v>1.4416732728363768</c:v>
                </c:pt>
                <c:pt idx="2">
                  <c:v>0.58530535468013056</c:v>
                </c:pt>
                <c:pt idx="3">
                  <c:v>0.9428897101999838</c:v>
                </c:pt>
                <c:pt idx="4">
                  <c:v>0.7906461212620457</c:v>
                </c:pt>
                <c:pt idx="5">
                  <c:v>0.5503009623821411</c:v>
                </c:pt>
                <c:pt idx="6">
                  <c:v>0.7500752800431143</c:v>
                </c:pt>
                <c:pt idx="7">
                  <c:v>0.27530348706176833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6EB-B9D5-86EE514B28E5}"/>
            </c:ext>
          </c:extLst>
        </c:ser>
        <c:ser>
          <c:idx val="1"/>
          <c:order val="2"/>
          <c:tx>
            <c:strRef>
              <c:f>'G16'!$A$5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'G16'!$B$2:$I$2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'G16'!$B$5:$I$5</c:f>
              <c:numCache>
                <c:formatCode>0.00</c:formatCode>
                <c:ptCount val="8"/>
                <c:pt idx="0">
                  <c:v>2.2486449296783562E-2</c:v>
                </c:pt>
                <c:pt idx="1">
                  <c:v>0.74167327283637707</c:v>
                </c:pt>
                <c:pt idx="2">
                  <c:v>8.085806920373706E-2</c:v>
                </c:pt>
                <c:pt idx="3">
                  <c:v>0.34288971019998371</c:v>
                </c:pt>
                <c:pt idx="4">
                  <c:v>0.45437147659804555</c:v>
                </c:pt>
                <c:pt idx="5">
                  <c:v>5.0300962382141101E-2</c:v>
                </c:pt>
                <c:pt idx="6">
                  <c:v>0.35007528004311439</c:v>
                </c:pt>
                <c:pt idx="7">
                  <c:v>2.469651293823194E-2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6EB-B9D5-86EE514B2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214816"/>
        <c:axId val="1184649728"/>
      </c:areaChart>
      <c:lineChart>
        <c:grouping val="standard"/>
        <c:varyColors val="0"/>
        <c:ser>
          <c:idx val="2"/>
          <c:order val="0"/>
          <c:tx>
            <c:strRef>
              <c:f>'G16'!$A$3</c:f>
              <c:strCache>
                <c:ptCount val="1"/>
                <c:pt idx="0">
                  <c:v>medián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'G16'!$B$2:$I$2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'G16'!$B$3:$I$3</c:f>
              <c:numCache>
                <c:formatCode>0.00</c:formatCode>
                <c:ptCount val="8"/>
                <c:pt idx="0">
                  <c:v>0.35000000000000009</c:v>
                </c:pt>
                <c:pt idx="1">
                  <c:v>0.99167327283637707</c:v>
                </c:pt>
                <c:pt idx="2">
                  <c:v>0.25476164501483978</c:v>
                </c:pt>
                <c:pt idx="3">
                  <c:v>0.7387052825455569</c:v>
                </c:pt>
                <c:pt idx="4">
                  <c:v>0.62540753617501821</c:v>
                </c:pt>
                <c:pt idx="5">
                  <c:v>0.35030096238214137</c:v>
                </c:pt>
                <c:pt idx="6">
                  <c:v>0.65007528004311421</c:v>
                </c:pt>
                <c:pt idx="7">
                  <c:v>0.17530348706176824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3-46EB-B9D5-86EE514B2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14816"/>
        <c:axId val="1184649728"/>
      </c:lineChart>
      <c:catAx>
        <c:axId val="11272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84649728"/>
        <c:crosses val="autoZero"/>
        <c:auto val="1"/>
        <c:lblAlgn val="ctr"/>
        <c:lblOffset val="100"/>
        <c:noMultiLvlLbl val="0"/>
      </c:catAx>
      <c:valAx>
        <c:axId val="118464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p.b.</a:t>
                </a:r>
              </a:p>
            </c:rich>
          </c:tx>
          <c:layout>
            <c:manualLayout>
              <c:xMode val="edge"/>
              <c:yMode val="edge"/>
              <c:x val="5.9700854700854698E-2"/>
              <c:y val="3.51040123456789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27214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1126688034188039"/>
          <c:y val="0.16386018518518522"/>
          <c:w val="0.20899423076923077"/>
          <c:h val="0.16073765432098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073182028716997"/>
          <c:y val="4.7790277777777779E-2"/>
          <c:w val="0.81167708581881814"/>
          <c:h val="0.85557761801513932"/>
        </c:manualLayout>
      </c:layout>
      <c:areaChart>
        <c:grouping val="stacked"/>
        <c:varyColors val="0"/>
        <c:ser>
          <c:idx val="0"/>
          <c:order val="0"/>
          <c:tx>
            <c:strRef>
              <c:f>'G17'!$B$2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'G17'!$B$11:$B$15</c:f>
              <c:numCache>
                <c:formatCode>0.00</c:formatCode>
                <c:ptCount val="5"/>
                <c:pt idx="0">
                  <c:v>3.8500752800431144</c:v>
                </c:pt>
                <c:pt idx="1">
                  <c:v>3.3246965129382318</c:v>
                </c:pt>
                <c:pt idx="2">
                  <c:v>2.5538495144622724</c:v>
                </c:pt>
                <c:pt idx="3">
                  <c:v>2.463237905629462</c:v>
                </c:pt>
                <c:pt idx="4">
                  <c:v>2.5150509928498597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8-4B23-B4AC-D30A07C77874}"/>
            </c:ext>
          </c:extLst>
        </c:ser>
        <c:ser>
          <c:idx val="6"/>
          <c:order val="1"/>
          <c:tx>
            <c:strRef>
              <c:f>'G17'!$C$2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'G17'!$C$11:$C$15</c:f>
              <c:numCache>
                <c:formatCode>0.00</c:formatCode>
                <c:ptCount val="5"/>
                <c:pt idx="2">
                  <c:v>0.26796197649693621</c:v>
                </c:pt>
                <c:pt idx="3">
                  <c:v>0.58461129686555524</c:v>
                </c:pt>
                <c:pt idx="4">
                  <c:v>0.63795076004079743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8-4B23-B4AC-D30A07C77874}"/>
            </c:ext>
          </c:extLst>
        </c:ser>
        <c:ser>
          <c:idx val="7"/>
          <c:order val="2"/>
          <c:tx>
            <c:strRef>
              <c:f>'G17'!$D$2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FFC000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'G17'!$D$11:$D$15</c:f>
              <c:numCache>
                <c:formatCode>0.00</c:formatCode>
                <c:ptCount val="5"/>
                <c:pt idx="2">
                  <c:v>0.19321943764997163</c:v>
                </c:pt>
                <c:pt idx="3">
                  <c:v>0.42154587565327495</c:v>
                </c:pt>
                <c:pt idx="4">
                  <c:v>0.46000738132659758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38-4B23-B4AC-D30A07C77874}"/>
            </c:ext>
          </c:extLst>
        </c:ser>
        <c:ser>
          <c:idx val="8"/>
          <c:order val="3"/>
          <c:tx>
            <c:strRef>
              <c:f>'G17'!$E$2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'G17'!$E$11:$E$15</c:f>
              <c:numCache>
                <c:formatCode>0.00</c:formatCode>
                <c:ptCount val="5"/>
                <c:pt idx="2">
                  <c:v>0.16509888517958768</c:v>
                </c:pt>
                <c:pt idx="3">
                  <c:v>0.3601954077130034</c:v>
                </c:pt>
                <c:pt idx="4">
                  <c:v>0.39305934617708926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38-4B23-B4AC-D30A07C77874}"/>
            </c:ext>
          </c:extLst>
        </c:ser>
        <c:ser>
          <c:idx val="9"/>
          <c:order val="4"/>
          <c:tx>
            <c:strRef>
              <c:f>'G17'!$F$2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FFC000">
                <a:lumMod val="75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'G17'!$F$11:$F$15</c:f>
              <c:numCache>
                <c:formatCode>0.00</c:formatCode>
                <c:ptCount val="5"/>
                <c:pt idx="2">
                  <c:v>0.15431395737544032</c:v>
                </c:pt>
                <c:pt idx="3">
                  <c:v>0.33666598494709821</c:v>
                </c:pt>
                <c:pt idx="4">
                  <c:v>0.36738311785698807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38-4B23-B4AC-D30A07C77874}"/>
            </c:ext>
          </c:extLst>
        </c:ser>
        <c:ser>
          <c:idx val="1"/>
          <c:order val="5"/>
          <c:tx>
            <c:strRef>
              <c:f>'G17'!$G$2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FFC000">
                <a:lumMod val="75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'G17'!$G$11:$G$15</c:f>
              <c:numCache>
                <c:formatCode>0.00</c:formatCode>
                <c:ptCount val="5"/>
                <c:pt idx="2">
                  <c:v>0.15431395737544032</c:v>
                </c:pt>
                <c:pt idx="3">
                  <c:v>0.33666598494709821</c:v>
                </c:pt>
                <c:pt idx="4">
                  <c:v>0.36738311785698807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38-4B23-B4AC-D30A07C77874}"/>
            </c:ext>
          </c:extLst>
        </c:ser>
        <c:ser>
          <c:idx val="5"/>
          <c:order val="6"/>
          <c:tx>
            <c:strRef>
              <c:f>'G17'!$H$2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'G17'!$H$11:$H$15</c:f>
              <c:numCache>
                <c:formatCode>0.00</c:formatCode>
                <c:ptCount val="5"/>
                <c:pt idx="2">
                  <c:v>0.16509888517958768</c:v>
                </c:pt>
                <c:pt idx="3">
                  <c:v>0.3601954077130034</c:v>
                </c:pt>
                <c:pt idx="4">
                  <c:v>0.39305934617708926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38-4B23-B4AC-D30A07C77874}"/>
            </c:ext>
          </c:extLst>
        </c:ser>
        <c:ser>
          <c:idx val="2"/>
          <c:order val="7"/>
          <c:tx>
            <c:strRef>
              <c:f>'G17'!$I$2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FFC000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'G17'!$I$11:$I$15</c:f>
              <c:numCache>
                <c:formatCode>0.00</c:formatCode>
                <c:ptCount val="5"/>
                <c:pt idx="2">
                  <c:v>0.19321943764997163</c:v>
                </c:pt>
                <c:pt idx="3">
                  <c:v>0.42154587565327495</c:v>
                </c:pt>
                <c:pt idx="4">
                  <c:v>0.46000738132659758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38-4B23-B4AC-D30A07C77874}"/>
            </c:ext>
          </c:extLst>
        </c:ser>
        <c:ser>
          <c:idx val="3"/>
          <c:order val="8"/>
          <c:tx>
            <c:strRef>
              <c:f>'G17'!$J$2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 w="25400">
              <a:noFill/>
            </a:ln>
          </c:spP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'G17'!$J$11:$J$15</c:f>
              <c:numCache>
                <c:formatCode>0.00</c:formatCode>
                <c:ptCount val="5"/>
                <c:pt idx="2">
                  <c:v>0.26796197649693621</c:v>
                </c:pt>
                <c:pt idx="3">
                  <c:v>0.58461129686555524</c:v>
                </c:pt>
                <c:pt idx="4">
                  <c:v>0.63795076004079743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38-4B23-B4AC-D30A07C77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9"/>
          <c:tx>
            <c:strRef>
              <c:f>'G17'!$K$2</c:f>
              <c:strCache>
                <c:ptCount val="1"/>
                <c:pt idx="0">
                  <c:v>Prognóza VpMP (september 2017)</c:v>
                </c:pt>
              </c:strCache>
            </c:strRef>
          </c:tx>
          <c:marker>
            <c:symbol val="none"/>
          </c:marker>
          <c:cat>
            <c:numRef>
              <c:f>'G17'!$A$11:$A$15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'G17'!$K$11:$K$15</c:f>
              <c:numCache>
                <c:formatCode>0.00</c:formatCode>
                <c:ptCount val="5"/>
                <c:pt idx="0">
                  <c:v>3.8500752800431144</c:v>
                </c:pt>
                <c:pt idx="1">
                  <c:v>3.3246965129382318</c:v>
                </c:pt>
                <c:pt idx="2">
                  <c:v>3.3344437711642083</c:v>
                </c:pt>
                <c:pt idx="3">
                  <c:v>4.1662564708083938</c:v>
                </c:pt>
                <c:pt idx="4">
                  <c:v>4.3734515982513322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38-4B23-B4AC-D30A07C77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6.4986111111111113E-3"/>
              <c:y val="0.30953229166666668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7574650043744533"/>
          <c:y val="0.68020596383785359"/>
          <c:w val="0.65417546296296292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073182028716997"/>
          <c:y val="4.7790277777777779E-2"/>
          <c:w val="0.81167708581881814"/>
          <c:h val="0.85557761801513932"/>
        </c:manualLayout>
      </c:layout>
      <c:areaChart>
        <c:grouping val="stacked"/>
        <c:varyColors val="0"/>
        <c:ser>
          <c:idx val="0"/>
          <c:order val="0"/>
          <c:tx>
            <c:strRef>
              <c:f>'G17'!$B$2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'G17'!$B$3:$B$7</c:f>
              <c:numCache>
                <c:formatCode>0.00</c:formatCode>
                <c:ptCount val="5"/>
                <c:pt idx="0">
                  <c:v>3.8500752800431144</c:v>
                </c:pt>
                <c:pt idx="1">
                  <c:v>3.3246965129382318</c:v>
                </c:pt>
                <c:pt idx="2">
                  <c:v>2.5712531886650338</c:v>
                </c:pt>
                <c:pt idx="3">
                  <c:v>3.2033559616637333</c:v>
                </c:pt>
                <c:pt idx="4">
                  <c:v>3.4880698256343687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4-40B7-A694-A44D557D02E4}"/>
            </c:ext>
          </c:extLst>
        </c:ser>
        <c:ser>
          <c:idx val="6"/>
          <c:order val="1"/>
          <c:tx>
            <c:strRef>
              <c:f>'G17'!$C$2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'G17'!$C$3:$C$7</c:f>
              <c:numCache>
                <c:formatCode>0.00</c:formatCode>
                <c:ptCount val="5"/>
                <c:pt idx="2">
                  <c:v>0.26198765257943213</c:v>
                </c:pt>
                <c:pt idx="3">
                  <c:v>0.33054396875844894</c:v>
                </c:pt>
                <c:pt idx="4">
                  <c:v>0.30393337858671188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4-40B7-A694-A44D557D02E4}"/>
            </c:ext>
          </c:extLst>
        </c:ser>
        <c:ser>
          <c:idx val="7"/>
          <c:order val="2"/>
          <c:tx>
            <c:strRef>
              <c:f>'G17'!$D$2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'G17'!$D$3:$D$7</c:f>
              <c:numCache>
                <c:formatCode>0.00</c:formatCode>
                <c:ptCount val="5"/>
                <c:pt idx="2">
                  <c:v>0.1889115297789753</c:v>
                </c:pt>
                <c:pt idx="3">
                  <c:v>0.23834545705714183</c:v>
                </c:pt>
                <c:pt idx="4">
                  <c:v>0.219157349342256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4-40B7-A694-A44D557D02E4}"/>
            </c:ext>
          </c:extLst>
        </c:ser>
        <c:ser>
          <c:idx val="8"/>
          <c:order val="3"/>
          <c:tx>
            <c:strRef>
              <c:f>'G17'!$E$2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'G17'!$E$3:$E$7</c:f>
              <c:numCache>
                <c:formatCode>0.00</c:formatCode>
                <c:ptCount val="5"/>
                <c:pt idx="2">
                  <c:v>0.16141793674288687</c:v>
                </c:pt>
                <c:pt idx="3">
                  <c:v>0.2036574048985654</c:v>
                </c:pt>
                <c:pt idx="4">
                  <c:v>0.18726187435068961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4-40B7-A694-A44D557D02E4}"/>
            </c:ext>
          </c:extLst>
        </c:ser>
        <c:ser>
          <c:idx val="9"/>
          <c:order val="4"/>
          <c:tx>
            <c:strRef>
              <c:f>'G17'!$F$2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'G17'!$F$3:$F$7</c:f>
              <c:numCache>
                <c:formatCode>0.00</c:formatCode>
                <c:ptCount val="5"/>
                <c:pt idx="2">
                  <c:v>0.1508734633978803</c:v>
                </c:pt>
                <c:pt idx="3">
                  <c:v>0.19035367843050446</c:v>
                </c:pt>
                <c:pt idx="4">
                  <c:v>0.175029170337306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4-40B7-A694-A44D557D02E4}"/>
            </c:ext>
          </c:extLst>
        </c:ser>
        <c:ser>
          <c:idx val="1"/>
          <c:order val="5"/>
          <c:tx>
            <c:strRef>
              <c:f>'G17'!$G$2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'G17'!$G$3:$G$7</c:f>
              <c:numCache>
                <c:formatCode>0.00</c:formatCode>
                <c:ptCount val="5"/>
                <c:pt idx="2">
                  <c:v>0.1508734633978803</c:v>
                </c:pt>
                <c:pt idx="3">
                  <c:v>0.19035367843050446</c:v>
                </c:pt>
                <c:pt idx="4">
                  <c:v>0.175029170337306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4-40B7-A694-A44D557D02E4}"/>
            </c:ext>
          </c:extLst>
        </c:ser>
        <c:ser>
          <c:idx val="5"/>
          <c:order val="6"/>
          <c:tx>
            <c:strRef>
              <c:f>'G17'!$H$2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'G17'!$H$3:$H$7</c:f>
              <c:numCache>
                <c:formatCode>0.00</c:formatCode>
                <c:ptCount val="5"/>
                <c:pt idx="2">
                  <c:v>0.16141793674288687</c:v>
                </c:pt>
                <c:pt idx="3">
                  <c:v>0.2036574048985654</c:v>
                </c:pt>
                <c:pt idx="4">
                  <c:v>0.18726187435068961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E4-40B7-A694-A44D557D02E4}"/>
            </c:ext>
          </c:extLst>
        </c:ser>
        <c:ser>
          <c:idx val="2"/>
          <c:order val="7"/>
          <c:tx>
            <c:strRef>
              <c:f>'G17'!$I$2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'G17'!$I$3:$I$7</c:f>
              <c:numCache>
                <c:formatCode>0.00</c:formatCode>
                <c:ptCount val="5"/>
                <c:pt idx="2">
                  <c:v>0.1889115297789753</c:v>
                </c:pt>
                <c:pt idx="3">
                  <c:v>0.23834545705714183</c:v>
                </c:pt>
                <c:pt idx="4">
                  <c:v>0.219157349342256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E4-40B7-A694-A44D557D02E4}"/>
            </c:ext>
          </c:extLst>
        </c:ser>
        <c:ser>
          <c:idx val="3"/>
          <c:order val="8"/>
          <c:tx>
            <c:strRef>
              <c:f>'G17'!$J$2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'G17'!$J$3:$J$7</c:f>
              <c:numCache>
                <c:formatCode>0.00</c:formatCode>
                <c:ptCount val="5"/>
                <c:pt idx="2">
                  <c:v>0.26198765257943213</c:v>
                </c:pt>
                <c:pt idx="3">
                  <c:v>0.33054396875844894</c:v>
                </c:pt>
                <c:pt idx="4">
                  <c:v>0.30393337858671188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E4-40B7-A694-A44D557D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9"/>
          <c:tx>
            <c:strRef>
              <c:f>'G17'!$K$2</c:f>
              <c:strCache>
                <c:ptCount val="1"/>
                <c:pt idx="0">
                  <c:v>Prognóza VpMP (september 2017)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'G17'!$A$3:$A$7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'G17'!$K$3:$K$7</c:f>
              <c:numCache>
                <c:formatCode>0.00</c:formatCode>
                <c:ptCount val="5"/>
                <c:pt idx="0">
                  <c:v>3.8500752800431144</c:v>
                </c:pt>
                <c:pt idx="1">
                  <c:v>3.3246965129382318</c:v>
                </c:pt>
                <c:pt idx="2">
                  <c:v>3.3344437711642083</c:v>
                </c:pt>
                <c:pt idx="3">
                  <c:v>4.1662564708083938</c:v>
                </c:pt>
                <c:pt idx="4">
                  <c:v>4.3734515982513322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E4-40B7-A694-A44D557D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6.4986111111111113E-3"/>
              <c:y val="0.30953229166666668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7574650043744533"/>
          <c:y val="0.68020596383785359"/>
          <c:w val="0.65417546296296292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4245850755743E-2"/>
          <c:y val="5.1790047784643869E-2"/>
          <c:w val="0.90160534188034169"/>
          <c:h val="0.81902623456790125"/>
        </c:manualLayout>
      </c:layout>
      <c:areaChart>
        <c:grouping val="standard"/>
        <c:varyColors val="0"/>
        <c:ser>
          <c:idx val="2"/>
          <c:order val="1"/>
          <c:tx>
            <c:strRef>
              <c:f>'G18'!$A$5</c:f>
              <c:strCache>
                <c:ptCount val="1"/>
                <c:pt idx="0">
                  <c:v>50% členov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cat>
            <c:numRef>
              <c:f>'G18'!$B$2:$J$2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'G18'!$B$5:$J$5</c:f>
              <c:numCache>
                <c:formatCode>0.0</c:formatCode>
                <c:ptCount val="9"/>
                <c:pt idx="0">
                  <c:v>2.3538570095284825</c:v>
                </c:pt>
                <c:pt idx="1">
                  <c:v>4</c:v>
                </c:pt>
                <c:pt idx="2">
                  <c:v>2.1</c:v>
                </c:pt>
                <c:pt idx="3">
                  <c:v>2.2000000000000002</c:v>
                </c:pt>
                <c:pt idx="4">
                  <c:v>2.4164215117975001</c:v>
                </c:pt>
                <c:pt idx="5">
                  <c:v>2.9</c:v>
                </c:pt>
                <c:pt idx="6">
                  <c:v>3.5</c:v>
                </c:pt>
                <c:pt idx="7">
                  <c:v>3.5</c:v>
                </c:pt>
                <c:pt idx="8">
                  <c:v>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C-470B-90CC-CFD68BBAC87E}"/>
            </c:ext>
          </c:extLst>
        </c:ser>
        <c:ser>
          <c:idx val="1"/>
          <c:order val="2"/>
          <c:tx>
            <c:strRef>
              <c:f>'G18'!$A$4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'G18'!$B$2:$J$2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'G18'!$B$4:$J$4</c:f>
              <c:numCache>
                <c:formatCode>0.0</c:formatCode>
                <c:ptCount val="9"/>
                <c:pt idx="0">
                  <c:v>1.4999999999999858</c:v>
                </c:pt>
                <c:pt idx="1">
                  <c:v>3.5</c:v>
                </c:pt>
                <c:pt idx="2">
                  <c:v>1.5</c:v>
                </c:pt>
                <c:pt idx="3">
                  <c:v>2</c:v>
                </c:pt>
                <c:pt idx="4">
                  <c:v>1.7</c:v>
                </c:pt>
                <c:pt idx="5">
                  <c:v>2.5</c:v>
                </c:pt>
                <c:pt idx="6">
                  <c:v>3.1500000000000004</c:v>
                </c:pt>
                <c:pt idx="7">
                  <c:v>3.3</c:v>
                </c:pt>
                <c:pt idx="8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C-470B-90CC-CFD68BBA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46896"/>
        <c:axId val="1"/>
      </c:areaChart>
      <c:lineChart>
        <c:grouping val="standard"/>
        <c:varyColors val="0"/>
        <c:ser>
          <c:idx val="0"/>
          <c:order val="0"/>
          <c:tx>
            <c:strRef>
              <c:f>'G18'!$A$3</c:f>
              <c:strCache>
                <c:ptCount val="1"/>
                <c:pt idx="0">
                  <c:v>medián členov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'G18'!$B$2:$J$2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'G18'!$B$3:$J$3</c:f>
              <c:numCache>
                <c:formatCode>0.0</c:formatCode>
                <c:ptCount val="9"/>
                <c:pt idx="0">
                  <c:v>1.5</c:v>
                </c:pt>
                <c:pt idx="1">
                  <c:v>3.5737825396655891</c:v>
                </c:pt>
                <c:pt idx="2">
                  <c:v>1.8</c:v>
                </c:pt>
                <c:pt idx="3">
                  <c:v>2.1</c:v>
                </c:pt>
                <c:pt idx="4">
                  <c:v>2.0434960623658114</c:v>
                </c:pt>
                <c:pt idx="5">
                  <c:v>2.6</c:v>
                </c:pt>
                <c:pt idx="6">
                  <c:v>3.4</c:v>
                </c:pt>
                <c:pt idx="7">
                  <c:v>3.4</c:v>
                </c:pt>
                <c:pt idx="8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C-470B-90CC-CFD68BBAC87E}"/>
            </c:ext>
          </c:extLst>
        </c:ser>
        <c:ser>
          <c:idx val="3"/>
          <c:order val="3"/>
          <c:tx>
            <c:strRef>
              <c:f>'G18'!$A$6</c:f>
              <c:strCache>
                <c:ptCount val="1"/>
                <c:pt idx="0">
                  <c:v>VpMP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'G18'!$B$2:$J$2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'G18'!$B$6:$J$6</c:f>
              <c:numCache>
                <c:formatCode>0.0</c:formatCode>
                <c:ptCount val="9"/>
                <c:pt idx="0">
                  <c:v>1.9</c:v>
                </c:pt>
                <c:pt idx="1">
                  <c:v>3.3</c:v>
                </c:pt>
                <c:pt idx="2">
                  <c:v>1.7</c:v>
                </c:pt>
                <c:pt idx="3">
                  <c:v>2.1</c:v>
                </c:pt>
                <c:pt idx="4">
                  <c:v>2.21951466927423</c:v>
                </c:pt>
                <c:pt idx="5">
                  <c:v>2.6000691656083763</c:v>
                </c:pt>
                <c:pt idx="6">
                  <c:v>3.1183536440284154</c:v>
                </c:pt>
                <c:pt idx="7">
                  <c:v>3.5318382740930909</c:v>
                </c:pt>
                <c:pt idx="8">
                  <c:v>4.1662564708083938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BC-470B-90CC-CFD68BBAC87E}"/>
            </c:ext>
          </c:extLst>
        </c:ser>
        <c:ser>
          <c:idx val="4"/>
          <c:order val="4"/>
          <c:tx>
            <c:strRef>
              <c:f>'G18'!$A$7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17"/>
            <c:spPr>
              <a:solidFill>
                <a:schemeClr val="tx1"/>
              </a:solidFill>
              <a:ln w="6350">
                <a:solidFill>
                  <a:schemeClr val="tx1"/>
                </a:solidFill>
              </a:ln>
            </c:spPr>
          </c:marker>
          <c:cat>
            <c:numRef>
              <c:f>'G18'!$B$2:$J$2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'G18'!$B$7:$J$7</c:f>
              <c:numCache>
                <c:formatCode>0.0</c:formatCode>
                <c:ptCount val="9"/>
                <c:pt idx="0">
                  <c:v>5.0416732728363769</c:v>
                </c:pt>
                <c:pt idx="1">
                  <c:v>2.8191419307962633</c:v>
                </c:pt>
                <c:pt idx="2">
                  <c:v>1.6571102898000163</c:v>
                </c:pt>
                <c:pt idx="3">
                  <c:v>1.4906461212620457</c:v>
                </c:pt>
                <c:pt idx="4">
                  <c:v>2.7503009623821413</c:v>
                </c:pt>
                <c:pt idx="5">
                  <c:v>3.8500752800431144</c:v>
                </c:pt>
                <c:pt idx="6">
                  <c:v>3.3246965129382318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BC-470B-90CC-CFD68BBA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446896"/>
        <c:axId val="1"/>
      </c:lineChart>
      <c:catAx>
        <c:axId val="96444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96444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4196329244767397"/>
          <c:y val="1.3357797084784389E-2"/>
          <c:w val="0.7695311296111853"/>
          <c:h val="0.12207396802672393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64245850755743E-2"/>
          <c:y val="5.1790047784643869E-2"/>
          <c:w val="0.90160534188034169"/>
          <c:h val="0.81902623456790125"/>
        </c:manualLayout>
      </c:layout>
      <c:areaChart>
        <c:grouping val="standard"/>
        <c:varyColors val="0"/>
        <c:ser>
          <c:idx val="2"/>
          <c:order val="1"/>
          <c:tx>
            <c:strRef>
              <c:f>'G19'!$A$5</c:f>
              <c:strCache>
                <c:ptCount val="1"/>
                <c:pt idx="0">
                  <c:v>50% členov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cat>
            <c:numRef>
              <c:f>'G19'!$B$2:$J$2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'G19'!$B$5:$J$5</c:f>
              <c:numCache>
                <c:formatCode>0.0</c:formatCode>
                <c:ptCount val="9"/>
                <c:pt idx="0">
                  <c:v>3.7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0.25</c:v>
                </c:pt>
                <c:pt idx="5">
                  <c:v>1</c:v>
                </c:pt>
                <c:pt idx="6">
                  <c:v>2</c:v>
                </c:pt>
                <c:pt idx="7">
                  <c:v>2.1</c:v>
                </c:pt>
                <c:pt idx="8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A-483C-AB05-D1A996CB8095}"/>
            </c:ext>
          </c:extLst>
        </c:ser>
        <c:ser>
          <c:idx val="1"/>
          <c:order val="2"/>
          <c:tx>
            <c:strRef>
              <c:f>'G19'!$A$4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'G19'!$B$2:$J$2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'G19'!$B$4:$J$4</c:f>
              <c:numCache>
                <c:formatCode>0.0</c:formatCode>
                <c:ptCount val="9"/>
                <c:pt idx="0">
                  <c:v>2.8977136329066679</c:v>
                </c:pt>
                <c:pt idx="1">
                  <c:v>-2.6965865062921699</c:v>
                </c:pt>
                <c:pt idx="2">
                  <c:v>0</c:v>
                </c:pt>
                <c:pt idx="3">
                  <c:v>-1.5</c:v>
                </c:pt>
                <c:pt idx="4">
                  <c:v>-0.5</c:v>
                </c:pt>
                <c:pt idx="5">
                  <c:v>0</c:v>
                </c:pt>
                <c:pt idx="6">
                  <c:v>1.25</c:v>
                </c:pt>
                <c:pt idx="7">
                  <c:v>1.7</c:v>
                </c:pt>
                <c:pt idx="8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A-483C-AB05-D1A996CB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46896"/>
        <c:axId val="1"/>
      </c:areaChart>
      <c:lineChart>
        <c:grouping val="standard"/>
        <c:varyColors val="0"/>
        <c:ser>
          <c:idx val="0"/>
          <c:order val="0"/>
          <c:tx>
            <c:strRef>
              <c:f>'G19'!$A$3</c:f>
              <c:strCache>
                <c:ptCount val="1"/>
                <c:pt idx="0">
                  <c:v>medián členov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'G19'!$B$2:$J$2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'G19'!$B$3:$J$3</c:f>
              <c:numCache>
                <c:formatCode>0.0</c:formatCode>
                <c:ptCount val="9"/>
                <c:pt idx="0">
                  <c:v>3.499999999999992</c:v>
                </c:pt>
                <c:pt idx="1">
                  <c:v>-0.50000000000000044</c:v>
                </c:pt>
                <c:pt idx="2">
                  <c:v>0.4</c:v>
                </c:pt>
                <c:pt idx="3">
                  <c:v>-0.7</c:v>
                </c:pt>
                <c:pt idx="4">
                  <c:v>-0.36255436662319485</c:v>
                </c:pt>
                <c:pt idx="5">
                  <c:v>0</c:v>
                </c:pt>
                <c:pt idx="6">
                  <c:v>1.5</c:v>
                </c:pt>
                <c:pt idx="7">
                  <c:v>1.9</c:v>
                </c:pt>
                <c:pt idx="8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A-483C-AB05-D1A996CB8095}"/>
            </c:ext>
          </c:extLst>
        </c:ser>
        <c:ser>
          <c:idx val="3"/>
          <c:order val="3"/>
          <c:tx>
            <c:strRef>
              <c:f>'G19'!$A$6</c:f>
              <c:strCache>
                <c:ptCount val="1"/>
                <c:pt idx="0">
                  <c:v>VpMP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'G19'!$B$2:$J$2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'G19'!$B$6:$J$6</c:f>
              <c:numCache>
                <c:formatCode>0.0</c:formatCode>
                <c:ptCount val="9"/>
                <c:pt idx="0">
                  <c:v>2.4</c:v>
                </c:pt>
                <c:pt idx="1">
                  <c:v>-6.3</c:v>
                </c:pt>
                <c:pt idx="2">
                  <c:v>-0.1</c:v>
                </c:pt>
                <c:pt idx="3">
                  <c:v>0.1</c:v>
                </c:pt>
                <c:pt idx="4">
                  <c:v>-1.2117174022520105</c:v>
                </c:pt>
                <c:pt idx="5">
                  <c:v>-3.8462206595765935</c:v>
                </c:pt>
                <c:pt idx="6">
                  <c:v>-0.6714173834616588</c:v>
                </c:pt>
                <c:pt idx="7">
                  <c:v>1.702198713489711</c:v>
                </c:pt>
                <c:pt idx="8">
                  <c:v>1.3413629540656835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1A-483C-AB05-D1A996CB8095}"/>
            </c:ext>
          </c:extLst>
        </c:ser>
        <c:ser>
          <c:idx val="4"/>
          <c:order val="4"/>
          <c:tx>
            <c:strRef>
              <c:f>'G19'!$A$7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17"/>
            <c:spPr>
              <a:solidFill>
                <a:schemeClr val="tx1"/>
              </a:solidFill>
              <a:ln w="6350">
                <a:solidFill>
                  <a:schemeClr val="tx1"/>
                </a:solidFill>
              </a:ln>
            </c:spPr>
          </c:marker>
          <c:cat>
            <c:numRef>
              <c:f>'G19'!$B$2:$J$2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'G19'!$B$7:$J$7</c:f>
              <c:numCache>
                <c:formatCode>0.0</c:formatCode>
                <c:ptCount val="9"/>
                <c:pt idx="0">
                  <c:v>1.6504489005967287</c:v>
                </c:pt>
                <c:pt idx="1">
                  <c:v>-1.7588926833691119</c:v>
                </c:pt>
                <c:pt idx="2">
                  <c:v>-2.143384501799602</c:v>
                </c:pt>
                <c:pt idx="3">
                  <c:v>2.163610785831608</c:v>
                </c:pt>
                <c:pt idx="4">
                  <c:v>5.1756234903149476</c:v>
                </c:pt>
                <c:pt idx="5">
                  <c:v>5.4270709907696073</c:v>
                </c:pt>
                <c:pt idx="6">
                  <c:v>1.5762234463237519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1A-483C-AB05-D1A996CB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446896"/>
        <c:axId val="1"/>
      </c:lineChart>
      <c:catAx>
        <c:axId val="96444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96444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4196329244767397"/>
          <c:y val="1.3357797084784389E-2"/>
          <c:w val="0.7695311296111853"/>
          <c:h val="0.12207396802672393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3533068428366"/>
          <c:y val="4.2394242973149483E-2"/>
          <c:w val="0.87913670233945218"/>
          <c:h val="0.817084272916589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rgbClr val="00B0F0"/>
              </a:solidFill>
            </a:ln>
          </c:spPr>
          <c:invertIfNegative val="0"/>
          <c:dPt>
            <c:idx val="5"/>
            <c:invertIfNegative val="0"/>
            <c:bubble3D val="0"/>
            <c:spPr>
              <a:pattFill prst="dkUpDiag">
                <a:fgClr>
                  <a:srgbClr val="00B0F0"/>
                </a:fgClr>
                <a:bgClr>
                  <a:schemeClr val="bg1"/>
                </a:bgClr>
              </a:pattFill>
              <a:ln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E12-4B14-8F46-87F5C6895E29}"/>
              </c:ext>
            </c:extLst>
          </c:dPt>
          <c:dPt>
            <c:idx val="6"/>
            <c:invertIfNegative val="0"/>
            <c:bubble3D val="0"/>
            <c:spPr>
              <a:pattFill prst="dkUpDiag">
                <a:fgClr>
                  <a:srgbClr val="00B0F0"/>
                </a:fgClr>
                <a:bgClr>
                  <a:schemeClr val="bg1"/>
                </a:bgClr>
              </a:pattFill>
              <a:ln w="9525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E12-4B14-8F46-87F5C6895E29}"/>
              </c:ext>
            </c:extLst>
          </c:dPt>
          <c:dPt>
            <c:idx val="7"/>
            <c:invertIfNegative val="0"/>
            <c:bubble3D val="0"/>
            <c:spPr>
              <a:pattFill prst="dkUpDiag">
                <a:fgClr>
                  <a:srgbClr val="00B0F0"/>
                </a:fgClr>
                <a:bgClr>
                  <a:schemeClr val="bg1"/>
                </a:bgClr>
              </a:pattFill>
              <a:ln w="9525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E12-4B14-8F46-87F5C6895E29}"/>
              </c:ext>
            </c:extLst>
          </c:dPt>
          <c:dPt>
            <c:idx val="8"/>
            <c:invertIfNegative val="0"/>
            <c:bubble3D val="0"/>
            <c:spPr>
              <a:pattFill prst="dkUpDiag">
                <a:fgClr>
                  <a:srgbClr val="00B0F0"/>
                </a:fgClr>
                <a:bgClr>
                  <a:schemeClr val="bg1"/>
                </a:bgClr>
              </a:pattFill>
              <a:ln w="9525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E12-4B14-8F46-87F5C6895E29}"/>
              </c:ext>
            </c:extLst>
          </c:dPt>
          <c:dLbls>
            <c:dLbl>
              <c:idx val="1"/>
              <c:layout>
                <c:manualLayout>
                  <c:x val="-2.0639834881321139E-3"/>
                  <c:y val="2.65722770569172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2-4B14-8F46-87F5C6895E2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rgbClr val="00B0F0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'G20'!$A$3:$A$15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'G20'!$D$3:$D$15</c:f>
              <c:numCache>
                <c:formatCode>0.00</c:formatCode>
                <c:ptCount val="13"/>
                <c:pt idx="0">
                  <c:v>-3.4016595141822314</c:v>
                </c:pt>
                <c:pt idx="1">
                  <c:v>-9.1012428389281474</c:v>
                </c:pt>
                <c:pt idx="2">
                  <c:v>-5.1938726460902807</c:v>
                </c:pt>
                <c:pt idx="3">
                  <c:v>-3.4864261393553697</c:v>
                </c:pt>
                <c:pt idx="4">
                  <c:v>-0.43890152045520381</c:v>
                </c:pt>
                <c:pt idx="5">
                  <c:v>24.504277056173308</c:v>
                </c:pt>
                <c:pt idx="6">
                  <c:v>6.8883230479548363</c:v>
                </c:pt>
                <c:pt idx="7">
                  <c:v>1.2283631838149178</c:v>
                </c:pt>
                <c:pt idx="8">
                  <c:v>2.423141945769447</c:v>
                </c:pt>
                <c:pt idx="9">
                  <c:v>-0.44048521146300423</c:v>
                </c:pt>
                <c:pt idx="10">
                  <c:v>-6.808475141303683</c:v>
                </c:pt>
                <c:pt idx="11">
                  <c:v>-5.9511968134155495</c:v>
                </c:pt>
                <c:pt idx="12">
                  <c:v>-3.0824702895014489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12-4B14-8F46-87F5C689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2048"/>
        <c:axId val="1"/>
      </c:barChart>
      <c:lineChart>
        <c:grouping val="standard"/>
        <c:varyColors val="0"/>
        <c:ser>
          <c:idx val="1"/>
          <c:order val="1"/>
          <c:spPr>
            <a:ln w="6350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0.10739094365842786"/>
                  <c:y val="8.4309133489461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2-4B14-8F46-87F5C6895E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'G20'!$H$3:$H$15</c:f>
            </c:numRef>
          </c:val>
          <c:smooth val="0"/>
          <c:extLst>
            <c:ext xmlns:c16="http://schemas.microsoft.com/office/drawing/2014/chart" uri="{C3380CC4-5D6E-409C-BE32-E72D297353CC}">
              <c16:uniqueId val="{0000000B-6E12-4B14-8F46-87F5C6895E29}"/>
            </c:ext>
          </c:extLst>
        </c:ser>
        <c:ser>
          <c:idx val="2"/>
          <c:order val="2"/>
          <c:spPr>
            <a:ln w="6350">
              <a:solidFill>
                <a:schemeClr val="tx1"/>
              </a:solidFill>
              <a:prstDash val="dash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6E12-4B14-8F46-87F5C6895E29}"/>
              </c:ext>
            </c:extLst>
          </c:dPt>
          <c:dLbls>
            <c:dLbl>
              <c:idx val="9"/>
              <c:layout>
                <c:manualLayout>
                  <c:x val="-3.0372636575082289E-2"/>
                  <c:y val="-7.181889149102263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+2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2-4B14-8F46-87F5C6895E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'G20'!$I$3:$I$15</c:f>
            </c:numRef>
          </c:val>
          <c:smooth val="0"/>
          <c:extLst>
            <c:ext xmlns:c16="http://schemas.microsoft.com/office/drawing/2014/chart" uri="{C3380CC4-5D6E-409C-BE32-E72D297353CC}">
              <c16:uniqueId val="{0000000E-6E12-4B14-8F46-87F5C689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62048"/>
        <c:axId val="1"/>
      </c:lineChart>
      <c:lineChart>
        <c:grouping val="standard"/>
        <c:varyColors val="0"/>
        <c:ser>
          <c:idx val="3"/>
          <c:order val="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'G20'!$E$3:$E$15</c:f>
              <c:numCache>
                <c:formatCode>0.00</c:formatCode>
                <c:ptCount val="13"/>
                <c:pt idx="0">
                  <c:v>-1.0358869562702955</c:v>
                </c:pt>
                <c:pt idx="1">
                  <c:v>-0.68234073004500206</c:v>
                </c:pt>
                <c:pt idx="2">
                  <c:v>0.67943427249180699</c:v>
                </c:pt>
                <c:pt idx="3">
                  <c:v>3.4052381703396617</c:v>
                </c:pt>
                <c:pt idx="4">
                  <c:v>3.6349073452110212</c:v>
                </c:pt>
                <c:pt idx="5">
                  <c:v>-3.1077113835223376</c:v>
                </c:pt>
                <c:pt idx="6">
                  <c:v>-0.93882694959056023</c:v>
                </c:pt>
                <c:pt idx="7">
                  <c:v>-0.56513608600844512</c:v>
                </c:pt>
                <c:pt idx="8">
                  <c:v>-1.027275097787437</c:v>
                </c:pt>
                <c:pt idx="9">
                  <c:v>-1.571795011257995</c:v>
                </c:pt>
                <c:pt idx="10">
                  <c:v>-1.0101222626670623</c:v>
                </c:pt>
                <c:pt idx="11">
                  <c:v>-0.20198844470225594</c:v>
                </c:pt>
                <c:pt idx="12">
                  <c:v>0.15202482434424647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12-4B14-8F46-87F5C689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666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>
                    <a:solidFill>
                      <a:srgbClr val="00B0F0"/>
                    </a:solidFill>
                  </a:defRPr>
                </a:pPr>
                <a:r>
                  <a:rPr lang="sk-SK" sz="1200" b="0" i="1">
                    <a:solidFill>
                      <a:srgbClr val="00B0F0"/>
                    </a:solidFill>
                  </a:rPr>
                  <a:t>odchýlka prognózy</a:t>
                </a:r>
                <a:r>
                  <a:rPr lang="sk-SK" sz="1200" b="0" i="1" baseline="0">
                    <a:solidFill>
                      <a:srgbClr val="00B0F0"/>
                    </a:solidFill>
                  </a:rPr>
                  <a:t> </a:t>
                </a:r>
                <a:r>
                  <a:rPr lang="sk-SK" sz="1200" b="0" i="1">
                    <a:solidFill>
                      <a:srgbClr val="00B0F0"/>
                    </a:solidFill>
                  </a:rPr>
                  <a:t>v %</a:t>
                </a:r>
                <a:endParaRPr lang="en-GB" sz="1200" b="0" i="1">
                  <a:solidFill>
                    <a:srgbClr val="00B0F0"/>
                  </a:solidFill>
                </a:endParaRPr>
              </a:p>
            </c:rich>
          </c:tx>
          <c:layout>
            <c:manualLayout>
              <c:xMode val="edge"/>
              <c:yMode val="edge"/>
              <c:x val="8.5112765159674184E-2"/>
              <c:y val="3.7266407272861381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-60000000" vert="horz"/>
          <a:lstStyle/>
          <a:p>
            <a:pPr>
              <a:defRPr>
                <a:solidFill>
                  <a:srgbClr val="00B0F0"/>
                </a:solidFill>
              </a:defRPr>
            </a:pPr>
            <a:endParaRPr lang="sk-SK"/>
          </a:p>
        </c:txPr>
        <c:crossAx val="366662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"/>
        </c:scaling>
        <c:delete val="0"/>
        <c:axPos val="r"/>
        <c:title>
          <c:tx>
            <c:rich>
              <a:bodyPr/>
              <a:lstStyle/>
              <a:p>
                <a:pPr>
                  <a:defRPr sz="1200"/>
                </a:pPr>
                <a:r>
                  <a:rPr lang="sk-SK" sz="1200" b="0" i="1">
                    <a:solidFill>
                      <a:srgbClr val="FF0000"/>
                    </a:solidFill>
                  </a:rPr>
                  <a:t>produkčná</a:t>
                </a:r>
                <a:r>
                  <a:rPr lang="sk-SK" sz="1200" b="0" i="1" baseline="0">
                    <a:solidFill>
                      <a:srgbClr val="FF0000"/>
                    </a:solidFill>
                  </a:rPr>
                  <a:t> medzera </a:t>
                </a:r>
                <a:endParaRPr lang="en-GB" sz="1200" b="0" i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87013171225937191"/>
              <c:y val="2.8867703012533271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sk-SK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5125700937078"/>
          <c:y val="2.8975358662691436E-2"/>
          <c:w val="0.86520882445702418"/>
          <c:h val="0.773447493820554"/>
        </c:manualLayout>
      </c:layout>
      <c:barChart>
        <c:barDir val="col"/>
        <c:grouping val="stacked"/>
        <c:varyColors val="0"/>
        <c:ser>
          <c:idx val="0"/>
          <c:order val="0"/>
          <c:tx>
            <c:v>rezerva</c:v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599586-C31A-422C-AFA2-361579C1F271}" type="CELLRANGE">
                      <a:rPr lang="en-US"/>
                      <a:pPr/>
                      <a:t>[CELLRANGE]</a:t>
                    </a:fld>
                    <a:r>
                      <a:rPr lang="en-US"/>
                      <a:t> mil.</a:t>
                    </a:r>
                    <a:endParaRPr lang="en-US" baseline="0"/>
                  </a:p>
                  <a:p>
                    <a:fld id="{FA1B1593-E75D-4FFE-87FA-B976861C7B9A}" type="VALUE">
                      <a:rPr lang="en-US" baseline="0"/>
                      <a:pPr/>
                      <a:t>[HODNOTA]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5E9-46D1-B891-68541A993A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9-46D1-B891-68541A993A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9-46D1-B891-68541A993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'G21'!$B$2:$D$2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'G21'!$B$8:$D$8</c:f>
              <c:numCache>
                <c:formatCode>0.0%</c:formatCode>
                <c:ptCount val="3"/>
                <c:pt idx="0">
                  <c:v>1.5643273681741449E-3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'G21'!$B$7:$D$7</c15:f>
                <c15:dlblRangeCache>
                  <c:ptCount val="3"/>
                  <c:pt idx="0">
                    <c:v>140</c:v>
                  </c:pt>
                  <c:pt idx="1">
                    <c:v>0</c:v>
                  </c:pt>
                  <c:pt idx="2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45E9-46D1-B891-68541A993A1E}"/>
            </c:ext>
          </c:extLst>
        </c:ser>
        <c:ser>
          <c:idx val="1"/>
          <c:order val="1"/>
          <c:tx>
            <c:v>nekrytá neistota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7F4B50-1AD9-4F2E-9D00-041E0261A840}" type="CELLRANGE">
                      <a:rPr lang="en-US"/>
                      <a:pPr/>
                      <a:t>[CELLRANGE]</a:t>
                    </a:fld>
                    <a:r>
                      <a:rPr lang="en-US"/>
                      <a:t> mil.</a:t>
                    </a:r>
                    <a:r>
                      <a:rPr lang="en-US" baseline="0"/>
                      <a:t> </a:t>
                    </a:r>
                  </a:p>
                  <a:p>
                    <a:fld id="{6059E598-51E5-45C2-BF6E-EF159E4E74EF}" type="VALUE">
                      <a:rPr lang="en-US" baseline="0"/>
                      <a:pPr/>
                      <a:t>[HODNOTA]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5E9-46D1-B891-68541A993A1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DE0FE3-8501-4CBB-B8D8-CA075B070F70}" type="CELLRANGE">
                      <a:rPr lang="en-US"/>
                      <a:pPr/>
                      <a:t>[CELLRANGE]</a:t>
                    </a:fld>
                    <a:r>
                      <a:rPr lang="en-US"/>
                      <a:t> mil.</a:t>
                    </a:r>
                    <a:r>
                      <a:rPr lang="en-US" baseline="0"/>
                      <a:t> </a:t>
                    </a:r>
                  </a:p>
                  <a:p>
                    <a:fld id="{4DA6E8C9-2473-47D8-8558-0564FCC323D3}" type="VALUE">
                      <a:rPr lang="en-US" baseline="0"/>
                      <a:pPr/>
                      <a:t>[HODNOTA]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5E9-46D1-B891-68541A993A1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7FAA06-60C1-4134-A50D-C61BA3E749B5}" type="CELLRANGE">
                      <a:rPr lang="en-US"/>
                      <a:pPr/>
                      <a:t>[CELLRANGE]</a:t>
                    </a:fld>
                    <a:r>
                      <a:rPr lang="en-US"/>
                      <a:t> mil.</a:t>
                    </a:r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AAA9F080-0070-4C07-8AD8-7056FC4B10C8}" type="VALUE">
                      <a:rPr lang="en-US" baseline="0"/>
                      <a:pPr/>
                      <a:t>[HODNOTA]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5E9-46D1-B891-68541A993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'G21'!$B$2:$D$2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'G21'!$B$10:$D$10</c:f>
              <c:numCache>
                <c:formatCode>0.0%</c:formatCode>
                <c:ptCount val="3"/>
                <c:pt idx="0">
                  <c:v>4.3691439917765565E-3</c:v>
                </c:pt>
                <c:pt idx="1">
                  <c:v>5.8821724818818024E-3</c:v>
                </c:pt>
                <c:pt idx="2">
                  <c:v>5.8572703426012368E-3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'G21'!$B$9:$D$9</c15:f>
                <c15:dlblRangeCache>
                  <c:ptCount val="3"/>
                  <c:pt idx="0">
                    <c:v>391</c:v>
                  </c:pt>
                  <c:pt idx="1">
                    <c:v>560</c:v>
                  </c:pt>
                  <c:pt idx="2">
                    <c:v>592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45E9-46D1-B891-68541A99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732552"/>
        <c:axId val="538740096"/>
      </c:barChart>
      <c:lineChart>
        <c:grouping val="standard"/>
        <c:varyColors val="0"/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'G21'!$B$6:$D$6</c:f>
              <c:numCache>
                <c:formatCode>0.0%</c:formatCode>
                <c:ptCount val="3"/>
                <c:pt idx="0">
                  <c:v>5.9334713599507012E-3</c:v>
                </c:pt>
                <c:pt idx="1">
                  <c:v>5.8821724818818024E-3</c:v>
                </c:pt>
                <c:pt idx="2">
                  <c:v>5.8572703426012368E-3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9-46D1-B891-68541A99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732552"/>
        <c:axId val="538740096"/>
      </c:lineChart>
      <c:catAx>
        <c:axId val="53873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740096"/>
        <c:crosses val="autoZero"/>
        <c:auto val="1"/>
        <c:lblAlgn val="ctr"/>
        <c:lblOffset val="100"/>
        <c:noMultiLvlLbl val="0"/>
      </c:catAx>
      <c:valAx>
        <c:axId val="538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% HDP</a:t>
                </a:r>
                <a:endParaRPr lang="en-GB" i="1"/>
              </a:p>
            </c:rich>
          </c:tx>
          <c:layout>
            <c:manualLayout>
              <c:xMode val="edge"/>
              <c:yMode val="edge"/>
              <c:x val="0.10280241935483869"/>
              <c:y val="3.35631944444444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73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06827063283756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'G22'!$A$4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'G22'!$C$4:$F$4</c:f>
              <c:numCache>
                <c:formatCode>#\ ##0.0</c:formatCode>
                <c:ptCount val="4"/>
                <c:pt idx="0">
                  <c:v>-0.27284551385364608</c:v>
                </c:pt>
                <c:pt idx="1">
                  <c:v>-0.36236195272423899</c:v>
                </c:pt>
                <c:pt idx="2">
                  <c:v>-0.24164053408644648</c:v>
                </c:pt>
                <c:pt idx="3">
                  <c:v>-0.87684800066433155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5-4809-921F-BA165B7C85CD}"/>
            </c:ext>
          </c:extLst>
        </c:ser>
        <c:ser>
          <c:idx val="1"/>
          <c:order val="1"/>
          <c:tx>
            <c:strRef>
              <c:f>'G22'!$A$5</c:f>
              <c:strCache>
                <c:ptCount val="1"/>
                <c:pt idx="0">
                  <c:v>Nedaňové príjmy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'G22'!$C$5:$F$5</c:f>
              <c:numCache>
                <c:formatCode>#\ ##0.0</c:formatCode>
                <c:ptCount val="4"/>
                <c:pt idx="0">
                  <c:v>-9.6354815890217438E-2</c:v>
                </c:pt>
                <c:pt idx="1">
                  <c:v>-7.5101273846788885E-2</c:v>
                </c:pt>
                <c:pt idx="2">
                  <c:v>-8.7036438228738966E-2</c:v>
                </c:pt>
                <c:pt idx="3">
                  <c:v>-0.25849252796574529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5-4809-921F-BA165B7C85CD}"/>
            </c:ext>
          </c:extLst>
        </c:ser>
        <c:ser>
          <c:idx val="2"/>
          <c:order val="2"/>
          <c:tx>
            <c:strRef>
              <c:f>'G22'!$A$6</c:f>
              <c:strCache>
                <c:ptCount val="1"/>
                <c:pt idx="0">
                  <c:v>Sociálne platby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'G22'!$C$6:$F$6</c:f>
              <c:numCache>
                <c:formatCode>#\ ##0.0</c:formatCode>
                <c:ptCount val="4"/>
                <c:pt idx="0">
                  <c:v>0.37207441717288958</c:v>
                </c:pt>
                <c:pt idx="1">
                  <c:v>0.41310685073600162</c:v>
                </c:pt>
                <c:pt idx="2">
                  <c:v>0.29396819261827822</c:v>
                </c:pt>
                <c:pt idx="3">
                  <c:v>1.0791494605271694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5-4809-921F-BA165B7C85CD}"/>
            </c:ext>
          </c:extLst>
        </c:ser>
        <c:ser>
          <c:idx val="3"/>
          <c:order val="3"/>
          <c:tx>
            <c:strRef>
              <c:f>'G22'!$A$7</c:f>
              <c:strCache>
                <c:ptCount val="1"/>
                <c:pt idx="0">
                  <c:v>Prev. výdavky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'G22'!$C$7:$F$7</c:f>
              <c:numCache>
                <c:formatCode>#\ ##0.0</c:formatCode>
                <c:ptCount val="4"/>
                <c:pt idx="0">
                  <c:v>0.27158973489298699</c:v>
                </c:pt>
                <c:pt idx="1">
                  <c:v>0.3387276533508663</c:v>
                </c:pt>
                <c:pt idx="2">
                  <c:v>0.20500127212830677</c:v>
                </c:pt>
                <c:pt idx="3">
                  <c:v>0.81531866037216005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5-4809-921F-BA165B7C85CD}"/>
            </c:ext>
          </c:extLst>
        </c:ser>
        <c:ser>
          <c:idx val="4"/>
          <c:order val="4"/>
          <c:tx>
            <c:strRef>
              <c:f>'G22'!$A$8</c:f>
              <c:strCache>
                <c:ptCount val="1"/>
                <c:pt idx="0">
                  <c:v>Dotácie a ost. transfery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'G22'!$C$8:$F$8</c:f>
              <c:numCache>
                <c:formatCode>#\ ##0.0</c:formatCode>
                <c:ptCount val="4"/>
                <c:pt idx="0">
                  <c:v>5.0876315499828628E-2</c:v>
                </c:pt>
                <c:pt idx="1">
                  <c:v>5.3063946810927742E-2</c:v>
                </c:pt>
                <c:pt idx="2">
                  <c:v>1.3884693283470861E-2</c:v>
                </c:pt>
                <c:pt idx="3">
                  <c:v>0.11782495559422723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5-4809-921F-BA165B7C85CD}"/>
            </c:ext>
          </c:extLst>
        </c:ser>
        <c:ser>
          <c:idx val="5"/>
          <c:order val="5"/>
          <c:tx>
            <c:strRef>
              <c:f>'G22'!$A$9</c:f>
              <c:strCache>
                <c:ptCount val="1"/>
                <c:pt idx="0">
                  <c:v>Úroky 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'G22'!$C$9:$F$9</c:f>
              <c:numCache>
                <c:formatCode>#\ ##0.0</c:formatCode>
                <c:ptCount val="4"/>
                <c:pt idx="0">
                  <c:v>4.2568761501874608E-2</c:v>
                </c:pt>
                <c:pt idx="1">
                  <c:v>7.5114509771063265E-2</c:v>
                </c:pt>
                <c:pt idx="2">
                  <c:v>0.11931574988703209</c:v>
                </c:pt>
                <c:pt idx="3">
                  <c:v>0.23699902115996996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5-4809-921F-BA165B7C85CD}"/>
            </c:ext>
          </c:extLst>
        </c:ser>
        <c:ser>
          <c:idx val="6"/>
          <c:order val="6"/>
          <c:tx>
            <c:strRef>
              <c:f>'G22'!$A$10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'G22'!$C$2:$F$2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kumulatívne</c:v>
                </c:pt>
              </c:strCache>
            </c:strRef>
          </c:cat>
          <c:val>
            <c:numRef>
              <c:f>'G22'!$C$10:$F$10</c:f>
              <c:numCache>
                <c:formatCode>#\ ##0.0</c:formatCode>
                <c:ptCount val="4"/>
                <c:pt idx="0">
                  <c:v>-3.7106798709453548E-2</c:v>
                </c:pt>
                <c:pt idx="1">
                  <c:v>0.1581998462919213</c:v>
                </c:pt>
                <c:pt idx="2">
                  <c:v>1.5791075806192989E-3</c:v>
                </c:pt>
                <c:pt idx="3">
                  <c:v>0.12267215516308705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5-4809-921F-BA165B7C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9728704"/>
        <c:axId val="369730672"/>
      </c:barChart>
      <c:lineChart>
        <c:grouping val="standard"/>
        <c:varyColors val="0"/>
        <c:ser>
          <c:idx val="7"/>
          <c:order val="7"/>
          <c:tx>
            <c:v>Spolu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'G22'!$C$3:$F$3</c:f>
              <c:numCache>
                <c:formatCode>#\ ##0.0</c:formatCode>
                <c:ptCount val="4"/>
                <c:pt idx="0">
                  <c:v>0.33080210061426274</c:v>
                </c:pt>
                <c:pt idx="1">
                  <c:v>0.60074958038975235</c:v>
                </c:pt>
                <c:pt idx="2">
                  <c:v>0.30507204318252179</c:v>
                </c:pt>
                <c:pt idx="3">
                  <c:v>1.2366237241865368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65-4809-921F-BA165B7C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728704"/>
        <c:axId val="369730672"/>
      </c:lineChart>
      <c:catAx>
        <c:axId val="369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30672"/>
        <c:crosses val="autoZero"/>
        <c:auto val="1"/>
        <c:lblAlgn val="ctr"/>
        <c:lblOffset val="100"/>
        <c:noMultiLvlLbl val="0"/>
      </c:catAx>
      <c:valAx>
        <c:axId val="36973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02580927384095E-2"/>
          <c:y val="5.0345581802274712E-2"/>
          <c:w val="0.72468372703412076"/>
          <c:h val="0.19965441819772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07112430618302"/>
          <c:y val="4.0523853784260815E-2"/>
          <c:w val="0.77173053368328959"/>
          <c:h val="0.84688247302420527"/>
        </c:manualLayout>
      </c:layout>
      <c:barChart>
        <c:barDir val="bar"/>
        <c:grouping val="clustered"/>
        <c:varyColors val="0"/>
        <c:ser>
          <c:idx val="2"/>
          <c:order val="0"/>
          <c:tx>
            <c:v>Zmiešané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'G23'!$A$4:$A$13</c:f>
              <c:strCache>
                <c:ptCount val="10"/>
                <c:pt idx="0">
                  <c:v>Ostatné</c:v>
                </c:pt>
                <c:pt idx="1">
                  <c:v>Mzdy</c:v>
                </c:pt>
                <c:pt idx="2">
                  <c:v>Starobné dôchodky</c:v>
                </c:pt>
                <c:pt idx="3">
                  <c:v>Medzispotreba</c:v>
                </c:pt>
                <c:pt idx="4">
                  <c:v>Spolufinancovanie</c:v>
                </c:pt>
                <c:pt idx="5">
                  <c:v>Investície</c:v>
                </c:pt>
                <c:pt idx="6">
                  <c:v>Zdravotníctvo</c:v>
                </c:pt>
                <c:pt idx="7">
                  <c:v>Dividendy</c:v>
                </c:pt>
                <c:pt idx="8">
                  <c:v>Emisné kvóty</c:v>
                </c:pt>
                <c:pt idx="9">
                  <c:v>Dane</c:v>
                </c:pt>
              </c:strCache>
            </c:strRef>
          </c:cat>
          <c:val>
            <c:numRef>
              <c:f>'G23'!$E$8:$E$12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024-4817-9489-44FB21F31577}"/>
            </c:ext>
          </c:extLst>
        </c:ser>
        <c:ser>
          <c:idx val="1"/>
          <c:order val="1"/>
          <c:tx>
            <c:v>Výdavky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024-4817-9489-44FB21F31577}"/>
              </c:ext>
            </c:extLst>
          </c:dPt>
          <c:dPt>
            <c:idx val="7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24-4817-9489-44FB21F31577}"/>
              </c:ext>
            </c:extLst>
          </c:dPt>
          <c:dPt>
            <c:idx val="8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024-4817-9489-44FB21F31577}"/>
              </c:ext>
            </c:extLst>
          </c:dPt>
          <c:dPt>
            <c:idx val="9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024-4817-9489-44FB21F31577}"/>
              </c:ext>
            </c:extLst>
          </c:dPt>
          <c:cat>
            <c:strRef>
              <c:f>'G23'!$A$4:$A$13</c:f>
              <c:strCache>
                <c:ptCount val="10"/>
                <c:pt idx="0">
                  <c:v>Ostatné</c:v>
                </c:pt>
                <c:pt idx="1">
                  <c:v>Mzdy</c:v>
                </c:pt>
                <c:pt idx="2">
                  <c:v>Starobné dôchodky</c:v>
                </c:pt>
                <c:pt idx="3">
                  <c:v>Medzispotreba</c:v>
                </c:pt>
                <c:pt idx="4">
                  <c:v>Spolufinancovanie</c:v>
                </c:pt>
                <c:pt idx="5">
                  <c:v>Investície</c:v>
                </c:pt>
                <c:pt idx="6">
                  <c:v>Zdravotníctvo</c:v>
                </c:pt>
                <c:pt idx="7">
                  <c:v>Dividendy</c:v>
                </c:pt>
                <c:pt idx="8">
                  <c:v>Emisné kvóty</c:v>
                </c:pt>
                <c:pt idx="9">
                  <c:v>Dane</c:v>
                </c:pt>
              </c:strCache>
            </c:strRef>
          </c:cat>
          <c:val>
            <c:numRef>
              <c:f>'G23'!$D$4:$D$13</c:f>
              <c:numCache>
                <c:formatCode>#,##0.00</c:formatCode>
                <c:ptCount val="10"/>
                <c:pt idx="0" formatCode="0.00">
                  <c:v>-5.8258389387942672E-2</c:v>
                </c:pt>
                <c:pt idx="1">
                  <c:v>-0.21447181792898315</c:v>
                </c:pt>
                <c:pt idx="2">
                  <c:v>-0.13551713425867631</c:v>
                </c:pt>
                <c:pt idx="3" formatCode="0.00">
                  <c:v>-5.1495262122728258E-2</c:v>
                </c:pt>
                <c:pt idx="4" formatCode="0.00">
                  <c:v>0.14791513215660343</c:v>
                </c:pt>
                <c:pt idx="5">
                  <c:v>0.23731635745306598</c:v>
                </c:pt>
                <c:pt idx="6">
                  <c:v>0.27791240828957281</c:v>
                </c:pt>
                <c:pt idx="7" formatCode="0.00">
                  <c:v>5.7453207731132619E-2</c:v>
                </c:pt>
                <c:pt idx="8">
                  <c:v>6.4178560914663951E-2</c:v>
                </c:pt>
                <c:pt idx="9" formatCode="0.00">
                  <c:v>0.20120744310663813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24-4817-9489-44FB21F31577}"/>
            </c:ext>
          </c:extLst>
        </c:ser>
        <c:ser>
          <c:idx val="0"/>
          <c:order val="2"/>
          <c:tx>
            <c:v>Príjmy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'G23'!$A$4:$A$13</c:f>
              <c:strCache>
                <c:ptCount val="10"/>
                <c:pt idx="0">
                  <c:v>Ostatné</c:v>
                </c:pt>
                <c:pt idx="1">
                  <c:v>Mzdy</c:v>
                </c:pt>
                <c:pt idx="2">
                  <c:v>Starobné dôchodky</c:v>
                </c:pt>
                <c:pt idx="3">
                  <c:v>Medzispotreba</c:v>
                </c:pt>
                <c:pt idx="4">
                  <c:v>Spolufinancovanie</c:v>
                </c:pt>
                <c:pt idx="5">
                  <c:v>Investície</c:v>
                </c:pt>
                <c:pt idx="6">
                  <c:v>Zdravotníctvo</c:v>
                </c:pt>
                <c:pt idx="7">
                  <c:v>Dividendy</c:v>
                </c:pt>
                <c:pt idx="8">
                  <c:v>Emisné kvóty</c:v>
                </c:pt>
                <c:pt idx="9">
                  <c:v>Dane</c:v>
                </c:pt>
              </c:strCache>
            </c:strRef>
          </c:cat>
          <c:val>
            <c:numRef>
              <c:f>'G23'!$C$8:$C$12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3024-4817-9489-44FB21F31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4290656"/>
        <c:axId val="394291832"/>
      </c:barChart>
      <c:catAx>
        <c:axId val="394290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1832"/>
        <c:crosses val="autoZero"/>
        <c:auto val="1"/>
        <c:lblAlgn val="ctr"/>
        <c:lblOffset val="100"/>
        <c:noMultiLvlLbl val="0"/>
      </c:catAx>
      <c:valAx>
        <c:axId val="394291832"/>
        <c:scaling>
          <c:orientation val="minMax"/>
          <c:max val="0.4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06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525340070196133"/>
          <c:y val="0.64198815805840603"/>
          <c:w val="0.19539237923128461"/>
          <c:h val="0.2393229777692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31146106736652E-2"/>
          <c:y val="5.0925925925925923E-2"/>
          <c:w val="0.82992082239720033"/>
          <c:h val="0.8416746864975212"/>
        </c:manualLayout>
      </c:layout>
      <c:areaChart>
        <c:grouping val="standard"/>
        <c:varyColors val="0"/>
        <c:ser>
          <c:idx val="1"/>
          <c:order val="0"/>
          <c:tx>
            <c:v>Scenár nezmenených politík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38-42DF-9C68-F9B82887EB2A}"/>
                </c:ext>
              </c:extLst>
            </c:dLbl>
            <c:dLbl>
              <c:idx val="1"/>
              <c:layout>
                <c:manualLayout>
                  <c:x val="2.7777777777777779E-3"/>
                  <c:y val="-0.22010582010582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8-42DF-9C68-F9B82887EB2A}"/>
                </c:ext>
              </c:extLst>
            </c:dLbl>
            <c:dLbl>
              <c:idx val="2"/>
              <c:layout>
                <c:manualLayout>
                  <c:x val="-8.3333333333333332E-3"/>
                  <c:y val="-0.15661375661375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8-42DF-9C68-F9B82887EB2A}"/>
                </c:ext>
              </c:extLst>
            </c:dLbl>
            <c:dLbl>
              <c:idx val="3"/>
              <c:layout>
                <c:manualLayout>
                  <c:x val="-8.3333333333333332E-3"/>
                  <c:y val="-0.3047619047619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8-42DF-9C68-F9B82887EB2A}"/>
                </c:ext>
              </c:extLst>
            </c:dLbl>
            <c:dLbl>
              <c:idx val="4"/>
              <c:layout>
                <c:manualLayout>
                  <c:x val="-8.3333333333333332E-3"/>
                  <c:y val="-0.17777777777777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8-42DF-9C68-F9B82887E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'G24'!$B$2:$F$2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'G24'!$B$6:$F$6</c:f>
              <c:numCache>
                <c:formatCode>#\ ##0.0</c:formatCode>
                <c:ptCount val="5"/>
                <c:pt idx="0">
                  <c:v>51.818764324617398</c:v>
                </c:pt>
                <c:pt idx="1">
                  <c:v>50.785308657820302</c:v>
                </c:pt>
                <c:pt idx="2">
                  <c:v>48.710217193343261</c:v>
                </c:pt>
                <c:pt idx="3">
                  <c:v>50.10075968634284</c:v>
                </c:pt>
                <c:pt idx="4">
                  <c:v>46.222704413930998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8-42DF-9C68-F9B82887EB2A}"/>
            </c:ext>
          </c:extLst>
        </c:ser>
        <c:ser>
          <c:idx val="0"/>
          <c:order val="1"/>
          <c:tx>
            <c:v>Prognóza MFSR</c:v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2.4999999999999988E-2"/>
                  <c:y val="-0.2802909636295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8-42DF-9C68-F9B82887EB2A}"/>
                </c:ext>
              </c:extLst>
            </c:dLbl>
            <c:dLbl>
              <c:idx val="1"/>
              <c:layout>
                <c:manualLayout>
                  <c:x val="2.7777777777777779E-3"/>
                  <c:y val="-0.27077517484227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8-42DF-9C68-F9B82887EB2A}"/>
                </c:ext>
              </c:extLst>
            </c:dLbl>
            <c:dLbl>
              <c:idx val="2"/>
              <c:layout>
                <c:manualLayout>
                  <c:x val="-1.1473534558180228E-2"/>
                  <c:y val="-0.22103170437028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8-42DF-9C68-F9B82887EB2A}"/>
                </c:ext>
              </c:extLst>
            </c:dLbl>
            <c:dLbl>
              <c:idx val="3"/>
              <c:layout>
                <c:manualLayout>
                  <c:x val="-2.7777777777777779E-3"/>
                  <c:y val="-0.11664708578094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8-42DF-9C68-F9B82887EB2A}"/>
                </c:ext>
              </c:extLst>
            </c:dLbl>
            <c:dLbl>
              <c:idx val="4"/>
              <c:layout>
                <c:manualLayout>
                  <c:x val="-3.3333333333333333E-2"/>
                  <c:y val="-2.990926134233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8-42DF-9C68-F9B82887E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'G24'!$B$2:$F$2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'G24'!$B$4:$F$4</c:f>
              <c:numCache>
                <c:formatCode>#\ ##0.0</c:formatCode>
                <c:ptCount val="5"/>
                <c:pt idx="0">
                  <c:v>51.818786034437302</c:v>
                </c:pt>
                <c:pt idx="1">
                  <c:v>51.116099441165019</c:v>
                </c:pt>
                <c:pt idx="2">
                  <c:v>49.945620735725768</c:v>
                </c:pt>
                <c:pt idx="3">
                  <c:v>47.827613436403134</c:v>
                </c:pt>
                <c:pt idx="4">
                  <c:v>45.509557571303141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38-42DF-9C68-F9B82887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92616"/>
        <c:axId val="394289872"/>
      </c:areaChart>
      <c:catAx>
        <c:axId val="39429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89872"/>
        <c:crosses val="autoZero"/>
        <c:auto val="1"/>
        <c:lblAlgn val="ctr"/>
        <c:lblOffset val="100"/>
        <c:noMultiLvlLbl val="0"/>
      </c:catAx>
      <c:valAx>
        <c:axId val="394289872"/>
        <c:scaling>
          <c:orientation val="minMax"/>
          <c:max val="54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2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2096456692913378E-2"/>
          <c:y val="5.266039661708953E-2"/>
          <c:w val="0.38179243219597553"/>
          <c:h val="0.1400495771361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07222501442637E-2"/>
          <c:y val="0.10739938757655293"/>
          <c:w val="0.90799277749855734"/>
          <c:h val="0.825265920707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'G01'!$A$3</c:f>
              <c:strCache>
                <c:ptCount val="1"/>
                <c:pt idx="0">
                  <c:v>RVS 2017-2019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9.9750623441396506E-3"/>
                  <c:y val="2.2695035460992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42-49AD-94EB-F8623DFFD4F6}"/>
                </c:ext>
              </c:extLst>
            </c:dLbl>
            <c:dLbl>
              <c:idx val="3"/>
              <c:layout>
                <c:manualLayout>
                  <c:x val="-1.5760441292356302E-2"/>
                  <c:y val="1.5037593984962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2-49AD-94EB-F8623DFFD4F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2E4F8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'G01'!$B$3:$F$3</c:f>
              <c:numCache>
                <c:formatCode>0.00</c:formatCode>
                <c:ptCount val="5"/>
                <c:pt idx="0">
                  <c:v>-1.93</c:v>
                </c:pt>
                <c:pt idx="1">
                  <c:v>-1.29</c:v>
                </c:pt>
                <c:pt idx="2">
                  <c:v>-0.44</c:v>
                </c:pt>
                <c:pt idx="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2-49AD-94EB-F8623DFFD4F6}"/>
            </c:ext>
          </c:extLst>
        </c:ser>
        <c:ser>
          <c:idx val="2"/>
          <c:order val="1"/>
          <c:tx>
            <c:strRef>
              <c:f>'G01'!$A$4</c:f>
              <c:strCache>
                <c:ptCount val="1"/>
                <c:pt idx="0">
                  <c:v>PS 2017-2020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9.4562647754137114E-3"/>
                  <c:y val="1.002506265664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2-49AD-94EB-F8623DFFD4F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'G01'!$B$4:$F$4</c:f>
              <c:numCache>
                <c:formatCode>0.00</c:formatCode>
                <c:ptCount val="5"/>
                <c:pt idx="0">
                  <c:v>-1.6817818285144437</c:v>
                </c:pt>
                <c:pt idx="1">
                  <c:v>-1.2399995686941512</c:v>
                </c:pt>
                <c:pt idx="2">
                  <c:v>-0.50000000000000522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42-49AD-94EB-F8623DFFD4F6}"/>
            </c:ext>
          </c:extLst>
        </c:ser>
        <c:ser>
          <c:idx val="3"/>
          <c:order val="2"/>
          <c:tx>
            <c:strRef>
              <c:f>'G01'!$A$5</c:f>
              <c:strCache>
                <c:ptCount val="1"/>
                <c:pt idx="0">
                  <c:v>NRVS 2018-2020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9.9750623441396506E-3"/>
                  <c:y val="2.8368794326241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2-49AD-94EB-F8623DFFD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'G01'!$B$5:$F$5</c:f>
              <c:numCache>
                <c:formatCode>0.00</c:formatCode>
                <c:ptCount val="5"/>
                <c:pt idx="0">
                  <c:v>-2.19</c:v>
                </c:pt>
                <c:pt idx="1">
                  <c:v>-1.63</c:v>
                </c:pt>
                <c:pt idx="2">
                  <c:v>-0.82999969762914805</c:v>
                </c:pt>
                <c:pt idx="3">
                  <c:v>-0.32484167369140921</c:v>
                </c:pt>
                <c:pt idx="4">
                  <c:v>-0.2703050705834002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42-49AD-94EB-F8623DFFD4F6}"/>
            </c:ext>
          </c:extLst>
        </c:ser>
        <c:ser>
          <c:idx val="0"/>
          <c:order val="3"/>
          <c:tx>
            <c:strRef>
              <c:f>'G01'!$A$6</c:f>
              <c:strCache>
                <c:ptCount val="1"/>
                <c:pt idx="0">
                  <c:v>Fiškálny rámec (ciele)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2695035460992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2-49AD-94EB-F8623DFFD4F6}"/>
                </c:ext>
              </c:extLst>
            </c:dLbl>
            <c:dLbl>
              <c:idx val="1"/>
              <c:layout>
                <c:manualLayout>
                  <c:x val="2.6600166251039069E-2"/>
                  <c:y val="3.4042553191489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2-49AD-94EB-F8623DFFD4F6}"/>
                </c:ext>
              </c:extLst>
            </c:dLbl>
            <c:dLbl>
              <c:idx val="2"/>
              <c:layout>
                <c:manualLayout>
                  <c:x val="1.6625103906899419E-2"/>
                  <c:y val="2.8368794326241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2-49AD-94EB-F8623DFFD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'G01'!$B$6:$F$6</c:f>
              <c:numCache>
                <c:formatCode>0.00</c:formatCode>
                <c:ptCount val="5"/>
                <c:pt idx="0">
                  <c:v>-2.1911520941153646</c:v>
                </c:pt>
                <c:pt idx="1">
                  <c:v>-1.6259539031147603</c:v>
                </c:pt>
                <c:pt idx="2">
                  <c:v>-0.82999969762914805</c:v>
                </c:pt>
                <c:pt idx="3">
                  <c:v>-0.10000013791542728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42-49AD-94EB-F8623DFF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01400"/>
        <c:axId val="457802184"/>
      </c:barChart>
      <c:catAx>
        <c:axId val="45780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2184"/>
        <c:crosses val="autoZero"/>
        <c:auto val="1"/>
        <c:lblAlgn val="ctr"/>
        <c:lblOffset val="100"/>
        <c:noMultiLvlLbl val="0"/>
      </c:catAx>
      <c:valAx>
        <c:axId val="457802184"/>
        <c:scaling>
          <c:orientation val="minMax"/>
          <c:min val="-3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1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75864799942398"/>
          <c:y val="0.64534986318199583"/>
          <c:w val="0.44624135200057607"/>
          <c:h val="0.25106517004523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870946340040828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'G25'!$A$3</c:f>
              <c:strCache>
                <c:ptCount val="1"/>
                <c:pt idx="0">
                  <c:v>Dlh v NPC scenári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'G25'!$B$2:$E$2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'G25'!$B$3:$E$3</c:f>
              <c:numCache>
                <c:formatCode>#\ ##0.0</c:formatCode>
                <c:ptCount val="4"/>
                <c:pt idx="0">
                  <c:v>-1.0334556667970958</c:v>
                </c:pt>
                <c:pt idx="1">
                  <c:v>-2.0750914644770404</c:v>
                </c:pt>
                <c:pt idx="2">
                  <c:v>1.3905424929995789</c:v>
                </c:pt>
                <c:pt idx="3">
                  <c:v>-3.8780552724118422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D-49BA-A77A-31B322946C9E}"/>
            </c:ext>
          </c:extLst>
        </c:ser>
        <c:ser>
          <c:idx val="1"/>
          <c:order val="1"/>
          <c:tx>
            <c:strRef>
              <c:f>'G25'!$A$4</c:f>
              <c:strCache>
                <c:ptCount val="1"/>
                <c:pt idx="0">
                  <c:v>Opatrenia v salde (NRVS)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'G25'!$B$2:$E$2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'G25'!$B$4:$E$4</c:f>
              <c:numCache>
                <c:formatCode>#\ ##0.0</c:formatCode>
                <c:ptCount val="4"/>
                <c:pt idx="0">
                  <c:v>0</c:v>
                </c:pt>
                <c:pt idx="1">
                  <c:v>-0.42833992974146073</c:v>
                </c:pt>
                <c:pt idx="2">
                  <c:v>-0.51963738625136335</c:v>
                </c:pt>
                <c:pt idx="3">
                  <c:v>-0.2978914225535968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D-49BA-A77A-31B322946C9E}"/>
            </c:ext>
          </c:extLst>
        </c:ser>
        <c:ser>
          <c:idx val="3"/>
          <c:order val="2"/>
          <c:tx>
            <c:strRef>
              <c:f>'G25'!$A$5</c:f>
              <c:strCache>
                <c:ptCount val="1"/>
                <c:pt idx="0">
                  <c:v>Ostatné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'G25'!$B$2:$E$2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'G25'!$B$5:$E$5</c:f>
              <c:numCache>
                <c:formatCode>#\ ##0.0</c:formatCode>
                <c:ptCount val="4"/>
                <c:pt idx="0">
                  <c:v>0.330769073524813</c:v>
                </c:pt>
                <c:pt idx="1">
                  <c:v>1.33295268877925</c:v>
                </c:pt>
                <c:pt idx="2">
                  <c:v>-2.9889124060708503</c:v>
                </c:pt>
                <c:pt idx="3">
                  <c:v>1.8578908298654464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D-49BA-A77A-31B32294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669800"/>
        <c:axId val="353672544"/>
      </c:barChart>
      <c:lineChart>
        <c:grouping val="standard"/>
        <c:varyColors val="0"/>
        <c:ser>
          <c:idx val="4"/>
          <c:order val="3"/>
          <c:tx>
            <c:strRef>
              <c:f>'G25'!$A$6</c:f>
              <c:strCache>
                <c:ptCount val="1"/>
                <c:pt idx="0">
                  <c:v>Prognóza MF SR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'G25'!$B$6:$E$6</c:f>
              <c:numCache>
                <c:formatCode>#\ ##0.0</c:formatCode>
                <c:ptCount val="4"/>
                <c:pt idx="0">
                  <c:v>-0.70268659327228278</c:v>
                </c:pt>
                <c:pt idx="1">
                  <c:v>-1.1704787054392511</c:v>
                </c:pt>
                <c:pt idx="2">
                  <c:v>-2.1180072993226347</c:v>
                </c:pt>
                <c:pt idx="3">
                  <c:v>-2.3180558650999927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5D-49BA-A77A-31B32294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69800"/>
        <c:axId val="353672544"/>
      </c:lineChart>
      <c:catAx>
        <c:axId val="35366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72544"/>
        <c:crosses val="autoZero"/>
        <c:auto val="1"/>
        <c:lblAlgn val="ctr"/>
        <c:lblOffset val="100"/>
        <c:noMultiLvlLbl val="0"/>
      </c:catAx>
      <c:valAx>
        <c:axId val="3536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6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85239596728262E-2"/>
          <c:y val="0.70339115359657522"/>
          <c:w val="0.44741836800601265"/>
          <c:h val="0.21471288413671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39588801399822E-2"/>
          <c:y val="8.4251239428404789E-2"/>
          <c:w val="0.87394550579340335"/>
          <c:h val="0.90161927675707199"/>
        </c:manualLayout>
      </c:layout>
      <c:barChart>
        <c:barDir val="col"/>
        <c:grouping val="clustered"/>
        <c:varyColors val="0"/>
        <c:ser>
          <c:idx val="2"/>
          <c:order val="3"/>
          <c:tx>
            <c:strRef>
              <c:f>'G26'!$A$6</c:f>
              <c:strCache>
                <c:ptCount val="1"/>
                <c:pt idx="0">
                  <c:v>rozdiel v cieli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numRef>
              <c:f>'G26'!$D$3:$M$3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'G26'!$D$6:$M$6</c:f>
              <c:numCache>
                <c:formatCode>0.00</c:formatCode>
                <c:ptCount val="10"/>
                <c:pt idx="0">
                  <c:v>-4.7</c:v>
                </c:pt>
                <c:pt idx="1">
                  <c:v>-4.9000000000000004</c:v>
                </c:pt>
                <c:pt idx="2">
                  <c:v>-1.5999999999999996</c:v>
                </c:pt>
                <c:pt idx="3">
                  <c:v>0</c:v>
                </c:pt>
                <c:pt idx="4">
                  <c:v>0.1599999999999997</c:v>
                </c:pt>
                <c:pt idx="5">
                  <c:v>-0.5900000000000003</c:v>
                </c:pt>
                <c:pt idx="6">
                  <c:v>-0.42999999999999994</c:v>
                </c:pt>
                <c:pt idx="7">
                  <c:v>-0.9000001435861632</c:v>
                </c:pt>
                <c:pt idx="8">
                  <c:v>-0.82999969762914805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E-4B79-88CD-30A7ED3B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15858208"/>
        <c:axId val="315858600"/>
      </c:barChart>
      <c:lineChart>
        <c:grouping val="standard"/>
        <c:varyColors val="0"/>
        <c:ser>
          <c:idx val="0"/>
          <c:order val="0"/>
          <c:tx>
            <c:strRef>
              <c:f>'G26'!$A$4</c:f>
              <c:strCache>
                <c:ptCount val="1"/>
                <c:pt idx="0">
                  <c:v>prvé zverejnenie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'G26'!$D$3:$N$3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'G26'!$D$4:$N$4</c:f>
              <c:numCache>
                <c:formatCode>0.00</c:formatCode>
                <c:ptCount val="11"/>
                <c:pt idx="0">
                  <c:v>-0.8</c:v>
                </c:pt>
                <c:pt idx="1">
                  <c:v>0</c:v>
                </c:pt>
                <c:pt idx="2">
                  <c:v>-3</c:v>
                </c:pt>
                <c:pt idx="3">
                  <c:v>-2.9</c:v>
                </c:pt>
                <c:pt idx="4">
                  <c:v>-2.8</c:v>
                </c:pt>
                <c:pt idx="5">
                  <c:v>-1.9</c:v>
                </c:pt>
                <c:pt idx="6">
                  <c:v>-1.5</c:v>
                </c:pt>
                <c:pt idx="7">
                  <c:v>-0.39</c:v>
                </c:pt>
                <c:pt idx="8">
                  <c:v>0</c:v>
                </c:pt>
                <c:pt idx="9">
                  <c:v>0.15999958902343381</c:v>
                </c:pt>
                <c:pt idx="10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E-4B79-88CD-30A7ED3BB206}"/>
            </c:ext>
          </c:extLst>
        </c:ser>
        <c:ser>
          <c:idx val="1"/>
          <c:order val="1"/>
          <c:tx>
            <c:strRef>
              <c:f>'G26'!$A$5</c:f>
              <c:strCache>
                <c:ptCount val="1"/>
                <c:pt idx="0">
                  <c:v>aktualizácia po 3 rokoch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B47B"/>
              </a:solidFill>
              <a:ln w="9525">
                <a:noFill/>
              </a:ln>
              <a:effectLst/>
            </c:spPr>
          </c:marker>
          <c:cat>
            <c:numRef>
              <c:f>'G26'!$D$3:$N$3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'G26'!$D$5:$M$5</c:f>
              <c:numCache>
                <c:formatCode>0.00</c:formatCode>
                <c:ptCount val="10"/>
                <c:pt idx="0">
                  <c:v>-5.5</c:v>
                </c:pt>
                <c:pt idx="1">
                  <c:v>-4.9000000000000004</c:v>
                </c:pt>
                <c:pt idx="2">
                  <c:v>-4.5999999999999996</c:v>
                </c:pt>
                <c:pt idx="3">
                  <c:v>-2.9</c:v>
                </c:pt>
                <c:pt idx="4">
                  <c:v>-2.64</c:v>
                </c:pt>
                <c:pt idx="5">
                  <c:v>-2.4900000000000002</c:v>
                </c:pt>
                <c:pt idx="6">
                  <c:v>-1.93</c:v>
                </c:pt>
                <c:pt idx="7">
                  <c:v>-1.2900001435861632</c:v>
                </c:pt>
                <c:pt idx="8">
                  <c:v>-0.82999969762914805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E-4B79-88CD-30A7ED3BB206}"/>
            </c:ext>
          </c:extLst>
        </c:ser>
        <c:ser>
          <c:idx val="3"/>
          <c:order val="2"/>
          <c:tx>
            <c:strRef>
              <c:f>'G26'!$A$7</c:f>
              <c:strCache>
                <c:ptCount val="1"/>
                <c:pt idx="0">
                  <c:v>skutočnosť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9525">
                <a:solidFill>
                  <a:srgbClr val="13B5EA"/>
                </a:solidFill>
              </a:ln>
              <a:effectLst/>
            </c:spPr>
          </c:marker>
          <c:cat>
            <c:numRef>
              <c:f>'G26'!$D$3:$N$3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'G26'!$D$7:$M$7</c:f>
              <c:numCache>
                <c:formatCode>General</c:formatCode>
                <c:ptCount val="10"/>
                <c:pt idx="0">
                  <c:v>-7.5</c:v>
                </c:pt>
                <c:pt idx="1">
                  <c:v>-4.3</c:v>
                </c:pt>
                <c:pt idx="2">
                  <c:v>-4.3</c:v>
                </c:pt>
                <c:pt idx="3">
                  <c:v>-2.7</c:v>
                </c:pt>
                <c:pt idx="4">
                  <c:v>-2.7</c:v>
                </c:pt>
                <c:pt idx="5">
                  <c:v>-2.7</c:v>
                </c:pt>
                <c:pt idx="6" formatCode="0.000">
                  <c:v>-2.1911520941153646</c:v>
                </c:pt>
                <c:pt idx="7" formatCode="0.000">
                  <c:v>-1.6259539031147603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0E-4B79-88CD-30A7ED3B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58208"/>
        <c:axId val="315858600"/>
      </c:lineChart>
      <c:catAx>
        <c:axId val="3158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5858600"/>
        <c:crossesAt val="0"/>
        <c:auto val="1"/>
        <c:lblAlgn val="ctr"/>
        <c:lblOffset val="100"/>
        <c:noMultiLvlLbl val="0"/>
      </c:catAx>
      <c:valAx>
        <c:axId val="315858600"/>
        <c:scaling>
          <c:orientation val="minMax"/>
          <c:max val="0.60000000000000009"/>
          <c:min val="-7.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5858208"/>
        <c:crosses val="autoZero"/>
        <c:crossBetween val="between"/>
        <c:min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722222222222228"/>
          <c:y val="0.69502260134149907"/>
          <c:w val="0.39444444444444443"/>
          <c:h val="0.19386628754738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06255468066494E-2"/>
          <c:y val="5.0925925925925923E-2"/>
          <c:w val="0.83558748906386704"/>
          <c:h val="0.84977544473607469"/>
        </c:manualLayout>
      </c:layout>
      <c:barChart>
        <c:barDir val="col"/>
        <c:grouping val="clustered"/>
        <c:varyColors val="0"/>
        <c:ser>
          <c:idx val="0"/>
          <c:order val="0"/>
          <c:tx>
            <c:v>Zmena cieľov salda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'G27'!$A$3:$A$7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'G27'!$I$3:$I$7</c:f>
              <c:numCache>
                <c:formatCode>0.0</c:formatCode>
                <c:ptCount val="5"/>
                <c:pt idx="0">
                  <c:v>-0.81006148343656914</c:v>
                </c:pt>
                <c:pt idx="1">
                  <c:v>-0.63003037694498021</c:v>
                </c:pt>
                <c:pt idx="2">
                  <c:v>-0.7500132475468424</c:v>
                </c:pt>
                <c:pt idx="3">
                  <c:v>-0.29998740648553901</c:v>
                </c:pt>
                <c:pt idx="4">
                  <c:v>-0.26004107812579214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1-4DB4-A1DE-F956571200AC}"/>
            </c:ext>
          </c:extLst>
        </c:ser>
        <c:ser>
          <c:idx val="1"/>
          <c:order val="1"/>
          <c:tx>
            <c:v>Zmena daňových príjmov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'G27'!$A$3:$A$7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'G27'!$I$11:$I$15</c:f>
              <c:numCache>
                <c:formatCode>0.0</c:formatCode>
                <c:ptCount val="5"/>
                <c:pt idx="0">
                  <c:v>2.8150203752809873</c:v>
                </c:pt>
                <c:pt idx="1">
                  <c:v>3.11570015021967</c:v>
                </c:pt>
                <c:pt idx="2">
                  <c:v>3.7482169911903753</c:v>
                </c:pt>
                <c:pt idx="3">
                  <c:v>2.3408528514737341</c:v>
                </c:pt>
                <c:pt idx="4">
                  <c:v>1.2562602606320254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1-4DB4-A1DE-F9565712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320191"/>
        <c:axId val="162548351"/>
      </c:barChart>
      <c:lineChart>
        <c:grouping val="stacked"/>
        <c:varyColors val="0"/>
        <c:ser>
          <c:idx val="2"/>
          <c:order val="2"/>
          <c:tx>
            <c:v>Skutočnosť*</c:v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noFill/>
              </a:ln>
              <a:effectLst/>
            </c:spPr>
          </c:marker>
          <c:cat>
            <c:numRef>
              <c:f>'G27'!$A$3:$A$7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'G27'!$J$3:$J$5</c:f>
              <c:numCache>
                <c:formatCode>0.0</c:formatCode>
                <c:ptCount val="3"/>
                <c:pt idx="0">
                  <c:v>-1.0646641288846905</c:v>
                </c:pt>
                <c:pt idx="1">
                  <c:v>-0.87003284133863268</c:v>
                </c:pt>
                <c:pt idx="2">
                  <c:v>-1.0860130050704511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1-4DB4-A1DE-F9565712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20191"/>
        <c:axId val="162548351"/>
      </c:lineChart>
      <c:lineChart>
        <c:grouping val="stacked"/>
        <c:varyColors val="0"/>
        <c:ser>
          <c:idx val="3"/>
          <c:order val="3"/>
          <c:tx>
            <c:v>Skutočnosť*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noFill/>
              </a:ln>
              <a:effectLst/>
            </c:spPr>
          </c:marker>
          <c:cat>
            <c:numRef>
              <c:f>'G27'!$A$3:$A$7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'G27'!$J$11:$J$13</c:f>
              <c:numCache>
                <c:formatCode>0.0</c:formatCode>
                <c:ptCount val="3"/>
                <c:pt idx="0">
                  <c:v>3.6762360646901868</c:v>
                </c:pt>
                <c:pt idx="1">
                  <c:v>3.5082337731949416</c:v>
                </c:pt>
                <c:pt idx="2">
                  <c:v>3.5329980012781412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51-4DB4-A1DE-F9565712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24767"/>
        <c:axId val="162553967"/>
      </c:lineChart>
      <c:catAx>
        <c:axId val="164320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62548351"/>
        <c:crosses val="autoZero"/>
        <c:auto val="1"/>
        <c:lblAlgn val="ctr"/>
        <c:lblOffset val="100"/>
        <c:noMultiLvlLbl val="0"/>
      </c:catAx>
      <c:valAx>
        <c:axId val="16254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64320191"/>
        <c:crosses val="autoZero"/>
        <c:crossBetween val="between"/>
      </c:valAx>
      <c:valAx>
        <c:axId val="162553967"/>
        <c:scaling>
          <c:orientation val="minMax"/>
          <c:min val="-2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64324767"/>
        <c:crosses val="max"/>
        <c:crossBetween val="between"/>
      </c:valAx>
      <c:catAx>
        <c:axId val="1643247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5539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44444444444444"/>
          <c:y val="9.3170749489647139E-2"/>
          <c:w val="0.38611111111111113"/>
          <c:h val="0.16145888013998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93830318507483856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'G28'!$A$3</c:f>
              <c:strCache>
                <c:ptCount val="1"/>
                <c:pt idx="0">
                  <c:v>Neočakávané vplyvy 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5.53335088433095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1-4ACF-8326-9B1E56172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'G28'!$B$2:$H$2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'G28'!$B$3:$H$3</c:f>
              <c:numCache>
                <c:formatCode>#,##0.00</c:formatCode>
                <c:ptCount val="7"/>
                <c:pt idx="0">
                  <c:v>0.32581778532360944</c:v>
                </c:pt>
                <c:pt idx="1">
                  <c:v>0.71527633932094015</c:v>
                </c:pt>
                <c:pt idx="2">
                  <c:v>1.9017611377206038</c:v>
                </c:pt>
                <c:pt idx="3">
                  <c:v>1.2372488287279007</c:v>
                </c:pt>
                <c:pt idx="4">
                  <c:v>1.0207928066166754</c:v>
                </c:pt>
                <c:pt idx="5">
                  <c:v>0.2007492655450108</c:v>
                </c:pt>
                <c:pt idx="6">
                  <c:v>0.26938812374229382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1-4ACF-8326-9B1E561720A1}"/>
            </c:ext>
          </c:extLst>
        </c:ser>
        <c:ser>
          <c:idx val="1"/>
          <c:order val="1"/>
          <c:tx>
            <c:strRef>
              <c:f>'G28'!$A$4</c:f>
              <c:strCache>
                <c:ptCount val="1"/>
                <c:pt idx="0">
                  <c:v>Ostatné položky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068518518518515E-3"/>
                  <c:y val="-3.50056242969628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1-4ACF-8326-9B1E56172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'G28'!$B$2:$H$2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'G28'!$B$4:$H$4</c:f>
              <c:numCache>
                <c:formatCode>#,##0.00</c:formatCode>
                <c:ptCount val="7"/>
                <c:pt idx="0">
                  <c:v>-9.9090048694698937E-2</c:v>
                </c:pt>
                <c:pt idx="1">
                  <c:v>-0.4872579652905048</c:v>
                </c:pt>
                <c:pt idx="2">
                  <c:v>-1.9751234037397962</c:v>
                </c:pt>
                <c:pt idx="3">
                  <c:v>-1.5161944045384683</c:v>
                </c:pt>
                <c:pt idx="4">
                  <c:v>-1.2886888984529712</c:v>
                </c:pt>
                <c:pt idx="5">
                  <c:v>-0.54514303388574969</c:v>
                </c:pt>
                <c:pt idx="6">
                  <c:v>-0.66322382764477372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1-4ACF-8326-9B1E56172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504984"/>
        <c:axId val="309512432"/>
      </c:barChart>
      <c:lineChart>
        <c:grouping val="stacked"/>
        <c:varyColors val="0"/>
        <c:ser>
          <c:idx val="2"/>
          <c:order val="2"/>
          <c:tx>
            <c:strRef>
              <c:f>'G28'!$A$5</c:f>
              <c:strCache>
                <c:ptCount val="1"/>
                <c:pt idx="0">
                  <c:v>Zmena salda VS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cat>
            <c:numRef>
              <c:f>'G28'!$B$2:$E$2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'G28'!$B$5:$H$5</c:f>
              <c:numCache>
                <c:formatCode>#\ ##0.0</c:formatCode>
                <c:ptCount val="7"/>
                <c:pt idx="0">
                  <c:v>0.25511366692830872</c:v>
                </c:pt>
                <c:pt idx="1">
                  <c:v>0.18001152165920509</c:v>
                </c:pt>
                <c:pt idx="2">
                  <c:v>-6.7326627732081423E-2</c:v>
                </c:pt>
                <c:pt idx="3">
                  <c:v>-0.2545806862164679</c:v>
                </c:pt>
                <c:pt idx="4">
                  <c:v>-0.25596741996698014</c:v>
                </c:pt>
                <c:pt idx="5">
                  <c:v>-0.33999999999999986</c:v>
                </c:pt>
                <c:pt idx="6">
                  <c:v>-0.38999999999999996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81-4ACF-8326-9B1E56172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04984"/>
        <c:axId val="309512432"/>
      </c:lineChart>
      <c:catAx>
        <c:axId val="30950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2432"/>
        <c:crosses val="autoZero"/>
        <c:auto val="1"/>
        <c:lblAlgn val="ctr"/>
        <c:lblOffset val="100"/>
        <c:noMultiLvlLbl val="0"/>
      </c:catAx>
      <c:valAx>
        <c:axId val="3095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0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469592592592593E-2"/>
          <c:y val="3.4742040223695439E-2"/>
          <c:w val="0.3919869475774988"/>
          <c:h val="0.1565363903980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93830318507483856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'G28'!$A$3</c:f>
              <c:strCache>
                <c:ptCount val="1"/>
                <c:pt idx="0">
                  <c:v>Neočakávané vplyvy 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290764790764812E-3"/>
                  <c:y val="-5.47633219954649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C3-4AFC-8DA9-8333BE6A53F5}"/>
                </c:ext>
              </c:extLst>
            </c:dLbl>
            <c:dLbl>
              <c:idx val="1"/>
              <c:layout>
                <c:manualLayout>
                  <c:x val="0"/>
                  <c:y val="-9.49311224489796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3-4AFC-8DA9-8333BE6A53F5}"/>
                </c:ext>
              </c:extLst>
            </c:dLbl>
            <c:dLbl>
              <c:idx val="5"/>
              <c:layout>
                <c:manualLayout>
                  <c:x val="-1.6798747738374432E-16"/>
                  <c:y val="-5.59974489795918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3-4AFC-8DA9-8333BE6A53F5}"/>
                </c:ext>
              </c:extLst>
            </c:dLbl>
            <c:dLbl>
              <c:idx val="6"/>
              <c:layout>
                <c:manualLayout>
                  <c:x val="-1.6798747738374432E-16"/>
                  <c:y val="-6.1946319123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3-4AFC-8DA9-8333BE6A53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'G28'!$B$2:$H$2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'G28'!$B$3:$H$3</c:f>
              <c:numCache>
                <c:formatCode>#,##0.00</c:formatCode>
                <c:ptCount val="7"/>
                <c:pt idx="0">
                  <c:v>0.32581778532360944</c:v>
                </c:pt>
                <c:pt idx="1">
                  <c:v>0.71527633932094015</c:v>
                </c:pt>
                <c:pt idx="2">
                  <c:v>1.9017611377206038</c:v>
                </c:pt>
                <c:pt idx="3">
                  <c:v>1.2372488287279007</c:v>
                </c:pt>
                <c:pt idx="4">
                  <c:v>1.0207928066166754</c:v>
                </c:pt>
                <c:pt idx="5">
                  <c:v>0.2007492655450108</c:v>
                </c:pt>
                <c:pt idx="6">
                  <c:v>0.26938812374229382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C3-4AFC-8DA9-8333BE6A53F5}"/>
            </c:ext>
          </c:extLst>
        </c:ser>
        <c:ser>
          <c:idx val="1"/>
          <c:order val="1"/>
          <c:tx>
            <c:strRef>
              <c:f>'G28'!$A$4</c:f>
              <c:strCache>
                <c:ptCount val="1"/>
                <c:pt idx="0">
                  <c:v>Ostatné položky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068518518518515E-3"/>
                  <c:y val="-3.50056242969628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3-4AFC-8DA9-8333BE6A53F5}"/>
                </c:ext>
              </c:extLst>
            </c:dLbl>
            <c:dLbl>
              <c:idx val="5"/>
              <c:layout>
                <c:manualLayout>
                  <c:x val="0"/>
                  <c:y val="-8.70267812268147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3-4AFC-8DA9-8333BE6A53F5}"/>
                </c:ext>
              </c:extLst>
            </c:dLbl>
            <c:dLbl>
              <c:idx val="6"/>
              <c:layout>
                <c:manualLayout>
                  <c:x val="-1.6798747738374432E-16"/>
                  <c:y val="-9.36470257061685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C3-4AFC-8DA9-8333BE6A53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'G28'!$B$2:$H$2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'G28'!$B$4:$H$4</c:f>
              <c:numCache>
                <c:formatCode>#,##0.00</c:formatCode>
                <c:ptCount val="7"/>
                <c:pt idx="0">
                  <c:v>-9.9090048694698937E-2</c:v>
                </c:pt>
                <c:pt idx="1">
                  <c:v>-0.4872579652905048</c:v>
                </c:pt>
                <c:pt idx="2">
                  <c:v>-1.9751234037397962</c:v>
                </c:pt>
                <c:pt idx="3">
                  <c:v>-1.5161944045384683</c:v>
                </c:pt>
                <c:pt idx="4">
                  <c:v>-1.2886888984529712</c:v>
                </c:pt>
                <c:pt idx="5">
                  <c:v>-0.54514303388574969</c:v>
                </c:pt>
                <c:pt idx="6">
                  <c:v>-0.66322382764477372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C3-4AFC-8DA9-8333BE6A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504984"/>
        <c:axId val="309512432"/>
      </c:barChart>
      <c:lineChart>
        <c:grouping val="stacked"/>
        <c:varyColors val="0"/>
        <c:ser>
          <c:idx val="2"/>
          <c:order val="2"/>
          <c:tx>
            <c:strRef>
              <c:f>'G28'!$A$5</c:f>
              <c:strCache>
                <c:ptCount val="1"/>
                <c:pt idx="0">
                  <c:v>Zmena salda VS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cat>
            <c:numRef>
              <c:f>'G28'!$B$2:$H$2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'G28'!$B$5:$H$5</c:f>
              <c:numCache>
                <c:formatCode>#\ ##0.0</c:formatCode>
                <c:ptCount val="7"/>
                <c:pt idx="0">
                  <c:v>0.25511366692830872</c:v>
                </c:pt>
                <c:pt idx="1">
                  <c:v>0.18001152165920509</c:v>
                </c:pt>
                <c:pt idx="2">
                  <c:v>-6.7326627732081423E-2</c:v>
                </c:pt>
                <c:pt idx="3">
                  <c:v>-0.2545806862164679</c:v>
                </c:pt>
                <c:pt idx="4">
                  <c:v>-0.25596741996698014</c:v>
                </c:pt>
                <c:pt idx="5">
                  <c:v>-0.33999999999999986</c:v>
                </c:pt>
                <c:pt idx="6">
                  <c:v>-0.38999999999999996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C3-4AFC-8DA9-8333BE6A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04984"/>
        <c:axId val="309512432"/>
      </c:lineChart>
      <c:catAx>
        <c:axId val="30950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2432"/>
        <c:crosses val="autoZero"/>
        <c:auto val="1"/>
        <c:lblAlgn val="ctr"/>
        <c:lblOffset val="100"/>
        <c:noMultiLvlLbl val="0"/>
      </c:catAx>
      <c:valAx>
        <c:axId val="3095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0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825577200577203E-2"/>
          <c:y val="4.1488662131519277E-2"/>
          <c:w val="0.32613518518518519"/>
          <c:h val="0.24569545828048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93830318507483856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'G29'!#REF!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8A-4C76-B35B-AB5BCAF71DE1}"/>
            </c:ext>
          </c:extLst>
        </c:ser>
        <c:ser>
          <c:idx val="1"/>
          <c:order val="1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'G29'!#REF!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08A-4C76-B35B-AB5BCAF7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504984"/>
        <c:axId val="309512432"/>
      </c:barChart>
      <c:lineChart>
        <c:grouping val="stacked"/>
        <c:varyColors val="0"/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cat>
            <c:numRef>
              <c:f>'G29'!$B$2:$E$2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'G29'!$B$6:$I$6</c:f>
              <c:numCache>
                <c:formatCode>#\ ##0.0</c:formatCode>
                <c:ptCount val="8"/>
                <c:pt idx="6" formatCode="#,##0.0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'G29'!#REF!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08A-4C76-B35B-AB5BCAF7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04984"/>
        <c:axId val="309512432"/>
      </c:lineChart>
      <c:catAx>
        <c:axId val="30950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2432"/>
        <c:crosses val="autoZero"/>
        <c:auto val="1"/>
        <c:lblAlgn val="ctr"/>
        <c:lblOffset val="100"/>
        <c:noMultiLvlLbl val="0"/>
      </c:catAx>
      <c:valAx>
        <c:axId val="3095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0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469592592592593E-2"/>
          <c:y val="3.4742040223695439E-2"/>
          <c:w val="0.3919869475774988"/>
          <c:h val="0.1565363903980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10892895144874E-2"/>
          <c:y val="2.2259451611101804E-2"/>
          <c:w val="0.92572644635636758"/>
          <c:h val="0.90895416212048141"/>
        </c:manualLayout>
      </c:layout>
      <c:lineChart>
        <c:grouping val="standard"/>
        <c:varyColors val="0"/>
        <c:ser>
          <c:idx val="2"/>
          <c:order val="0"/>
          <c:tx>
            <c:strRef>
              <c:f>'G29'!$A$5</c:f>
              <c:strCache>
                <c:ptCount val="1"/>
                <c:pt idx="0">
                  <c:v>Rozpočtované saldo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65000"/>
                </a:schemeClr>
              </a:solidFill>
              <a:ln w="222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633204633204633E-2"/>
                  <c:y val="5.2684903748733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9-48C3-A93D-CE4A4CF0D0B0}"/>
                </c:ext>
              </c:extLst>
            </c:dLbl>
            <c:dLbl>
              <c:idx val="1"/>
              <c:layout>
                <c:manualLayout>
                  <c:x val="-5.1480051480051478E-3"/>
                  <c:y val="4.0526849037487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9-48C3-A93D-CE4A4CF0D0B0}"/>
                </c:ext>
              </c:extLst>
            </c:dLbl>
            <c:dLbl>
              <c:idx val="2"/>
              <c:layout>
                <c:manualLayout>
                  <c:x val="-1.5444015444015538E-2"/>
                  <c:y val="-4.457953394123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9-48C3-A93D-CE4A4CF0D0B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'G29'!$B$5:$H$5</c:f>
              <c:numCache>
                <c:formatCode>#,##0.00</c:formatCode>
                <c:ptCount val="7"/>
                <c:pt idx="0">
                  <c:v>-4.5999999999999996</c:v>
                </c:pt>
                <c:pt idx="1">
                  <c:v>-2.9</c:v>
                </c:pt>
                <c:pt idx="2">
                  <c:v>-2.64</c:v>
                </c:pt>
                <c:pt idx="3">
                  <c:v>-2.4900000000000002</c:v>
                </c:pt>
                <c:pt idx="4">
                  <c:v>-1.93</c:v>
                </c:pt>
                <c:pt idx="5">
                  <c:v>-1.29</c:v>
                </c:pt>
                <c:pt idx="6">
                  <c:v>-0.44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79-48C3-A93D-CE4A4CF0D0B0}"/>
            </c:ext>
          </c:extLst>
        </c:ser>
        <c:ser>
          <c:idx val="0"/>
          <c:order val="1"/>
          <c:tx>
            <c:strRef>
              <c:f>'G29'!$A$3</c:f>
              <c:strCache>
                <c:ptCount val="1"/>
                <c:pt idx="0">
                  <c:v>Saldo po zohľadnení neočakávaných vplyvov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2700">
                <a:solidFill>
                  <a:srgbClr val="13B5E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610038610038655E-2"/>
                  <c:y val="-5.0628245937343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9-48C3-A93D-CE4A4CF0D0B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'G29'!$B$3:$H$3</c:f>
              <c:numCache>
                <c:formatCode>#\ ##0.0</c:formatCode>
                <c:ptCount val="7"/>
                <c:pt idx="0">
                  <c:v>-4.2457970612793741</c:v>
                </c:pt>
                <c:pt idx="1">
                  <c:v>-2.2327295228954038</c:v>
                </c:pt>
                <c:pt idx="2">
                  <c:v>-0.73220176243002899</c:v>
                </c:pt>
                <c:pt idx="3">
                  <c:v>-1.2283865607207403</c:v>
                </c:pt>
                <c:pt idx="4">
                  <c:v>-0.8971721259676454</c:v>
                </c:pt>
                <c:pt idx="5">
                  <c:v>-1.0768840359424829</c:v>
                </c:pt>
                <c:pt idx="6">
                  <c:v>-0.16477226273027454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9-48C3-A93D-CE4A4CF0D0B0}"/>
            </c:ext>
          </c:extLst>
        </c:ser>
        <c:ser>
          <c:idx val="1"/>
          <c:order val="2"/>
          <c:tx>
            <c:strRef>
              <c:f>'G29'!$A$4</c:f>
              <c:strCache>
                <c:ptCount val="1"/>
                <c:pt idx="0">
                  <c:v>Skutočné saldo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noFill/>
              </a:ln>
              <a:effectLst/>
            </c:spPr>
          </c:marker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'G29'!$B$4:$H$4</c:f>
              <c:numCache>
                <c:formatCode>#,##0.00</c:formatCode>
                <c:ptCount val="7"/>
                <c:pt idx="0">
                  <c:v>-4.3448863330716909</c:v>
                </c:pt>
                <c:pt idx="1">
                  <c:v>-2.7199884783407948</c:v>
                </c:pt>
                <c:pt idx="2">
                  <c:v>-2.7073266277320815</c:v>
                </c:pt>
                <c:pt idx="3">
                  <c:v>-2.7445806862164681</c:v>
                </c:pt>
                <c:pt idx="4">
                  <c:v>-2.1859674199669801</c:v>
                </c:pt>
                <c:pt idx="5">
                  <c:v>-1.63</c:v>
                </c:pt>
                <c:pt idx="6">
                  <c:v>-0.83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79-48C3-A93D-CE4A4CF0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14784"/>
        <c:axId val="309517136"/>
      </c:lineChart>
      <c:catAx>
        <c:axId val="3095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7136"/>
        <c:crosses val="autoZero"/>
        <c:auto val="1"/>
        <c:lblAlgn val="ctr"/>
        <c:lblOffset val="100"/>
        <c:noMultiLvlLbl val="0"/>
      </c:catAx>
      <c:valAx>
        <c:axId val="30951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752044507950026E-2"/>
          <c:y val="2.663667041619798E-2"/>
          <c:w val="0.57474113033168162"/>
          <c:h val="0.16058907530175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10892895144874E-2"/>
          <c:y val="2.2259451611101804E-2"/>
          <c:w val="0.92572644635636758"/>
          <c:h val="0.90895416212048141"/>
        </c:manualLayout>
      </c:layout>
      <c:lineChart>
        <c:grouping val="standard"/>
        <c:varyColors val="0"/>
        <c:ser>
          <c:idx val="2"/>
          <c:order val="0"/>
          <c:tx>
            <c:strRef>
              <c:f>'G29'!$A$5</c:f>
              <c:strCache>
                <c:ptCount val="1"/>
                <c:pt idx="0">
                  <c:v>Rozpočtované saldo</c:v>
                </c:pt>
              </c:strCache>
            </c:strRef>
          </c:tx>
          <c:spPr>
            <a:ln w="444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65000"/>
                </a:schemeClr>
              </a:solidFill>
              <a:ln w="222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633204633204633E-2"/>
                  <c:y val="5.2684903748733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3-4CE6-A005-370688DB0B5A}"/>
                </c:ext>
              </c:extLst>
            </c:dLbl>
            <c:dLbl>
              <c:idx val="1"/>
              <c:layout>
                <c:manualLayout>
                  <c:x val="-5.1480051480051478E-3"/>
                  <c:y val="4.0526849037487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3-4CE6-A005-370688DB0B5A}"/>
                </c:ext>
              </c:extLst>
            </c:dLbl>
            <c:dLbl>
              <c:idx val="2"/>
              <c:layout>
                <c:manualLayout>
                  <c:x val="-1.5444015444015538E-2"/>
                  <c:y val="-4.457953394123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3-4CE6-A005-370688DB0B5A}"/>
                </c:ext>
              </c:extLst>
            </c:dLbl>
            <c:dLbl>
              <c:idx val="6"/>
              <c:layout>
                <c:manualLayout>
                  <c:x val="0"/>
                  <c:y val="1.6210739614994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3-4CE6-A005-370688DB0B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'G29'!$B$5:$H$5</c:f>
              <c:numCache>
                <c:formatCode>#,##0.00</c:formatCode>
                <c:ptCount val="7"/>
                <c:pt idx="0">
                  <c:v>-4.5999999999999996</c:v>
                </c:pt>
                <c:pt idx="1">
                  <c:v>-2.9</c:v>
                </c:pt>
                <c:pt idx="2">
                  <c:v>-2.64</c:v>
                </c:pt>
                <c:pt idx="3">
                  <c:v>-2.4900000000000002</c:v>
                </c:pt>
                <c:pt idx="4">
                  <c:v>-1.93</c:v>
                </c:pt>
                <c:pt idx="5">
                  <c:v>-1.29</c:v>
                </c:pt>
                <c:pt idx="6">
                  <c:v>-0.44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53-4CE6-A005-370688DB0B5A}"/>
            </c:ext>
          </c:extLst>
        </c:ser>
        <c:ser>
          <c:idx val="0"/>
          <c:order val="1"/>
          <c:tx>
            <c:strRef>
              <c:f>'G29'!$A$3</c:f>
              <c:strCache>
                <c:ptCount val="1"/>
                <c:pt idx="0">
                  <c:v>Saldo po zohľadnení neočakávaných vplyvov</c:v>
                </c:pt>
              </c:strCache>
            </c:strRef>
          </c:tx>
          <c:spPr>
            <a:ln w="44450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2700">
                <a:solidFill>
                  <a:srgbClr val="13B5E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610038610038655E-2"/>
                  <c:y val="-5.0628245937343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3-4CE6-A005-370688DB0B5A}"/>
                </c:ext>
              </c:extLst>
            </c:dLbl>
            <c:dLbl>
              <c:idx val="1"/>
              <c:layout>
                <c:manualLayout>
                  <c:x val="-7.0868143459915614E-2"/>
                  <c:y val="-5.59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3-4CE6-A005-370688DB0B5A}"/>
                </c:ext>
              </c:extLst>
            </c:dLbl>
            <c:dLbl>
              <c:idx val="6"/>
              <c:layout>
                <c:manualLayout>
                  <c:x val="-8.0517229254571027E-2"/>
                  <c:y val="-2.65561224489795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3-4CE6-A005-370688DB0B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'G29'!$B$3:$H$3</c:f>
              <c:numCache>
                <c:formatCode>#\ ##0.0</c:formatCode>
                <c:ptCount val="7"/>
                <c:pt idx="0">
                  <c:v>-4.2457970612793741</c:v>
                </c:pt>
                <c:pt idx="1">
                  <c:v>-2.2327295228954038</c:v>
                </c:pt>
                <c:pt idx="2">
                  <c:v>-0.73220176243002899</c:v>
                </c:pt>
                <c:pt idx="3">
                  <c:v>-1.2283865607207403</c:v>
                </c:pt>
                <c:pt idx="4">
                  <c:v>-0.8971721259676454</c:v>
                </c:pt>
                <c:pt idx="5">
                  <c:v>-1.0768840359424829</c:v>
                </c:pt>
                <c:pt idx="6">
                  <c:v>-0.16477226273027454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3-4CE6-A005-370688DB0B5A}"/>
            </c:ext>
          </c:extLst>
        </c:ser>
        <c:ser>
          <c:idx val="1"/>
          <c:order val="2"/>
          <c:tx>
            <c:strRef>
              <c:f>'G29'!$A$4</c:f>
              <c:strCache>
                <c:ptCount val="1"/>
                <c:pt idx="0">
                  <c:v>Skutočné saldo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12700">
                <a:noFill/>
              </a:ln>
              <a:effectLst/>
            </c:spPr>
          </c:marker>
          <c:cat>
            <c:numRef>
              <c:f>'G29'!$B$2:$H$2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'G29'!$B$4:$H$4</c:f>
              <c:numCache>
                <c:formatCode>#,##0.00</c:formatCode>
                <c:ptCount val="7"/>
                <c:pt idx="0">
                  <c:v>-4.3448863330716909</c:v>
                </c:pt>
                <c:pt idx="1">
                  <c:v>-2.7199884783407948</c:v>
                </c:pt>
                <c:pt idx="2">
                  <c:v>-2.7073266277320815</c:v>
                </c:pt>
                <c:pt idx="3">
                  <c:v>-2.7445806862164681</c:v>
                </c:pt>
                <c:pt idx="4">
                  <c:v>-2.1859674199669801</c:v>
                </c:pt>
                <c:pt idx="5">
                  <c:v>-1.63</c:v>
                </c:pt>
                <c:pt idx="6">
                  <c:v>-0.83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53-4CE6-A005-370688DB0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14784"/>
        <c:axId val="309517136"/>
      </c:lineChart>
      <c:catAx>
        <c:axId val="3095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7136"/>
        <c:crosses val="autoZero"/>
        <c:auto val="1"/>
        <c:lblAlgn val="ctr"/>
        <c:lblOffset val="100"/>
        <c:noMultiLvlLbl val="0"/>
      </c:catAx>
      <c:valAx>
        <c:axId val="30951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340018518518519"/>
          <c:y val="0.65480283049725163"/>
          <c:w val="0.6194262962962962"/>
          <c:h val="0.221379348857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21333076068137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33005">
                  <a:schemeClr val="bg1">
                    <a:lumMod val="50000"/>
                  </a:schemeClr>
                </a:gs>
                <a:gs pos="83000">
                  <a:schemeClr val="bg1">
                    <a:lumMod val="9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4800000" scaled="0"/>
            </a:gradFill>
            <a:ln>
              <a:noFill/>
            </a:ln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chemeClr val="bg1"/>
              </a:outerShdw>
            </a:effectLst>
          </c:spPr>
          <c:explosion val="4"/>
          <c:dPt>
            <c:idx val="0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38-4829-A515-E228FE997B79}"/>
              </c:ext>
            </c:extLst>
          </c:dPt>
          <c:dPt>
            <c:idx val="1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438-4829-A515-E228FE997B79}"/>
              </c:ext>
            </c:extLst>
          </c:dPt>
          <c:dPt>
            <c:idx val="2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438-4829-A515-E228FE997B79}"/>
              </c:ext>
            </c:extLst>
          </c:dPt>
          <c:dPt>
            <c:idx val="3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438-4829-A515-E228FE997B79}"/>
              </c:ext>
            </c:extLst>
          </c:dPt>
          <c:dLbls>
            <c:dLbl>
              <c:idx val="0"/>
              <c:layout>
                <c:manualLayout>
                  <c:x val="-0.12782642255576293"/>
                  <c:y val="9.96441653428103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70906534002294"/>
                      <c:h val="0.245883840384020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438-4829-A515-E228FE997B79}"/>
                </c:ext>
              </c:extLst>
            </c:dLbl>
            <c:dLbl>
              <c:idx val="1"/>
              <c:layout>
                <c:manualLayout>
                  <c:x val="0.11688795605580786"/>
                  <c:y val="-9.489920508839076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8-4829-A515-E228FE997B79}"/>
                </c:ext>
              </c:extLst>
            </c:dLbl>
            <c:dLbl>
              <c:idx val="2"/>
              <c:layout>
                <c:manualLayout>
                  <c:x val="-0.12516555731196041"/>
                  <c:y val="3.046862273605616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54108665655115"/>
                      <c:h val="0.135777224489673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438-4829-A515-E228FE997B79}"/>
                </c:ext>
              </c:extLst>
            </c:dLbl>
            <c:dLbl>
              <c:idx val="3"/>
              <c:layout>
                <c:manualLayout>
                  <c:x val="0.112799961934771"/>
                  <c:y val="4.27046422897758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8-4829-A515-E228FE997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'G30'!$A$4:$A$7</c:f>
              <c:strCache>
                <c:ptCount val="4"/>
                <c:pt idx="0">
                  <c:v>Zmeny v sociálnej oblasti</c:v>
                </c:pt>
                <c:pt idx="1">
                  <c:v>Ministerstvo dopravy a výstavby</c:v>
                </c:pt>
                <c:pt idx="2">
                  <c:v>Zvyšovanie miezd</c:v>
                </c:pt>
                <c:pt idx="3">
                  <c:v>Ostatné opatrenia</c:v>
                </c:pt>
              </c:strCache>
            </c:strRef>
          </c:cat>
          <c:val>
            <c:numRef>
              <c:f>'G30'!$B$4:$B$7</c:f>
              <c:numCache>
                <c:formatCode>#,##0</c:formatCode>
                <c:ptCount val="4"/>
                <c:pt idx="0">
                  <c:v>-302.38499999999999</c:v>
                </c:pt>
                <c:pt idx="1">
                  <c:v>-92.7</c:v>
                </c:pt>
                <c:pt idx="2">
                  <c:v>-73.417000000000002</c:v>
                </c:pt>
                <c:pt idx="3">
                  <c:v>-37.5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38-4829-A515-E228FE99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1"/>
        <c:holeSize val="60"/>
      </c:doughnutChart>
      <c:spPr>
        <a:solidFill>
          <a:schemeClr val="bg1"/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2567107844895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0">
                  <a:srgbClr val="13B5EA"/>
                </a:gs>
                <a:gs pos="74000">
                  <a:schemeClr val="accent1">
                    <a:lumMod val="45000"/>
                    <a:lumOff val="55000"/>
                  </a:schemeClr>
                </a:gs>
                <a:gs pos="60588">
                  <a:srgbClr val="13B5EA"/>
                </a:gs>
                <a:gs pos="44844">
                  <a:srgbClr val="13B5EA"/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>
              <a:glow rad="63500">
                <a:schemeClr val="accent1">
                  <a:satMod val="175000"/>
                  <a:alpha val="40000"/>
                </a:schemeClr>
              </a:glow>
              <a:outerShdw blurRad="177800" sx="111000" sy="111000" algn="ctr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898-454C-B127-ACD890005E44}"/>
              </c:ext>
            </c:extLst>
          </c:dPt>
          <c:dPt>
            <c:idx val="1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898-454C-B127-ACD890005E44}"/>
              </c:ext>
            </c:extLst>
          </c:dPt>
          <c:dLbls>
            <c:dLbl>
              <c:idx val="0"/>
              <c:layout>
                <c:manualLayout>
                  <c:x val="-8.5290465196666262E-2"/>
                  <c:y val="-0.3789163618232910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98-454C-B127-ACD890005E44}"/>
                </c:ext>
              </c:extLst>
            </c:dLbl>
            <c:dLbl>
              <c:idx val="1"/>
              <c:layout>
                <c:manualLayout>
                  <c:x val="0.1736636424544768"/>
                  <c:y val="-7.11365856487496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26893890205319"/>
                      <c:h val="0.205409454174075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898-454C-B127-ACD890005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109BC6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'G30'!$A$15:$A$16</c:f>
              <c:strCache>
                <c:ptCount val="2"/>
                <c:pt idx="0">
                  <c:v>Spolufinancovanie EÚ fondov</c:v>
                </c:pt>
                <c:pt idx="1">
                  <c:v>Úspora sociálnych dávok</c:v>
                </c:pt>
              </c:strCache>
            </c:strRef>
          </c:cat>
          <c:val>
            <c:numRef>
              <c:f>'G30'!$B$15:$B$16</c:f>
              <c:numCache>
                <c:formatCode>#,##0</c:formatCode>
                <c:ptCount val="2"/>
                <c:pt idx="0">
                  <c:v>381.081795</c:v>
                </c:pt>
                <c:pt idx="1">
                  <c:v>48.984361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98-454C-B127-ACD89000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08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5.0925925925925923E-2"/>
          <c:w val="0.84030774278215226"/>
          <c:h val="0.82720545348498109"/>
        </c:manualLayout>
      </c:layout>
      <c:areaChart>
        <c:grouping val="standard"/>
        <c:varyColors val="0"/>
        <c:ser>
          <c:idx val="0"/>
          <c:order val="0"/>
          <c:tx>
            <c:v>Hotovosť na úrovni RVS 2017-2019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2.5000000000000001E-2"/>
                  <c:y val="-0.33333333333333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40-4184-B303-0686D544AAB3}"/>
                </c:ext>
              </c:extLst>
            </c:dLbl>
            <c:dLbl>
              <c:idx val="1"/>
              <c:layout>
                <c:manualLayout>
                  <c:x val="0"/>
                  <c:y val="-0.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0-4184-B303-0686D544AAB3}"/>
                </c:ext>
              </c:extLst>
            </c:dLbl>
            <c:dLbl>
              <c:idx val="2"/>
              <c:layout>
                <c:manualLayout>
                  <c:x val="-2.7777777777777779E-3"/>
                  <c:y val="-0.34259259259259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0-4184-B303-0686D544AAB3}"/>
                </c:ext>
              </c:extLst>
            </c:dLbl>
            <c:dLbl>
              <c:idx val="3"/>
              <c:layout>
                <c:manualLayout>
                  <c:x val="-5.5555555555555558E-3"/>
                  <c:y val="-0.30092592592592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0-4184-B303-0686D544AAB3}"/>
                </c:ext>
              </c:extLst>
            </c:dLbl>
            <c:dLbl>
              <c:idx val="4"/>
              <c:layout>
                <c:manualLayout>
                  <c:x val="-5.5555555555556572E-3"/>
                  <c:y val="-0.222222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0-4184-B303-0686D544AAB3}"/>
                </c:ext>
              </c:extLst>
            </c:dLbl>
            <c:dLbl>
              <c:idx val="5"/>
              <c:layout>
                <c:manualLayout>
                  <c:x val="-1.388888888888899E-2"/>
                  <c:y val="-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0-4184-B303-0686D544AAB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'G02'!$B$17:$G$17</c:f>
              <c:numCache>
                <c:formatCode>0.0</c:formatCode>
                <c:ptCount val="6"/>
                <c:pt idx="0" formatCode="#\ ##0.0">
                  <c:v>52.481013044318146</c:v>
                </c:pt>
                <c:pt idx="1">
                  <c:v>52.345238642258948</c:v>
                </c:pt>
                <c:pt idx="2">
                  <c:v>51.236651634482619</c:v>
                </c:pt>
                <c:pt idx="3">
                  <c:v>50.016108572061427</c:v>
                </c:pt>
                <c:pt idx="4">
                  <c:v>48.473074990825396</c:v>
                </c:pt>
                <c:pt idx="5">
                  <c:v>46.398304080420395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40-4184-B303-0686D544AAB3}"/>
            </c:ext>
          </c:extLst>
        </c:ser>
        <c:ser>
          <c:idx val="2"/>
          <c:order val="1"/>
          <c:tx>
            <c:v>Opatrenia</c:v>
          </c:tx>
          <c:spPr>
            <a:solidFill>
              <a:srgbClr val="DCB47B"/>
            </a:solidFill>
            <a:ln>
              <a:noFill/>
            </a:ln>
            <a:effectLst/>
          </c:spPr>
          <c:cat>
            <c:numRef>
              <c:f>'G02'!$B$2:$G$2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'G02'!$B$12:$G$12</c:f>
              <c:numCache>
                <c:formatCode>#\ ##0.0</c:formatCode>
                <c:ptCount val="6"/>
                <c:pt idx="0">
                  <c:v>52.481013044318146</c:v>
                </c:pt>
                <c:pt idx="1">
                  <c:v>51.944217989574838</c:v>
                </c:pt>
                <c:pt idx="2">
                  <c:v>51.116080927096576</c:v>
                </c:pt>
                <c:pt idx="3">
                  <c:v>49.94563960342051</c:v>
                </c:pt>
                <c:pt idx="4">
                  <c:v>48.052348865064261</c:v>
                </c:pt>
                <c:pt idx="5">
                  <c:v>45.992115110767088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40-4184-B303-0686D544AAB3}"/>
            </c:ext>
          </c:extLst>
        </c:ser>
        <c:ser>
          <c:idx val="4"/>
          <c:order val="2"/>
          <c:tx>
            <c:v>NRVS 2018-2020</c:v>
          </c:tx>
          <c:spPr>
            <a:solidFill>
              <a:srgbClr val="13B5EA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40-4184-B303-0686D544AAB3}"/>
                </c:ext>
              </c:extLst>
            </c:dLbl>
            <c:dLbl>
              <c:idx val="1"/>
              <c:layout>
                <c:manualLayout>
                  <c:x val="-5.0925337632079971E-17"/>
                  <c:y val="-0.28240740740740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0-4184-B303-0686D544AAB3}"/>
                </c:ext>
              </c:extLst>
            </c:dLbl>
            <c:dLbl>
              <c:idx val="2"/>
              <c:layout>
                <c:manualLayout>
                  <c:x val="-1.3891076115485565E-3"/>
                  <c:y val="-0.23148148148148151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750000000000014E-2"/>
                      <c:h val="9.25233304170312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340-4184-B303-0686D544AAB3}"/>
                </c:ext>
              </c:extLst>
            </c:dLbl>
            <c:dLbl>
              <c:idx val="3"/>
              <c:layout>
                <c:manualLayout>
                  <c:x val="-1.3562117235345582E-2"/>
                  <c:y val="-0.18981481481481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0-4184-B303-0686D544AAB3}"/>
                </c:ext>
              </c:extLst>
            </c:dLbl>
            <c:dLbl>
              <c:idx val="4"/>
              <c:layout>
                <c:manualLayout>
                  <c:x val="-2.7777777777777676E-2"/>
                  <c:y val="-0.1574074074074074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DCB47B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DCB47B"/>
                        </a:solidFill>
                      </a:rPr>
                      <a:t>48,1</a:t>
                    </a: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40-4184-B303-0686D544AAB3}"/>
                </c:ext>
              </c:extLst>
            </c:dLbl>
            <c:dLbl>
              <c:idx val="5"/>
              <c:layout>
                <c:manualLayout>
                  <c:x val="-3.5293963254593178E-2"/>
                  <c:y val="-7.17592592592592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DCB47B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DCB47B"/>
                        </a:solidFill>
                      </a:rPr>
                      <a:t>46,0</a:t>
                    </a: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486220472440946E-2"/>
                      <c:h val="8.789370078740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340-4184-B303-0686D544AAB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'G02'!$B$10:$G$10</c:f>
              <c:numCache>
                <c:formatCode>#\ ##0.0</c:formatCode>
                <c:ptCount val="6"/>
                <c:pt idx="0">
                  <c:v>52.481013044318146</c:v>
                </c:pt>
                <c:pt idx="1">
                  <c:v>51.944217989574838</c:v>
                </c:pt>
                <c:pt idx="2">
                  <c:v>51.116080927096576</c:v>
                </c:pt>
                <c:pt idx="3">
                  <c:v>49.94563960342051</c:v>
                </c:pt>
                <c:pt idx="4">
                  <c:v>47.827597681735114</c:v>
                </c:pt>
                <c:pt idx="5">
                  <c:v>45.509536925017379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40-4184-B303-0686D544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124952"/>
        <c:axId val="421125344"/>
      </c:areaChart>
      <c:lineChart>
        <c:grouping val="standard"/>
        <c:varyColors val="0"/>
        <c:ser>
          <c:idx val="1"/>
          <c:order val="3"/>
          <c:tx>
            <c:v>RVS 2017-2019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'G02'!$B$2:$G$2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'G02'!$B$5:$F$5</c:f>
              <c:numCache>
                <c:formatCode>#\ ##0.0</c:formatCode>
                <c:ptCount val="5"/>
                <c:pt idx="0">
                  <c:v>52.891725362204191</c:v>
                </c:pt>
                <c:pt idx="1">
                  <c:v>53.494940800548299</c:v>
                </c:pt>
                <c:pt idx="2">
                  <c:v>52.72445468792283</c:v>
                </c:pt>
                <c:pt idx="3">
                  <c:v>51.40232554356453</c:v>
                </c:pt>
                <c:pt idx="4">
                  <c:v>49.061389249467879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40-4184-B303-0686D544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24952"/>
        <c:axId val="421125344"/>
      </c:lineChart>
      <c:catAx>
        <c:axId val="42112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1125344"/>
        <c:crosses val="autoZero"/>
        <c:auto val="1"/>
        <c:lblAlgn val="ctr"/>
        <c:lblOffset val="100"/>
        <c:noMultiLvlLbl val="0"/>
      </c:catAx>
      <c:valAx>
        <c:axId val="421125344"/>
        <c:scaling>
          <c:orientation val="minMax"/>
          <c:max val="54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112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8132720909886262"/>
          <c:y val="2.7197433654126569E-2"/>
          <c:w val="0.51589501312335961"/>
          <c:h val="0.18460702828813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88708273585326"/>
          <c:y val="0.12375398329932795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 flip="none" rotWithShape="1">
              <a:gsLst>
                <a:gs pos="79322">
                  <a:schemeClr val="bg1"/>
                </a:gs>
                <a:gs pos="67488">
                  <a:srgbClr val="DCB47B"/>
                </a:gs>
                <a:gs pos="100000">
                  <a:srgbClr val="DCB47B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rgbClr val="DCB47B"/>
              </a:outerShdw>
            </a:effectLst>
          </c:spPr>
          <c:explosion val="4"/>
          <c:dPt>
            <c:idx val="0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F5-4764-A5A9-D20101BBBDC2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F5-4764-A5A9-D20101BBBDC2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7F5-4764-A5A9-D20101BBBDC2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7F5-4764-A5A9-D20101BBBDC2}"/>
              </c:ext>
            </c:extLst>
          </c:dPt>
          <c:dLbls>
            <c:dLbl>
              <c:idx val="0"/>
              <c:layout>
                <c:manualLayout>
                  <c:x val="9.8362019146585641E-2"/>
                  <c:y val="0.26667619419897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Výdavky</a:t>
                    </a:r>
                    <a:r>
                      <a:rPr lang="en-US" baseline="0"/>
                      <a:t> samopsráv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82505634147005"/>
                      <c:h val="0.163588859490363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7F5-4764-A5A9-D20101BBBDC2}"/>
                </c:ext>
              </c:extLst>
            </c:dLbl>
            <c:dLbl>
              <c:idx val="1"/>
              <c:layout>
                <c:manualLayout>
                  <c:x val="0.13291092285842016"/>
                  <c:y val="2.312253009080905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5-4764-A5A9-D20101BBBDC2}"/>
                </c:ext>
              </c:extLst>
            </c:dLbl>
            <c:dLbl>
              <c:idx val="2"/>
              <c:layout>
                <c:manualLayout>
                  <c:x val="-0.12218632056260015"/>
                  <c:y val="-6.695633377544095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5-4764-A5A9-D20101BBBDC2}"/>
                </c:ext>
              </c:extLst>
            </c:dLbl>
            <c:dLbl>
              <c:idx val="3"/>
              <c:layout>
                <c:manualLayout>
                  <c:x val="-8.0546586579982149E-2"/>
                  <c:y val="-0.1011119722293145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25552355929716"/>
                      <c:h val="0.121525745802425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7F5-4764-A5A9-D20101BBB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'G30'!$A$10:$A$13</c:f>
              <c:strCache>
                <c:ptCount val="4"/>
                <c:pt idx="0">
                  <c:v>Výdavky samospráv</c:v>
                </c:pt>
                <c:pt idx="1">
                  <c:v>Zdravotníctvo</c:v>
                </c:pt>
                <c:pt idx="2">
                  <c:v>Daňové príjmy</c:v>
                </c:pt>
                <c:pt idx="3">
                  <c:v>Úrokové náklady</c:v>
                </c:pt>
              </c:strCache>
            </c:strRef>
          </c:cat>
          <c:val>
            <c:numRef>
              <c:f>'G30'!$B$10:$B$13</c:f>
              <c:numCache>
                <c:formatCode>#,##0</c:formatCode>
                <c:ptCount val="4"/>
                <c:pt idx="0">
                  <c:v>-111.673754</c:v>
                </c:pt>
                <c:pt idx="1">
                  <c:v>-27.071961000000002</c:v>
                </c:pt>
                <c:pt idx="2">
                  <c:v>-13.966999000000008</c:v>
                </c:pt>
                <c:pt idx="3">
                  <c:v>-10.188836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F5-4764-A5A9-D20101BBB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>
          <a:noFill/>
        </a:ln>
        <a:effectLst>
          <a:glow rad="63500">
            <a:schemeClr val="bg1">
              <a:alpha val="40000"/>
            </a:schemeClr>
          </a:glow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18285437752909E-2"/>
          <c:y val="1.3379125481655216E-2"/>
          <c:w val="0.94000926016670039"/>
          <c:h val="0.857555082708321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'G30'!$A$14</c:f>
              <c:strCache>
                <c:ptCount val="1"/>
                <c:pt idx="0">
                  <c:v>Pozitíva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B2E4F8"/>
              </a:solidFill>
            </a:ln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B2E4F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9-4376-8715-3069089B18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'G30'!$B$14</c:f>
              <c:numCache>
                <c:formatCode>#,##0</c:formatCode>
                <c:ptCount val="1"/>
                <c:pt idx="0">
                  <c:v>430.06615599999998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939-4376-8715-3069089B1827}"/>
            </c:ext>
          </c:extLst>
        </c:ser>
        <c:ser>
          <c:idx val="1"/>
          <c:order val="1"/>
          <c:tx>
            <c:strRef>
              <c:f>'G30'!$A$9</c:f>
              <c:strCache>
                <c:ptCount val="1"/>
                <c:pt idx="0">
                  <c:v>Aktualizácia odhadov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711939110139137E-3"/>
                  <c:y val="-1.4313274160841652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57151850608039"/>
                      <c:h val="0.169971562734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939-4376-8715-3069089B1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'G30'!$B$9</c:f>
              <c:numCache>
                <c:formatCode>#,##0</c:formatCode>
                <c:ptCount val="1"/>
                <c:pt idx="0">
                  <c:v>-162.90155000000004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939-4376-8715-3069089B1827}"/>
            </c:ext>
          </c:extLst>
        </c:ser>
        <c:ser>
          <c:idx val="2"/>
          <c:order val="2"/>
          <c:tx>
            <c:strRef>
              <c:f>'G30'!$A$8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028919806159137E-3"/>
                  <c:y val="-1.1227452951359738E-2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9-4376-8715-3069089B1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'G30'!$B$8</c:f>
              <c:numCache>
                <c:formatCode>#,##0</c:formatCode>
                <c:ptCount val="1"/>
                <c:pt idx="0">
                  <c:v>-197.85721699999999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939-4376-8715-3069089B1827}"/>
            </c:ext>
          </c:extLst>
        </c:ser>
        <c:ser>
          <c:idx val="3"/>
          <c:order val="3"/>
          <c:tx>
            <c:strRef>
              <c:f>'G30'!$A$3</c:f>
              <c:strCache>
                <c:ptCount val="1"/>
                <c:pt idx="0">
                  <c:v>Nové opatrenia vlády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'G30'!$B$3</c:f>
              <c:numCache>
                <c:formatCode>#,##0</c:formatCode>
                <c:ptCount val="1"/>
                <c:pt idx="0">
                  <c:v>-506.00199999999995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939-4376-8715-3069089B1827}"/>
            </c:ext>
          </c:extLst>
        </c:ser>
        <c:ser>
          <c:idx val="5"/>
          <c:order val="4"/>
          <c:tx>
            <c:v>Zvýšenie daní</c:v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3529477907837886E-4"/>
                  <c:y val="-6.326033820869635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fld id="{46520F74-3B81-401C-9118-005C44C66F3E}" type="SERIESNAME">
                      <a:rPr lang="en-US"/>
                      <a:pPr>
                        <a:defRPr/>
                      </a:pPr>
                      <a:t>[NÁZOV RADU]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875058059870459E-2"/>
                      <c:h val="0.164382237891747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939-4376-8715-3069089B1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'G30'!$B$17</c:f>
              <c:numCache>
                <c:formatCode>#,##0</c:formatCode>
                <c:ptCount val="1"/>
                <c:pt idx="0">
                  <c:v>83.37700000000001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39-4376-8715-3069089B1827}"/>
            </c:ext>
          </c:extLst>
        </c:ser>
        <c:ser>
          <c:idx val="4"/>
          <c:order val="5"/>
          <c:tx>
            <c:strRef>
              <c:f>'G30'!$A$18</c:f>
              <c:strCache>
                <c:ptCount val="1"/>
                <c:pt idx="0">
                  <c:v>Zhoršenie cieľa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13B5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939-4376-8715-3069089B1827}"/>
              </c:ext>
            </c:extLst>
          </c:dPt>
          <c:dLbls>
            <c:dLbl>
              <c:idx val="0"/>
              <c:layout>
                <c:manualLayout>
                  <c:x val="0"/>
                  <c:y val="3.1630169104348176E-3"/>
                </c:manualLayout>
              </c:layout>
              <c:tx>
                <c:rich>
                  <a:bodyPr/>
                  <a:lstStyle/>
                  <a:p>
                    <a:fld id="{0E2D281E-E331-42C6-A8C9-A58538F8A8FC}" type="SERIESNAME">
                      <a:rPr lang="en-US"/>
                      <a:pPr/>
                      <a:t>[NÁZOV RADU]</a:t>
                    </a:fld>
                    <a:endParaRPr lang="sk-SK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898249395492086E-2"/>
                      <c:h val="0.18721921998508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B939-4376-8715-3069089B1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'G30'!$B$18</c:f>
              <c:numCache>
                <c:formatCode>#,##0</c:formatCode>
                <c:ptCount val="1"/>
                <c:pt idx="0">
                  <c:v>353.317611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B939-4376-8715-3069089B182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60"/>
        <c:overlap val="100"/>
        <c:axId val="460379952"/>
        <c:axId val="456070456"/>
      </c:barChart>
      <c:catAx>
        <c:axId val="46037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4127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6070456"/>
        <c:crosses val="autoZero"/>
        <c:auto val="1"/>
        <c:lblAlgn val="ctr"/>
        <c:lblOffset val="100"/>
        <c:noMultiLvlLbl val="0"/>
      </c:catAx>
      <c:valAx>
        <c:axId val="4560704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60379952"/>
        <c:crosses val="autoZero"/>
        <c:crossBetween val="between"/>
      </c:valAx>
      <c:spPr>
        <a:noFill/>
        <a:ln w="25400">
          <a:noFill/>
        </a:ln>
        <a:effectLst>
          <a:softEdge rad="31750"/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3-4CAD-9C9E-ADA9687620E5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23-4CAD-9C9E-ADA9687620E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23-4CAD-9C9E-ADA9687620E5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3-4CAD-9C9E-ADA9687620E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23-4CAD-9C9E-ADA9687620E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23-4CAD-9C9E-ADA9687620E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23-4CAD-9C9E-ADA9687620E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B23-4CAD-9C9E-ADA9687620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'G31'!$A$3:$A$10</c:f>
              <c:strCache>
                <c:ptCount val="8"/>
                <c:pt idx="0">
                  <c:v>Obrana</c:v>
                </c:pt>
                <c:pt idx="1">
                  <c:v>Verejný poriadok a bezpečnosť</c:v>
                </c:pt>
                <c:pt idx="2">
                  <c:v>Distribučné siete a skladovanie</c:v>
                </c:pt>
                <c:pt idx="3">
                  <c:v>Zdravotníctvo</c:v>
                </c:pt>
                <c:pt idx="4">
                  <c:v>Cestná infraštruktúra</c:v>
                </c:pt>
                <c:pt idx="5">
                  <c:v>Rezerva na významné investície</c:v>
                </c:pt>
                <c:pt idx="6">
                  <c:v>Doprava nešpecifikovaná</c:v>
                </c:pt>
                <c:pt idx="7">
                  <c:v>Ostatné</c:v>
                </c:pt>
              </c:strCache>
            </c:strRef>
          </c:cat>
          <c:val>
            <c:numRef>
              <c:f>'G31'!$B$3:$B$10</c:f>
              <c:numCache>
                <c:formatCode>#,##0</c:formatCode>
                <c:ptCount val="8"/>
                <c:pt idx="0">
                  <c:v>-50.647227999999998</c:v>
                </c:pt>
                <c:pt idx="1">
                  <c:v>-20.464807</c:v>
                </c:pt>
                <c:pt idx="2" formatCode="0">
                  <c:v>-8.3517440000000001</c:v>
                </c:pt>
                <c:pt idx="3" formatCode="0">
                  <c:v>-7.04</c:v>
                </c:pt>
                <c:pt idx="4" formatCode="0">
                  <c:v>-1.5624400000000001</c:v>
                </c:pt>
                <c:pt idx="5" formatCode="0">
                  <c:v>32.484389999999998</c:v>
                </c:pt>
                <c:pt idx="6">
                  <c:v>48.985208999999998</c:v>
                </c:pt>
                <c:pt idx="7" formatCode="0">
                  <c:v>3.3508319999999943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B23-4CAD-9C9E-ADA96876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033648"/>
        <c:axId val="482956656"/>
      </c:barChart>
      <c:catAx>
        <c:axId val="40203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82956656"/>
        <c:crosses val="autoZero"/>
        <c:auto val="1"/>
        <c:lblAlgn val="ctr"/>
        <c:lblOffset val="100"/>
        <c:noMultiLvlLbl val="0"/>
      </c:catAx>
      <c:valAx>
        <c:axId val="48295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0203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8408613102467"/>
          <c:y val="5.0925925925925923E-2"/>
          <c:w val="0.84208354552695841"/>
          <c:h val="0.83299358413531654"/>
        </c:manualLayout>
      </c:layout>
      <c:areaChart>
        <c:grouping val="standard"/>
        <c:varyColors val="0"/>
        <c:ser>
          <c:idx val="1"/>
          <c:order val="0"/>
          <c:tx>
            <c:strRef>
              <c:f>'G32'!$A$4</c:f>
              <c:strCache>
                <c:ptCount val="1"/>
                <c:pt idx="0">
                  <c:v>Odhad vlády</c:v>
                </c:pt>
              </c:strCache>
            </c:strRef>
          </c:tx>
          <c:spPr>
            <a:solidFill>
              <a:srgbClr val="B1E8F9"/>
            </a:solidFill>
            <a:ln w="25400">
              <a:noFill/>
            </a:ln>
            <a:effectLst/>
          </c:spPr>
          <c:cat>
            <c:strRef>
              <c:f>'G32'!$C$2:$AA$2</c:f>
              <c:strCach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strCache>
            </c:strRef>
          </c:cat>
          <c:val>
            <c:numRef>
              <c:f>'G32'!$B$4:$AA$4</c:f>
              <c:numCache>
                <c:formatCode>#\ ##0.0</c:formatCode>
                <c:ptCount val="26"/>
                <c:pt idx="0">
                  <c:v>21.7</c:v>
                </c:pt>
                <c:pt idx="1">
                  <c:v>30.5</c:v>
                </c:pt>
                <c:pt idx="2">
                  <c:v>33</c:v>
                </c:pt>
                <c:pt idx="3">
                  <c:v>33.9</c:v>
                </c:pt>
                <c:pt idx="4">
                  <c:v>47.1</c:v>
                </c:pt>
                <c:pt idx="5">
                  <c:v>49.6</c:v>
                </c:pt>
                <c:pt idx="6">
                  <c:v>48.3</c:v>
                </c:pt>
                <c:pt idx="7">
                  <c:v>42.9</c:v>
                </c:pt>
                <c:pt idx="8">
                  <c:v>41.6</c:v>
                </c:pt>
                <c:pt idx="9">
                  <c:v>40.6</c:v>
                </c:pt>
                <c:pt idx="10">
                  <c:v>34.1</c:v>
                </c:pt>
                <c:pt idx="11">
                  <c:v>31</c:v>
                </c:pt>
                <c:pt idx="12">
                  <c:v>30.1</c:v>
                </c:pt>
                <c:pt idx="13">
                  <c:v>28.5</c:v>
                </c:pt>
                <c:pt idx="14">
                  <c:v>36.299999999999997</c:v>
                </c:pt>
                <c:pt idx="15">
                  <c:v>41.2</c:v>
                </c:pt>
                <c:pt idx="16">
                  <c:v>43.7</c:v>
                </c:pt>
                <c:pt idx="17">
                  <c:v>52.2</c:v>
                </c:pt>
                <c:pt idx="18">
                  <c:v>54.7</c:v>
                </c:pt>
                <c:pt idx="19">
                  <c:v>53.5</c:v>
                </c:pt>
                <c:pt idx="20">
                  <c:v>52.3</c:v>
                </c:pt>
                <c:pt idx="21">
                  <c:v>51.944217989574838</c:v>
                </c:pt>
                <c:pt idx="22">
                  <c:v>51.116080927096576</c:v>
                </c:pt>
                <c:pt idx="23">
                  <c:v>49.94563960342051</c:v>
                </c:pt>
                <c:pt idx="24">
                  <c:v>47.827597681735114</c:v>
                </c:pt>
                <c:pt idx="25">
                  <c:v>45.509536925017379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C-46C8-829B-F6C1A5094719}"/>
            </c:ext>
          </c:extLst>
        </c:ser>
        <c:ser>
          <c:idx val="0"/>
          <c:order val="1"/>
          <c:tx>
            <c:strRef>
              <c:f>'G32'!$A$3</c:f>
              <c:strCache>
                <c:ptCount val="1"/>
                <c:pt idx="0">
                  <c:v>Skutočnosť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cat>
            <c:strRef>
              <c:f>'G32'!$C$2:$AA$2</c:f>
              <c:strCach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strCache>
            </c:strRef>
          </c:cat>
          <c:val>
            <c:numRef>
              <c:f>'G32'!$B$3:$V$3</c:f>
              <c:numCache>
                <c:formatCode>#\ ##0.0</c:formatCode>
                <c:ptCount val="21"/>
                <c:pt idx="0">
                  <c:v>21.7</c:v>
                </c:pt>
                <c:pt idx="1">
                  <c:v>30.5</c:v>
                </c:pt>
                <c:pt idx="2">
                  <c:v>33</c:v>
                </c:pt>
                <c:pt idx="3">
                  <c:v>33.9</c:v>
                </c:pt>
                <c:pt idx="4">
                  <c:v>47.1</c:v>
                </c:pt>
                <c:pt idx="5">
                  <c:v>49.6</c:v>
                </c:pt>
                <c:pt idx="6">
                  <c:v>48.3</c:v>
                </c:pt>
                <c:pt idx="7">
                  <c:v>42.9</c:v>
                </c:pt>
                <c:pt idx="8">
                  <c:v>41.6</c:v>
                </c:pt>
                <c:pt idx="9">
                  <c:v>40.6</c:v>
                </c:pt>
                <c:pt idx="10">
                  <c:v>34.1</c:v>
                </c:pt>
                <c:pt idx="11">
                  <c:v>31</c:v>
                </c:pt>
                <c:pt idx="12">
                  <c:v>30.1</c:v>
                </c:pt>
                <c:pt idx="13">
                  <c:v>28.5</c:v>
                </c:pt>
                <c:pt idx="14">
                  <c:v>36.299999999999997</c:v>
                </c:pt>
                <c:pt idx="15">
                  <c:v>41.2</c:v>
                </c:pt>
                <c:pt idx="16">
                  <c:v>43.7</c:v>
                </c:pt>
                <c:pt idx="17">
                  <c:v>52.2</c:v>
                </c:pt>
                <c:pt idx="18">
                  <c:v>54.7</c:v>
                </c:pt>
                <c:pt idx="19">
                  <c:v>53.5</c:v>
                </c:pt>
                <c:pt idx="20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C-46C8-829B-F6C1A5094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72224"/>
        <c:axId val="510573864"/>
      </c:areaChart>
      <c:catAx>
        <c:axId val="5105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3864"/>
        <c:crosses val="autoZero"/>
        <c:auto val="1"/>
        <c:lblAlgn val="ctr"/>
        <c:lblOffset val="100"/>
        <c:noMultiLvlLbl val="0"/>
      </c:catAx>
      <c:valAx>
        <c:axId val="5105738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47707655945991"/>
          <c:y val="6.5392971711869349E-2"/>
          <c:w val="0.4509196798161423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36920384951885E-2"/>
          <c:y val="5.0925925925925923E-2"/>
          <c:w val="0.86869641294838151"/>
          <c:h val="0.8981481481481481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'G33'!$A$15</c:f>
              <c:strCache>
                <c:ptCount val="1"/>
                <c:pt idx="0">
                  <c:v>Dlh bez jednorazových vplyvov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C-4B57-9D48-366749B42762}"/>
              </c:ext>
            </c:extLst>
          </c:dPt>
          <c:dPt>
            <c:idx val="5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EC-4B57-9D48-366749B42762}"/>
              </c:ext>
            </c:extLst>
          </c:dPt>
          <c:dPt>
            <c:idx val="6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EC-4B57-9D48-366749B42762}"/>
              </c:ext>
            </c:extLst>
          </c:dPt>
          <c:dPt>
            <c:idx val="7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C-4B57-9D48-366749B42762}"/>
              </c:ext>
            </c:extLst>
          </c:dPt>
          <c:cat>
            <c:numRef>
              <c:f>'G33'!$B$2:$I$2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'G33'!$B$7:$I$7</c:f>
              <c:numCache>
                <c:formatCode>#\ ##0.0</c:formatCode>
                <c:ptCount val="8"/>
                <c:pt idx="0">
                  <c:v>3.295668059613885</c:v>
                </c:pt>
                <c:pt idx="1">
                  <c:v>2.0011450289068002</c:v>
                </c:pt>
                <c:pt idx="2">
                  <c:v>0.66968752341363791</c:v>
                </c:pt>
                <c:pt idx="3">
                  <c:v>0.24601463584042715</c:v>
                </c:pt>
                <c:pt idx="4">
                  <c:v>-5.3151979661518578E-2</c:v>
                </c:pt>
                <c:pt idx="5">
                  <c:v>-0.36107389114791066</c:v>
                </c:pt>
                <c:pt idx="6">
                  <c:v>-1.2770126601647394</c:v>
                </c:pt>
                <c:pt idx="7">
                  <c:v>-1.5101397036330186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EC-4B57-9D48-366749B4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20072"/>
        <c:axId val="349718112"/>
      </c:barChart>
      <c:lineChart>
        <c:grouping val="standard"/>
        <c:varyColors val="0"/>
        <c:ser>
          <c:idx val="0"/>
          <c:order val="0"/>
          <c:tx>
            <c:strRef>
              <c:f>'G33'!$A$14</c:f>
              <c:strCache>
                <c:ptCount val="1"/>
                <c:pt idx="0">
                  <c:v>Hrubý dlh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EC-4B57-9D48-366749B42762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EC-4B57-9D48-366749B42762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2EC-4B57-9D48-366749B4276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2EC-4B57-9D48-366749B42762}"/>
              </c:ext>
            </c:extLst>
          </c:dPt>
          <c:cat>
            <c:numRef>
              <c:f>'G33'!$B$2:$I$2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'G33'!$B$3:$I$3</c:f>
              <c:numCache>
                <c:formatCode>#\ ##0.0</c:formatCode>
                <c:ptCount val="8"/>
                <c:pt idx="0">
                  <c:v>2.5742977531301463</c:v>
                </c:pt>
                <c:pt idx="1">
                  <c:v>-1.2154942852640716</c:v>
                </c:pt>
                <c:pt idx="2">
                  <c:v>-1.1829011511163472</c:v>
                </c:pt>
                <c:pt idx="3">
                  <c:v>-0.52175873523728455</c:v>
                </c:pt>
                <c:pt idx="4">
                  <c:v>-0.69130416066561651</c:v>
                </c:pt>
                <c:pt idx="5">
                  <c:v>-0.46088287265214944</c:v>
                </c:pt>
                <c:pt idx="6">
                  <c:v>-1.3669957929565086</c:v>
                </c:pt>
                <c:pt idx="7">
                  <c:v>-1.772313728495071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EC-4B57-9D48-366749B42762}"/>
            </c:ext>
          </c:extLst>
        </c:ser>
        <c:ser>
          <c:idx val="1"/>
          <c:order val="1"/>
          <c:tx>
            <c:strRef>
              <c:f>'G33'!$A$16</c:f>
              <c:strCache>
                <c:ptCount val="1"/>
                <c:pt idx="0">
                  <c:v>Čistý dlh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EC-4B57-9D48-366749B42762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EC-4B57-9D48-366749B42762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EC-4B57-9D48-366749B42762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EC-4B57-9D48-366749B42762}"/>
              </c:ext>
            </c:extLst>
          </c:dPt>
          <c:cat>
            <c:numRef>
              <c:f>'G33'!$B$2:$I$2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'G33'!$B$5:$I$5</c:f>
              <c:numCache>
                <c:formatCode>#\ ##0.0</c:formatCode>
                <c:ptCount val="8"/>
                <c:pt idx="0">
                  <c:v>2.4269559137997474</c:v>
                </c:pt>
                <c:pt idx="1">
                  <c:v>1.7136598996745187</c:v>
                </c:pt>
                <c:pt idx="2">
                  <c:v>-1.6448522641939087</c:v>
                </c:pt>
                <c:pt idx="3">
                  <c:v>-1.1897926801076313</c:v>
                </c:pt>
                <c:pt idx="4">
                  <c:v>-0.12497963692953729</c:v>
                </c:pt>
                <c:pt idx="5">
                  <c:v>-0.52158765774471672</c:v>
                </c:pt>
                <c:pt idx="6">
                  <c:v>-1.43200029725792</c:v>
                </c:pt>
                <c:pt idx="7">
                  <c:v>-1.6563098040253639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EC-4B57-9D48-366749B4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20072"/>
        <c:axId val="349718112"/>
      </c:lineChart>
      <c:catAx>
        <c:axId val="34972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8112"/>
        <c:crosses val="autoZero"/>
        <c:auto val="1"/>
        <c:lblAlgn val="ctr"/>
        <c:lblOffset val="100"/>
        <c:noMultiLvlLbl val="0"/>
      </c:catAx>
      <c:valAx>
        <c:axId val="349718112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00694444444445"/>
          <c:y val="4.1953472222222225E-2"/>
          <c:w val="0.59722222222222221"/>
          <c:h val="0.22164843977836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6701662292212E-2"/>
          <c:y val="5.0925925925925923E-2"/>
          <c:w val="0.90825218722659662"/>
          <c:h val="0.8848374161563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'G34, G35'!$A$12</c:f>
              <c:strCache>
                <c:ptCount val="1"/>
                <c:pt idx="0">
                  <c:v>EK (jeseň 2017)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'G34, G35'!$B$11:$G$11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G35'!$B$12:$G$12</c:f>
              <c:numCache>
                <c:formatCode>0.0</c:formatCode>
                <c:ptCount val="6"/>
                <c:pt idx="0">
                  <c:v>-2.2999999999999998</c:v>
                </c:pt>
                <c:pt idx="1">
                  <c:v>-2</c:v>
                </c:pt>
                <c:pt idx="2">
                  <c:v>-1.6</c:v>
                </c:pt>
                <c:pt idx="3">
                  <c:v>-1.2</c:v>
                </c:pt>
                <c:pt idx="4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936-A655-E1685C2B9C17}"/>
            </c:ext>
          </c:extLst>
        </c:ser>
        <c:ser>
          <c:idx val="5"/>
          <c:order val="1"/>
          <c:tx>
            <c:strRef>
              <c:f>'G34, G35'!$A$16</c:f>
              <c:strCache>
                <c:ptCount val="1"/>
                <c:pt idx="0">
                  <c:v>MMF (okt 2017)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'G34, G35'!$B$11:$G$11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G35'!$B$16:$G$16</c:f>
              <c:numCache>
                <c:formatCode>0.0</c:formatCode>
                <c:ptCount val="6"/>
                <c:pt idx="0">
                  <c:v>-2.7229999999999999</c:v>
                </c:pt>
                <c:pt idx="1">
                  <c:v>-1.5620000000000001</c:v>
                </c:pt>
                <c:pt idx="2">
                  <c:v>-1.1910000000000001</c:v>
                </c:pt>
                <c:pt idx="3">
                  <c:v>-0.71099999999999997</c:v>
                </c:pt>
                <c:pt idx="4">
                  <c:v>6.3E-2</c:v>
                </c:pt>
                <c:pt idx="5">
                  <c:v>-3.0000000000000001E-3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936-A655-E1685C2B9C17}"/>
            </c:ext>
          </c:extLst>
        </c:ser>
        <c:ser>
          <c:idx val="4"/>
          <c:order val="2"/>
          <c:tx>
            <c:strRef>
              <c:f>'G34, G35'!$A$15</c:f>
              <c:strCache>
                <c:ptCount val="1"/>
                <c:pt idx="0">
                  <c:v>OECD (jún 2017)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'G34, G35'!$B$11:$G$11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G35'!$B$15:$G$15</c:f>
              <c:numCache>
                <c:formatCode>0.0</c:formatCode>
                <c:ptCount val="6"/>
                <c:pt idx="0">
                  <c:v>-2.5296261270000002</c:v>
                </c:pt>
                <c:pt idx="1">
                  <c:v>-1.6149999631999998</c:v>
                </c:pt>
                <c:pt idx="2">
                  <c:v>-1.1220603157</c:v>
                </c:pt>
                <c:pt idx="3">
                  <c:v>-0.56588611580000003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F-4936-A655-E1685C2B9C17}"/>
            </c:ext>
          </c:extLst>
        </c:ser>
        <c:ser>
          <c:idx val="1"/>
          <c:order val="3"/>
          <c:tx>
            <c:strRef>
              <c:f>'G34, G35'!$A$13</c:f>
              <c:strCache>
                <c:ptCount val="1"/>
                <c:pt idx="0">
                  <c:v>MF SR(DBP)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'G34, G35'!$B$11:$G$11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G35'!$B$13:$G$13</c:f>
              <c:numCache>
                <c:formatCode>0.0</c:formatCode>
                <c:ptCount val="6"/>
                <c:pt idx="0">
                  <c:v>-2.4474453061036785</c:v>
                </c:pt>
                <c:pt idx="1">
                  <c:v>-2.0651216795301686</c:v>
                </c:pt>
                <c:pt idx="2">
                  <c:v>-1.6864954172610547</c:v>
                </c:pt>
                <c:pt idx="3">
                  <c:v>-1.1308129031222216</c:v>
                </c:pt>
                <c:pt idx="4">
                  <c:v>-0.63012461205133019</c:v>
                </c:pt>
                <c:pt idx="5">
                  <c:v>-0.52742428767737259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1F-4936-A655-E1685C2B9C17}"/>
            </c:ext>
          </c:extLst>
        </c:ser>
        <c:ser>
          <c:idx val="3"/>
          <c:order val="4"/>
          <c:tx>
            <c:strRef>
              <c:f>'G34, G35'!$A$14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'G34, G35'!$B$11:$G$11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G35'!$B$14:$G$14</c:f>
              <c:numCache>
                <c:formatCode>0.0</c:formatCode>
                <c:ptCount val="6"/>
                <c:pt idx="0">
                  <c:v>-2.5709074547434563</c:v>
                </c:pt>
                <c:pt idx="1">
                  <c:v>-1.8711457688441595</c:v>
                </c:pt>
                <c:pt idx="2">
                  <c:v>-1.5770362476280306</c:v>
                </c:pt>
                <c:pt idx="3">
                  <c:v>-1.5732746792138459</c:v>
                </c:pt>
                <c:pt idx="4">
                  <c:v>-0.99959209300981988</c:v>
                </c:pt>
                <c:pt idx="5">
                  <c:v>-0.92570535426080436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1F-4936-A655-E1685C2B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28448"/>
        <c:axId val="457828840"/>
      </c:barChart>
      <c:catAx>
        <c:axId val="4578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8840"/>
        <c:crosses val="autoZero"/>
        <c:auto val="1"/>
        <c:lblAlgn val="ctr"/>
        <c:lblOffset val="100"/>
        <c:noMultiLvlLbl val="0"/>
      </c:catAx>
      <c:valAx>
        <c:axId val="45782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151546846117919"/>
          <c:y val="0.65382559154897923"/>
          <c:w val="0.36501744974185918"/>
          <c:h val="0.2426340636445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50883771107566E-2"/>
          <c:y val="8.9536407215971642E-2"/>
          <c:w val="0.91864911622889245"/>
          <c:h val="0.88344011522992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'G34, G35'!$A$12</c:f>
              <c:strCache>
                <c:ptCount val="1"/>
                <c:pt idx="0">
                  <c:v>EK (jeseň 2017)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'G34, G35'!$B$2:$G$2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G35'!$B$3:$G$3</c:f>
              <c:numCache>
                <c:formatCode>0.0</c:formatCode>
                <c:ptCount val="6"/>
                <c:pt idx="0">
                  <c:v>-2.7</c:v>
                </c:pt>
                <c:pt idx="1">
                  <c:v>-2.2000000000000002</c:v>
                </c:pt>
                <c:pt idx="2">
                  <c:v>-1.6</c:v>
                </c:pt>
                <c:pt idx="3">
                  <c:v>-1</c:v>
                </c:pt>
                <c:pt idx="4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936-A655-E1685C2B9C17}"/>
            </c:ext>
          </c:extLst>
        </c:ser>
        <c:ser>
          <c:idx val="5"/>
          <c:order val="1"/>
          <c:tx>
            <c:strRef>
              <c:f>'G34, G35'!$A$16</c:f>
              <c:strCache>
                <c:ptCount val="1"/>
                <c:pt idx="0">
                  <c:v>MMF (okt 2017)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'G34, G35'!$B$2:$G$2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G35'!$B$7:$G$7</c:f>
              <c:numCache>
                <c:formatCode>0.0</c:formatCode>
                <c:ptCount val="6"/>
                <c:pt idx="0">
                  <c:v>-2.7450000000000001</c:v>
                </c:pt>
                <c:pt idx="1">
                  <c:v>-1.6819999999999999</c:v>
                </c:pt>
                <c:pt idx="2">
                  <c:v>-1.1890000000000001</c:v>
                </c:pt>
                <c:pt idx="3">
                  <c:v>-0.74399999999999999</c:v>
                </c:pt>
                <c:pt idx="4">
                  <c:v>-6.6000000000000003E-2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936-A655-E1685C2B9C17}"/>
            </c:ext>
          </c:extLst>
        </c:ser>
        <c:ser>
          <c:idx val="4"/>
          <c:order val="2"/>
          <c:tx>
            <c:strRef>
              <c:f>'G34, G35'!$A$15</c:f>
              <c:strCache>
                <c:ptCount val="1"/>
                <c:pt idx="0">
                  <c:v>OECD (jún 2017)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'G34, G35'!$B$2:$G$2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G35'!$B$6:$G$6</c:f>
              <c:numCache>
                <c:formatCode>0.0</c:formatCode>
                <c:ptCount val="6"/>
                <c:pt idx="0">
                  <c:v>-2.7445806862</c:v>
                </c:pt>
                <c:pt idx="1">
                  <c:v>-1.6817818284999999</c:v>
                </c:pt>
                <c:pt idx="2">
                  <c:v>-1.2325994768999999</c:v>
                </c:pt>
                <c:pt idx="3">
                  <c:v>-0.55941843859999996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F-4936-A655-E1685C2B9C17}"/>
            </c:ext>
          </c:extLst>
        </c:ser>
        <c:ser>
          <c:idx val="1"/>
          <c:order val="3"/>
          <c:tx>
            <c:strRef>
              <c:f>'G34, G35'!$A$4</c:f>
              <c:strCache>
                <c:ptCount val="1"/>
                <c:pt idx="0">
                  <c:v>MF SR(DBP)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'G34, G35'!$B$2:$G$2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G35'!$B$4:$G$4</c:f>
              <c:numCache>
                <c:formatCode>0.00</c:formatCode>
                <c:ptCount val="6"/>
                <c:pt idx="0">
                  <c:v>-2.7445806862164637</c:v>
                </c:pt>
                <c:pt idx="1">
                  <c:v>-2.1911520941153646</c:v>
                </c:pt>
                <c:pt idx="2">
                  <c:v>-1.63</c:v>
                </c:pt>
                <c:pt idx="3">
                  <c:v>-0.82999969762914805</c:v>
                </c:pt>
                <c:pt idx="4">
                  <c:v>-0.32484167369140921</c:v>
                </c:pt>
                <c:pt idx="5">
                  <c:v>-0.2703050705834002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3-4082-8D37-42792B3B8F1B}"/>
            </c:ext>
          </c:extLst>
        </c:ser>
        <c:ser>
          <c:idx val="3"/>
          <c:order val="4"/>
          <c:tx>
            <c:strRef>
              <c:f>'G34, G35'!$A$14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'G34, G35'!$B$2:$G$2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'G34, G35'!$B$5:$G$5</c:f>
              <c:numCache>
                <c:formatCode>0.0</c:formatCode>
                <c:ptCount val="6"/>
                <c:pt idx="0">
                  <c:v>-2.7445933950208534</c:v>
                </c:pt>
                <c:pt idx="1">
                  <c:v>-2.1858610244206171</c:v>
                </c:pt>
                <c:pt idx="2">
                  <c:v>-1.687772267337899</c:v>
                </c:pt>
                <c:pt idx="3">
                  <c:v>-1.3925214591756849</c:v>
                </c:pt>
                <c:pt idx="4">
                  <c:v>-0.88055647592162545</c:v>
                </c:pt>
                <c:pt idx="5">
                  <c:v>-0.78101214843980349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1F-4936-A655-E1685C2B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31976"/>
        <c:axId val="457832368"/>
      </c:barChart>
      <c:catAx>
        <c:axId val="45783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2368"/>
        <c:crosses val="autoZero"/>
        <c:auto val="1"/>
        <c:lblAlgn val="ctr"/>
        <c:lblOffset val="100"/>
        <c:noMultiLvlLbl val="0"/>
      </c:catAx>
      <c:valAx>
        <c:axId val="45783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6407817443872"/>
          <c:y val="0.65382559154897923"/>
          <c:w val="0.3683592182556128"/>
          <c:h val="0.31119439470587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438622668965358E-2"/>
          <c:y val="0.13410041486749641"/>
          <c:w val="0.91869673781174277"/>
          <c:h val="0.720200152400304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'G36'!$A$3</c:f>
              <c:strCache>
                <c:ptCount val="1"/>
                <c:pt idx="0">
                  <c:v>Cyklická zložka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'G36'!$B$1:$W$1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'G36'!$B$3:$W$3</c:f>
              <c:numCache>
                <c:formatCode>0.0</c:formatCode>
                <c:ptCount val="22"/>
                <c:pt idx="0">
                  <c:v>0.26835129773151156</c:v>
                </c:pt>
                <c:pt idx="1">
                  <c:v>0.26376010257740184</c:v>
                </c:pt>
                <c:pt idx="2">
                  <c:v>0.49589969277740531</c:v>
                </c:pt>
                <c:pt idx="3">
                  <c:v>0.17705861003046247</c:v>
                </c:pt>
                <c:pt idx="4">
                  <c:v>0.35994026439070331</c:v>
                </c:pt>
                <c:pt idx="5">
                  <c:v>0.60526161058867933</c:v>
                </c:pt>
                <c:pt idx="6">
                  <c:v>5.4589262618664459E-2</c:v>
                </c:pt>
                <c:pt idx="7">
                  <c:v>-0.16664009576861266</c:v>
                </c:pt>
                <c:pt idx="8">
                  <c:v>-1.0236385887856303</c:v>
                </c:pt>
                <c:pt idx="9">
                  <c:v>-1.080396374825523</c:v>
                </c:pt>
                <c:pt idx="10">
                  <c:v>-0.27584801116293822</c:v>
                </c:pt>
                <c:pt idx="11">
                  <c:v>-0.1547117141313068</c:v>
                </c:pt>
                <c:pt idx="12">
                  <c:v>-0.1358104331678856</c:v>
                </c:pt>
                <c:pt idx="13">
                  <c:v>9.6488571454748442E-2</c:v>
                </c:pt>
                <c:pt idx="14">
                  <c:v>0.47261527455885327</c:v>
                </c:pt>
                <c:pt idx="15">
                  <c:v>0.3550254088635898</c:v>
                </c:pt>
                <c:pt idx="16">
                  <c:v>0.17124447276023774</c:v>
                </c:pt>
                <c:pt idx="17">
                  <c:v>0.1331313567826525</c:v>
                </c:pt>
                <c:pt idx="18">
                  <c:v>-3.1708327427997078E-3</c:v>
                </c:pt>
                <c:pt idx="19">
                  <c:v>-0.11475085000777577</c:v>
                </c:pt>
                <c:pt idx="20">
                  <c:v>-0.12509689019221648</c:v>
                </c:pt>
                <c:pt idx="21">
                  <c:v>-0.15040964175948707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F-4CDE-88AC-88A6F7A1FAA0}"/>
            </c:ext>
          </c:extLst>
        </c:ser>
        <c:ser>
          <c:idx val="1"/>
          <c:order val="1"/>
          <c:tx>
            <c:strRef>
              <c:f>'G36'!$A$4</c:f>
              <c:strCache>
                <c:ptCount val="1"/>
                <c:pt idx="0">
                  <c:v>Jednorazové efekty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'G36'!$B$1:$W$1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'G36'!$B$4:$W$4</c:f>
              <c:numCache>
                <c:formatCode>0.0</c:formatCode>
                <c:ptCount val="22"/>
                <c:pt idx="0">
                  <c:v>-8.0125799677304044E-2</c:v>
                </c:pt>
                <c:pt idx="1">
                  <c:v>5.0452693602405922</c:v>
                </c:pt>
                <c:pt idx="2">
                  <c:v>-0.5172013494829677</c:v>
                </c:pt>
                <c:pt idx="3">
                  <c:v>2.453083887847741</c:v>
                </c:pt>
                <c:pt idx="4">
                  <c:v>0.42209578675629755</c:v>
                </c:pt>
                <c:pt idx="5">
                  <c:v>-8.7567598357425336E-2</c:v>
                </c:pt>
                <c:pt idx="6">
                  <c:v>0.49693846413174708</c:v>
                </c:pt>
                <c:pt idx="7">
                  <c:v>0.41564379595869277</c:v>
                </c:pt>
                <c:pt idx="8">
                  <c:v>-0.51769907547526739</c:v>
                </c:pt>
                <c:pt idx="9">
                  <c:v>0.43716507344430267</c:v>
                </c:pt>
                <c:pt idx="10">
                  <c:v>0.68288862266843975</c:v>
                </c:pt>
                <c:pt idx="11">
                  <c:v>0.47828061410218309</c:v>
                </c:pt>
                <c:pt idx="12">
                  <c:v>-0.88364001242863843</c:v>
                </c:pt>
                <c:pt idx="13">
                  <c:v>-0.26218287047559685</c:v>
                </c:pt>
                <c:pt idx="14">
                  <c:v>-0.20209862197013598</c:v>
                </c:pt>
                <c:pt idx="15">
                  <c:v>-0.34158748369004427</c:v>
                </c:pt>
                <c:pt idx="16">
                  <c:v>2.4414675171595119E-3</c:v>
                </c:pt>
                <c:pt idx="17">
                  <c:v>0.18158389879380518</c:v>
                </c:pt>
                <c:pt idx="18">
                  <c:v>0.11390685245266813</c:v>
                </c:pt>
                <c:pt idx="19">
                  <c:v>-6.6002370030385046E-2</c:v>
                </c:pt>
                <c:pt idx="20">
                  <c:v>6.0612731040221492E-3</c:v>
                </c:pt>
                <c:pt idx="21">
                  <c:v>5.7164359384860933E-3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F-4CDE-88AC-88A6F7A1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8"/>
        <c:overlap val="100"/>
        <c:axId val="801605296"/>
        <c:axId val="801602344"/>
      </c:barChart>
      <c:lineChart>
        <c:grouping val="standard"/>
        <c:varyColors val="0"/>
        <c:ser>
          <c:idx val="2"/>
          <c:order val="2"/>
          <c:tx>
            <c:strRef>
              <c:f>'G36'!$A$2</c:f>
              <c:strCache>
                <c:ptCount val="1"/>
                <c:pt idx="0">
                  <c:v>Saldo VS (pr.os)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1.3888244763258688E-2"/>
                  <c:y val="-4.9494538989077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E-4391-A44D-F3B4F9CF5B60}"/>
                </c:ext>
              </c:extLst>
            </c:dLbl>
            <c:dLbl>
              <c:idx val="9"/>
              <c:layout>
                <c:manualLayout>
                  <c:x val="-6.5513961843117882E-3"/>
                  <c:y val="-3.6591313182626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E-4391-A44D-F3B4F9CF5B60}"/>
                </c:ext>
              </c:extLst>
            </c:dLbl>
            <c:dLbl>
              <c:idx val="10"/>
              <c:layout>
                <c:manualLayout>
                  <c:x val="-3.2198036705079022E-2"/>
                  <c:y val="4.0828041656083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E-4391-A44D-F3B4F9CF5B60}"/>
                </c:ext>
              </c:extLst>
            </c:dLbl>
            <c:dLbl>
              <c:idx val="11"/>
              <c:layout>
                <c:manualLayout>
                  <c:x val="-1.4656490601927063E-2"/>
                  <c:y val="4.943019219371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AE-4391-A44D-F3B4F9CF5B60}"/>
                </c:ext>
              </c:extLst>
            </c:dLbl>
            <c:dLbl>
              <c:idx val="12"/>
              <c:layout>
                <c:manualLayout>
                  <c:x val="-5.0725599120852595E-2"/>
                  <c:y val="-3.2290237913809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E-4391-A44D-F3B4F9CF5B60}"/>
                </c:ext>
              </c:extLst>
            </c:dLbl>
            <c:dLbl>
              <c:idx val="13"/>
              <c:layout>
                <c:manualLayout>
                  <c:x val="-4.2189534246759489E-2"/>
                  <c:y val="-7.5300990601981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E-4391-A44D-F3B4F9CF5B60}"/>
                </c:ext>
              </c:extLst>
            </c:dLbl>
            <c:dLbl>
              <c:idx val="19"/>
              <c:layout>
                <c:manualLayout>
                  <c:x val="-2.7498899385336242E-2"/>
                  <c:y val="-4.5193463720260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AE-4391-A44D-F3B4F9CF5B60}"/>
                </c:ext>
              </c:extLst>
            </c:dLbl>
            <c:dLbl>
              <c:idx val="20"/>
              <c:layout>
                <c:manualLayout>
                  <c:x val="-2.5778915919761114E-2"/>
                  <c:y val="-4.5193463720260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E-4391-A44D-F3B4F9CF5B60}"/>
                </c:ext>
              </c:extLst>
            </c:dLbl>
            <c:dLbl>
              <c:idx val="21"/>
              <c:layout>
                <c:manualLayout>
                  <c:x val="-9.3853697225105524E-3"/>
                  <c:y val="-3.659131318262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E-4391-A44D-F3B4F9CF5B6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'G36'!$B$2:$W$2</c:f>
              <c:numCache>
                <c:formatCode>0.0</c:formatCode>
                <c:ptCount val="22"/>
                <c:pt idx="0">
                  <c:v>-7.2762661139151783</c:v>
                </c:pt>
                <c:pt idx="1">
                  <c:v>-12.023561319624777</c:v>
                </c:pt>
                <c:pt idx="2">
                  <c:v>-6.4012246703076388</c:v>
                </c:pt>
                <c:pt idx="3">
                  <c:v>-8.0880171112313182</c:v>
                </c:pt>
                <c:pt idx="4">
                  <c:v>-2.7030978825266248</c:v>
                </c:pt>
                <c:pt idx="5">
                  <c:v>-2.3083834077773604</c:v>
                </c:pt>
                <c:pt idx="6">
                  <c:v>-2.8832636068580419</c:v>
                </c:pt>
                <c:pt idx="7">
                  <c:v>-3.5919756617837155</c:v>
                </c:pt>
                <c:pt idx="8">
                  <c:v>-1.9488094325421548</c:v>
                </c:pt>
                <c:pt idx="9">
                  <c:v>-2.4277421488464328</c:v>
                </c:pt>
                <c:pt idx="10">
                  <c:v>-7.8042191703392616</c:v>
                </c:pt>
                <c:pt idx="11">
                  <c:v>-7.4849112027105908</c:v>
                </c:pt>
                <c:pt idx="12">
                  <c:v>-4.2769638130236007</c:v>
                </c:pt>
                <c:pt idx="13">
                  <c:v>-4.3449069648120027</c:v>
                </c:pt>
                <c:pt idx="14">
                  <c:v>-2.7199722992649584</c:v>
                </c:pt>
                <c:pt idx="15">
                  <c:v>-2.7073055602310037</c:v>
                </c:pt>
                <c:pt idx="16">
                  <c:v>-2.7445933950208534</c:v>
                </c:pt>
                <c:pt idx="17">
                  <c:v>-2.1858610244206171</c:v>
                </c:pt>
                <c:pt idx="18">
                  <c:v>-1.687772267337899</c:v>
                </c:pt>
                <c:pt idx="19">
                  <c:v>-1.3925214591756849</c:v>
                </c:pt>
                <c:pt idx="20">
                  <c:v>-0.88055647592162545</c:v>
                </c:pt>
                <c:pt idx="21">
                  <c:v>-0.78101214843980349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F-4CDE-88AC-88A6F7A1FAA0}"/>
            </c:ext>
          </c:extLst>
        </c:ser>
        <c:ser>
          <c:idx val="3"/>
          <c:order val="3"/>
          <c:tx>
            <c:strRef>
              <c:f>'G36'!$A$5</c:f>
              <c:strCache>
                <c:ptCount val="1"/>
                <c:pt idx="0">
                  <c:v>Štrukturálne saldo (pr.os)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3.3230967767953465E-2"/>
                  <c:y val="3.22902379138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E-4391-A44D-F3B4F9CF5B60}"/>
                </c:ext>
              </c:extLst>
            </c:dLbl>
            <c:dLbl>
              <c:idx val="9"/>
              <c:layout>
                <c:manualLayout>
                  <c:x val="-3.539482660698149E-2"/>
                  <c:y val="8.8204216408432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E-4391-A44D-F3B4F9CF5B60}"/>
                </c:ext>
              </c:extLst>
            </c:dLbl>
            <c:dLbl>
              <c:idx val="12"/>
              <c:layout>
                <c:manualLayout>
                  <c:x val="-2.2987689919041873E-2"/>
                  <c:y val="6.23977647955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E-4391-A44D-F3B4F9CF5B60}"/>
                </c:ext>
              </c:extLst>
            </c:dLbl>
            <c:dLbl>
              <c:idx val="13"/>
              <c:layout>
                <c:manualLayout>
                  <c:x val="-2.0140811463867914E-2"/>
                  <c:y val="4.089238845144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E-4391-A44D-F3B4F9CF5B60}"/>
                </c:ext>
              </c:extLst>
            </c:dLbl>
            <c:dLbl>
              <c:idx val="19"/>
              <c:layout>
                <c:manualLayout>
                  <c:x val="-2.5864276568501921E-2"/>
                  <c:y val="2.3688087376174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AE-4391-A44D-F3B4F9CF5B60}"/>
                </c:ext>
              </c:extLst>
            </c:dLbl>
            <c:dLbl>
              <c:idx val="20"/>
              <c:layout>
                <c:manualLayout>
                  <c:x val="-2.1976132624907288E-2"/>
                  <c:y val="5.3795614257895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E-4391-A44D-F3B4F9CF5B60}"/>
                </c:ext>
              </c:extLst>
            </c:dLbl>
            <c:dLbl>
              <c:idx val="21"/>
              <c:layout>
                <c:manualLayout>
                  <c:x val="-2.5778915919760989E-2"/>
                  <c:y val="4.9494538989077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E-4391-A44D-F3B4F9CF5B6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'G36'!$B$5:$W$5</c:f>
              <c:numCache>
                <c:formatCode>0.0</c:formatCode>
                <c:ptCount val="22"/>
                <c:pt idx="0">
                  <c:v>-7.0880406158609706</c:v>
                </c:pt>
                <c:pt idx="1">
                  <c:v>-6.7145318568067829</c:v>
                </c:pt>
                <c:pt idx="2">
                  <c:v>-6.4225263270132009</c:v>
                </c:pt>
                <c:pt idx="3">
                  <c:v>-5.4578746133531144</c:v>
                </c:pt>
                <c:pt idx="4">
                  <c:v>-1.9210618313796237</c:v>
                </c:pt>
                <c:pt idx="5">
                  <c:v>-1.7906893955461065</c:v>
                </c:pt>
                <c:pt idx="6">
                  <c:v>-2.3317358801076304</c:v>
                </c:pt>
                <c:pt idx="7">
                  <c:v>-3.3429719615936353</c:v>
                </c:pt>
                <c:pt idx="8">
                  <c:v>-3.4901470968030521</c:v>
                </c:pt>
                <c:pt idx="9">
                  <c:v>-3.0709734502276529</c:v>
                </c:pt>
                <c:pt idx="10">
                  <c:v>-7.39717855883376</c:v>
                </c:pt>
                <c:pt idx="11">
                  <c:v>-7.1613423027397145</c:v>
                </c:pt>
                <c:pt idx="12">
                  <c:v>-5.2964142586201248</c:v>
                </c:pt>
                <c:pt idx="13">
                  <c:v>-4.510601263832851</c:v>
                </c:pt>
                <c:pt idx="14">
                  <c:v>-2.4494556466762414</c:v>
                </c:pt>
                <c:pt idx="15">
                  <c:v>-2.6938676350574582</c:v>
                </c:pt>
                <c:pt idx="16">
                  <c:v>-2.5709074547434563</c:v>
                </c:pt>
                <c:pt idx="17">
                  <c:v>-1.8711457688441595</c:v>
                </c:pt>
                <c:pt idx="18">
                  <c:v>-1.5770362476280306</c:v>
                </c:pt>
                <c:pt idx="19">
                  <c:v>-1.5732746792138459</c:v>
                </c:pt>
                <c:pt idx="20">
                  <c:v>-0.99959209300981988</c:v>
                </c:pt>
                <c:pt idx="21">
                  <c:v>-0.92570535426080436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F-4CDE-88AC-88A6F7A1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1559048"/>
        <c:axId val="801559376"/>
      </c:lineChart>
      <c:catAx>
        <c:axId val="80160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602344"/>
        <c:crosses val="autoZero"/>
        <c:auto val="1"/>
        <c:lblAlgn val="ctr"/>
        <c:lblOffset val="100"/>
        <c:noMultiLvlLbl val="0"/>
      </c:catAx>
      <c:valAx>
        <c:axId val="80160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605296"/>
        <c:crosses val="autoZero"/>
        <c:crossBetween val="between"/>
      </c:valAx>
      <c:valAx>
        <c:axId val="801559376"/>
        <c:scaling>
          <c:orientation val="minMax"/>
          <c:min val="-1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559048"/>
        <c:crosses val="max"/>
        <c:crossBetween val="between"/>
      </c:valAx>
      <c:catAx>
        <c:axId val="801559048"/>
        <c:scaling>
          <c:orientation val="minMax"/>
        </c:scaling>
        <c:delete val="1"/>
        <c:axPos val="b"/>
        <c:majorTickMark val="out"/>
        <c:minorTickMark val="none"/>
        <c:tickLblPos val="nextTo"/>
        <c:crossAx val="80155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242481373567104E-2"/>
          <c:y val="0.88010701888070442"/>
          <c:w val="0.7547784823952064"/>
          <c:h val="8.9785454237575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596175478065237E-2"/>
          <c:y val="9.0318316767781057E-2"/>
          <c:w val="0.8871037730453184"/>
          <c:h val="0.82276356439051679"/>
        </c:manualLayout>
      </c:layout>
      <c:scatterChart>
        <c:scatterStyle val="smoothMarker"/>
        <c:varyColors val="0"/>
        <c:ser>
          <c:idx val="0"/>
          <c:order val="0"/>
          <c:tx>
            <c:v>MF SR (NRVS)</c:v>
          </c:tx>
          <c:spPr>
            <a:ln>
              <a:solidFill>
                <a:srgbClr val="58595B"/>
              </a:solidFill>
            </a:ln>
          </c:spPr>
          <c:marker>
            <c:symbol val="diamond"/>
            <c:size val="7"/>
            <c:spPr>
              <a:solidFill>
                <a:srgbClr val="58595B"/>
              </a:solidFill>
              <a:ln>
                <a:solidFill>
                  <a:srgbClr val="58595B"/>
                </a:solidFill>
              </a:ln>
            </c:spPr>
          </c:marker>
          <c:dLbls>
            <c:dLbl>
              <c:idx val="0"/>
              <c:layout>
                <c:manualLayout>
                  <c:x val="0.37138385573515975"/>
                  <c:y val="0.46835233957824229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DCB47B"/>
                        </a:solidFill>
                      </a:rPr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6-489A-B25E-A1E1DF2F7DDB}"/>
                </c:ext>
              </c:extLst>
            </c:dLbl>
            <c:dLbl>
              <c:idx val="1"/>
              <c:layout>
                <c:manualLayout>
                  <c:x val="0.30529652511317523"/>
                  <c:y val="-8.7305090384828657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DCB47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6-489A-B25E-A1E1DF2F7DDB}"/>
                </c:ext>
              </c:extLst>
            </c:dLbl>
            <c:dLbl>
              <c:idx val="2"/>
              <c:layout>
                <c:manualLayout>
                  <c:x val="-0.39411082509951939"/>
                  <c:y val="-0.3883889944791383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6-489A-B25E-A1E1DF2F7DDB}"/>
                </c:ext>
              </c:extLst>
            </c:dLbl>
            <c:dLbl>
              <c:idx val="3"/>
              <c:layout>
                <c:manualLayout>
                  <c:x val="-0.39985532856023681"/>
                  <c:y val="-0.276038871466214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6-489A-B25E-A1E1DF2F7DDB}"/>
                </c:ext>
              </c:extLst>
            </c:dLbl>
            <c:dLbl>
              <c:idx val="4"/>
              <c:layout>
                <c:manualLayout>
                  <c:x val="-0.26723171354028152"/>
                  <c:y val="7.9180921350348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6-489A-B25E-A1E1DF2F7DDB}"/>
                </c:ext>
              </c:extLst>
            </c:dLbl>
            <c:dLbl>
              <c:idx val="5"/>
              <c:layout>
                <c:manualLayout>
                  <c:x val="-0.11424863225700135"/>
                  <c:y val="-1.81159471972918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6-489A-B25E-A1E1DF2F7D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6-489A-B25E-A1E1DF2F7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DCB47B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'G37,G38'!$B$4:$F$4</c:f>
              <c:numCache>
                <c:formatCode>#\ ##0.0</c:formatCode>
                <c:ptCount val="5"/>
                <c:pt idx="0">
                  <c:v>-0.20997029082948238</c:v>
                </c:pt>
                <c:pt idx="1">
                  <c:v>0.1538964153457161</c:v>
                </c:pt>
                <c:pt idx="2">
                  <c:v>0.76466660384759766</c:v>
                </c:pt>
                <c:pt idx="3">
                  <c:v>1.3475754184047233</c:v>
                </c:pt>
                <c:pt idx="4">
                  <c:v>1.3407115494943964</c:v>
                </c:pt>
              </c:numCache>
            </c:numRef>
          </c:xVal>
          <c:yVal>
            <c:numRef>
              <c:f>'G37,G38'!$B$3:$F$3</c:f>
              <c:numCache>
                <c:formatCode>#\ ##0.0</c:formatCode>
                <c:ptCount val="5"/>
                <c:pt idx="0">
                  <c:v>3.6638733435929494</c:v>
                </c:pt>
                <c:pt idx="1">
                  <c:v>0.32731418669706647</c:v>
                </c:pt>
                <c:pt idx="2">
                  <c:v>0.96937188587660827</c:v>
                </c:pt>
                <c:pt idx="3">
                  <c:v>-1.2196523270744377</c:v>
                </c:pt>
                <c:pt idx="4">
                  <c:v>0.24554967975258424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4D6-489A-B25E-A1E1DF2F7DDB}"/>
            </c:ext>
          </c:extLst>
        </c:ser>
        <c:ser>
          <c:idx val="1"/>
          <c:order val="1"/>
          <c:tx>
            <c:v>MF SR (VpMP)</c:v>
          </c:tx>
          <c:spPr>
            <a:ln>
              <a:solidFill>
                <a:srgbClr val="DCB47B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DCB47B"/>
              </a:solidFill>
              <a:ln>
                <a:solidFill>
                  <a:srgbClr val="DCB47B"/>
                </a:solidFill>
                <a:prstDash val="sysDash"/>
              </a:ln>
            </c:spPr>
          </c:marker>
          <c:dLbls>
            <c:dLbl>
              <c:idx val="0"/>
              <c:layout>
                <c:manualLayout>
                  <c:x val="-0.1274646253173993"/>
                  <c:y val="1.450419876179589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6-489A-B25E-A1E1DF2F7DDB}"/>
                </c:ext>
              </c:extLst>
            </c:dLbl>
            <c:dLbl>
              <c:idx val="1"/>
              <c:layout>
                <c:manualLayout>
                  <c:x val="0.34103288631330148"/>
                  <c:y val="0.261055751651733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D6-489A-B25E-A1E1DF2F7DDB}"/>
                </c:ext>
              </c:extLst>
            </c:dLbl>
            <c:dLbl>
              <c:idx val="2"/>
              <c:layout>
                <c:manualLayout>
                  <c:x val="0.18714955166228397"/>
                  <c:y val="-4.1938636980722234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D6-489A-B25E-A1E1DF2F7DDB}"/>
                </c:ext>
              </c:extLst>
            </c:dLbl>
            <c:dLbl>
              <c:idx val="3"/>
              <c:layout>
                <c:manualLayout>
                  <c:x val="-0.38933533279051602"/>
                  <c:y val="0.10335098198932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D6-489A-B25E-A1E1DF2F7DDB}"/>
                </c:ext>
              </c:extLst>
            </c:dLbl>
            <c:dLbl>
              <c:idx val="4"/>
              <c:layout>
                <c:manualLayout>
                  <c:x val="-0.22165507618096161"/>
                  <c:y val="-0.18794325278305735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D6-489A-B25E-A1E1DF2F7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'G37,G38'!$B$8:$F$8</c:f>
              <c:numCache>
                <c:formatCode>#\ ##0.0</c:formatCode>
                <c:ptCount val="5"/>
                <c:pt idx="0">
                  <c:v>-0.20997029082948238</c:v>
                </c:pt>
                <c:pt idx="1">
                  <c:v>0.1538964153457161</c:v>
                </c:pt>
                <c:pt idx="2">
                  <c:v>0.76466660384759766</c:v>
                </c:pt>
                <c:pt idx="3">
                  <c:v>1.3475754184047233</c:v>
                </c:pt>
                <c:pt idx="4">
                  <c:v>1.3407115494943964</c:v>
                </c:pt>
              </c:numCache>
            </c:numRef>
          </c:xVal>
          <c:yVal>
            <c:numRef>
              <c:f>'G37,G38'!$B$7:$F$7</c:f>
              <c:numCache>
                <c:formatCode>#\ ##0.0</c:formatCode>
                <c:ptCount val="5"/>
                <c:pt idx="0">
                  <c:v>3.6638733435929494</c:v>
                </c:pt>
                <c:pt idx="1">
                  <c:v>0.65585576035134574</c:v>
                </c:pt>
                <c:pt idx="2">
                  <c:v>0.19927952773371405</c:v>
                </c:pt>
                <c:pt idx="3">
                  <c:v>0.4964724451154926</c:v>
                </c:pt>
                <c:pt idx="4">
                  <c:v>4.0445468222138903E-3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4D6-489A-B25E-A1E1DF2F7DDB}"/>
            </c:ext>
          </c:extLst>
        </c:ser>
        <c:ser>
          <c:idx val="2"/>
          <c:order val="2"/>
          <c:tx>
            <c:v>RRZ</c:v>
          </c:tx>
          <c:spPr>
            <a:ln>
              <a:solidFill>
                <a:srgbClr val="13B5EA"/>
              </a:solidFill>
            </a:ln>
          </c:spPr>
          <c:marker>
            <c:symbol val="circle"/>
            <c:size val="5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0"/>
              <c:layout>
                <c:manualLayout>
                  <c:x val="0.16093901929397461"/>
                  <c:y val="0.56261912683449766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4-488E-846C-B6FDDEDDF1FB}"/>
                </c:ext>
              </c:extLst>
            </c:dLbl>
            <c:dLbl>
              <c:idx val="1"/>
              <c:layout>
                <c:manualLayout>
                  <c:x val="-0.12283750080857885"/>
                  <c:y val="-0.49156371298658091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13B5EA"/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/>
                      <a:t>2016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4-488E-846C-B6FDDEDDF1FB}"/>
                </c:ext>
              </c:extLst>
            </c:dLbl>
            <c:dLbl>
              <c:idx val="2"/>
              <c:layout>
                <c:manualLayout>
                  <c:x val="-0.18233812251586606"/>
                  <c:y val="-0.15660160437691775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4-488E-846C-B6FDDEDDF1FB}"/>
                </c:ext>
              </c:extLst>
            </c:dLbl>
            <c:dLbl>
              <c:idx val="3"/>
              <c:layout>
                <c:manualLayout>
                  <c:x val="-3.3914235197359976E-2"/>
                  <c:y val="-4.647942774758789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35047657380244"/>
                      <c:h val="5.15485389726394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5B4-488E-846C-B6FDDEDDF1FB}"/>
                </c:ext>
              </c:extLst>
            </c:dLbl>
            <c:dLbl>
              <c:idx val="4"/>
              <c:layout>
                <c:manualLayout>
                  <c:x val="-4.3200699022826056E-2"/>
                  <c:y val="-6.0557835200177441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4-488E-846C-B6FDDEDDF1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'G37,G38'!$B$12:$F$12</c:f>
              <c:numCache>
                <c:formatCode>#\ ##0.0</c:formatCode>
                <c:ptCount val="5"/>
                <c:pt idx="0">
                  <c:v>0.15202482434424647</c:v>
                </c:pt>
                <c:pt idx="1">
                  <c:v>0.52175554039024741</c:v>
                </c:pt>
                <c:pt idx="2">
                  <c:v>0.83201056236194548</c:v>
                </c:pt>
                <c:pt idx="3">
                  <c:v>1.0095020270174031</c:v>
                </c:pt>
                <c:pt idx="4">
                  <c:v>0.60126887606129442</c:v>
                </c:pt>
              </c:numCache>
            </c:numRef>
          </c:xVal>
          <c:yVal>
            <c:numRef>
              <c:f>'G37,G38'!$B$11:$F$11</c:f>
              <c:numCache>
                <c:formatCode>#\ ##0.0</c:formatCode>
                <c:ptCount val="5"/>
                <c:pt idx="0">
                  <c:v>4.0024596437426023</c:v>
                </c:pt>
                <c:pt idx="1">
                  <c:v>0.3035837557396569</c:v>
                </c:pt>
                <c:pt idx="2">
                  <c:v>-0.46187920309282915</c:v>
                </c:pt>
                <c:pt idx="3">
                  <c:v>0.46699160287426866</c:v>
                </c:pt>
                <c:pt idx="4">
                  <c:v>7.2708680619965937E-2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5B4-488E-846C-B6FDDEDDF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35504"/>
        <c:axId val="457835896"/>
      </c:scatterChart>
      <c:valAx>
        <c:axId val="457835504"/>
        <c:scaling>
          <c:orientation val="minMax"/>
          <c:max val="2"/>
          <c:min val="-1"/>
        </c:scaling>
        <c:delete val="0"/>
        <c:axPos val="b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457835896"/>
        <c:crosses val="autoZero"/>
        <c:crossBetween val="midCat"/>
        <c:majorUnit val="0.5"/>
      </c:valAx>
      <c:valAx>
        <c:axId val="4578358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\ ##0.0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ysDot"/>
          </a:ln>
        </c:spPr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457835504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57177587529301355"/>
          <c:y val="0.14462310792362371"/>
          <c:w val="0.38264543381409977"/>
          <c:h val="0.16014327268920445"/>
        </c:manualLayout>
      </c:layout>
      <c:overlay val="0"/>
      <c:txPr>
        <a:bodyPr/>
        <a:lstStyle/>
        <a:p>
          <a:pPr>
            <a:defRPr sz="800"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58253902472714E-2"/>
          <c:y val="5.7856641159291705E-2"/>
          <c:w val="0.9302417460975273"/>
          <c:h val="0.85670548223725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'G37,G38'!$A$20</c:f>
              <c:strCache>
                <c:ptCount val="1"/>
                <c:pt idx="0">
                  <c:v>Príjmy z rozpočtu EÚ (NRVS 2018-2020)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'G37,G38'!$C$19:$F$19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'G37,G38'!$C$20:$F$20</c:f>
              <c:numCache>
                <c:formatCode>0.0</c:formatCode>
                <c:ptCount val="4"/>
                <c:pt idx="0">
                  <c:v>1.9088294731946627</c:v>
                </c:pt>
                <c:pt idx="1">
                  <c:v>1.5364946445807155</c:v>
                </c:pt>
                <c:pt idx="2">
                  <c:v>3.2423349976003095</c:v>
                </c:pt>
                <c:pt idx="3">
                  <c:v>3.0274868916040094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F-43A8-96DF-1AA3E2D97527}"/>
            </c:ext>
          </c:extLst>
        </c:ser>
        <c:ser>
          <c:idx val="1"/>
          <c:order val="1"/>
          <c:tx>
            <c:strRef>
              <c:f>'G37,G38'!$A$21</c:f>
              <c:strCache>
                <c:ptCount val="1"/>
                <c:pt idx="0">
                  <c:v>Príjmy z rozpočtu EÚ (VpMP)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'G37,G38'!$C$19:$F$19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'G37,G38'!$C$21:$F$21</c:f>
              <c:numCache>
                <c:formatCode>#\ ##0.0</c:formatCode>
                <c:ptCount val="4"/>
                <c:pt idx="0">
                  <c:v>1.5802878995403835</c:v>
                </c:pt>
                <c:pt idx="1">
                  <c:v>1.9780454290693306</c:v>
                </c:pt>
                <c:pt idx="2">
                  <c:v>1.9677610098989939</c:v>
                </c:pt>
                <c:pt idx="3">
                  <c:v>1.9944180368330642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F-43A8-96DF-1AA3E2D97527}"/>
            </c:ext>
          </c:extLst>
        </c:ser>
        <c:ser>
          <c:idx val="2"/>
          <c:order val="2"/>
          <c:tx>
            <c:strRef>
              <c:f>'G37,G38'!$A$22</c:f>
              <c:strCache>
                <c:ptCount val="1"/>
                <c:pt idx="0">
                  <c:v>Príjmy z rozpočtu EÚ (RRZ)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'G37,G38'!$C$19:$F$19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'G37,G38'!$C$22:$F$22</c:f>
              <c:numCache>
                <c:formatCode>#\ ##0.0</c:formatCode>
                <c:ptCount val="4"/>
                <c:pt idx="0">
                  <c:v>1.8480431630990877</c:v>
                </c:pt>
                <c:pt idx="1">
                  <c:v>2.3550384777299294</c:v>
                </c:pt>
                <c:pt idx="2">
                  <c:v>2.4472291959339514</c:v>
                </c:pt>
                <c:pt idx="3">
                  <c:v>2.3764085034453277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DF-43A8-96DF-1AA3E2D97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8"/>
        <c:axId val="457833152"/>
        <c:axId val="457833544"/>
      </c:barChart>
      <c:catAx>
        <c:axId val="4578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3544"/>
        <c:crosses val="autoZero"/>
        <c:auto val="1"/>
        <c:lblAlgn val="ctr"/>
        <c:lblOffset val="100"/>
        <c:noMultiLvlLbl val="0"/>
      </c:catAx>
      <c:valAx>
        <c:axId val="4578335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31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352029774846479"/>
          <c:y val="8.4064225067951914E-2"/>
          <c:w val="0.63441487577669298"/>
          <c:h val="0.1761582649143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0983957722773E-2"/>
          <c:y val="5.6410256410256411E-2"/>
          <c:w val="0.90601108717912515"/>
          <c:h val="0.86217888148596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'G03, G04'!$B$4</c:f>
              <c:strCache>
                <c:ptCount val="1"/>
                <c:pt idx="0">
                  <c:v>Fiškálny rámec (ciele)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2.2932022932022931E-2"/>
                  <c:y val="5.55599300087489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0-4D1F-9AB5-AB7B1BEA03B4}"/>
                </c:ext>
              </c:extLst>
            </c:dLbl>
            <c:dLbl>
              <c:idx val="2"/>
              <c:layout>
                <c:manualLayout>
                  <c:x val="-2.620802620802621E-2"/>
                  <c:y val="5.092533763207997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0-4D1F-9AB5-AB7B1BEA0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'G03, G04'!$C$3:$G$3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'G03, G04'!$C$4:$G$4</c:f>
              <c:numCache>
                <c:formatCode>0.00</c:formatCode>
                <c:ptCount val="5"/>
                <c:pt idx="0">
                  <c:v>-2.19</c:v>
                </c:pt>
                <c:pt idx="1">
                  <c:v>-1.6259539031147603</c:v>
                </c:pt>
                <c:pt idx="2">
                  <c:v>-0.82999969762914805</c:v>
                </c:pt>
                <c:pt idx="3">
                  <c:v>-0.10000013791542728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0-4D1F-9AB5-AB7B1BEA03B4}"/>
            </c:ext>
          </c:extLst>
        </c:ser>
        <c:ser>
          <c:idx val="1"/>
          <c:order val="1"/>
          <c:tx>
            <c:strRef>
              <c:f>'G03, G04'!$B$5</c:f>
              <c:strCache>
                <c:ptCount val="1"/>
                <c:pt idx="0">
                  <c:v>revízia HDP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9.82800982800982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0-4D1F-9AB5-AB7B1BEA03B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'G03, G04'!$C$3:$G$3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'G03, G04'!$C$5:$G$5</c:f>
              <c:numCache>
                <c:formatCode>#,##0.00</c:formatCode>
                <c:ptCount val="5"/>
                <c:pt idx="0">
                  <c:v>-2.1858611321595798</c:v>
                </c:pt>
                <c:pt idx="1">
                  <c:v>-1.6220277218759755</c:v>
                </c:pt>
                <c:pt idx="2">
                  <c:v>-0.82799550228585717</c:v>
                </c:pt>
                <c:pt idx="3">
                  <c:v>-9.9758668175967083E-2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0-4D1F-9AB5-AB7B1BEA0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04536"/>
        <c:axId val="457804928"/>
      </c:barChart>
      <c:catAx>
        <c:axId val="45780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4928"/>
        <c:crosses val="autoZero"/>
        <c:auto val="1"/>
        <c:lblAlgn val="ctr"/>
        <c:lblOffset val="100"/>
        <c:noMultiLvlLbl val="0"/>
      </c:catAx>
      <c:valAx>
        <c:axId val="4578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4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759394326323458"/>
          <c:y val="0.66858923884514432"/>
          <c:w val="0.35581342258507614"/>
          <c:h val="0.19375065616797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2139107611548"/>
          <c:y val="3.1566053293248596E-2"/>
          <c:w val="0.86978302712160982"/>
          <c:h val="0.798290972222222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'G39'!$A$3:$A$5</c:f>
              <c:strCache>
                <c:ptCount val="3"/>
                <c:pt idx="0">
                  <c:v>NPC - 2017</c:v>
                </c:pt>
                <c:pt idx="1">
                  <c:v>NRVS 2018 - 2020</c:v>
                </c:pt>
                <c:pt idx="2">
                  <c:v>fiškálny rámec (ciele)</c:v>
                </c:pt>
              </c:strCache>
            </c:strRef>
          </c:cat>
          <c:val>
            <c:numRef>
              <c:f>'G39'!$B$3:$B$5</c:f>
              <c:numCache>
                <c:formatCode>0.00</c:formatCode>
                <c:ptCount val="3"/>
                <c:pt idx="0">
                  <c:v>0.40742388105697197</c:v>
                </c:pt>
                <c:pt idx="1">
                  <c:v>0.2369375013700401</c:v>
                </c:pt>
                <c:pt idx="2">
                  <c:v>-4.3953601730902278E-2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7-47EE-8479-CDE020A75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9642472"/>
        <c:axId val="559632960"/>
      </c:barChart>
      <c:catAx>
        <c:axId val="55964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59632960"/>
        <c:crosses val="autoZero"/>
        <c:auto val="1"/>
        <c:lblAlgn val="ctr"/>
        <c:lblOffset val="100"/>
        <c:noMultiLvlLbl val="0"/>
      </c:catAx>
      <c:valAx>
        <c:axId val="55963296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100" i="1"/>
                  <a:t>% HDP</a:t>
                </a:r>
                <a:endParaRPr lang="en-GB" sz="1100" i="1"/>
              </a:p>
            </c:rich>
          </c:tx>
          <c:layout>
            <c:manualLayout>
              <c:xMode val="edge"/>
              <c:yMode val="edge"/>
              <c:x val="0.10277777777777776"/>
              <c:y val="3.57843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5964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812773403328E-2"/>
          <c:y val="5.0925925925925923E-2"/>
          <c:w val="0.904416447944007"/>
          <c:h val="0.92364574219889184"/>
        </c:manualLayout>
      </c:layout>
      <c:lineChart>
        <c:grouping val="standard"/>
        <c:varyColors val="0"/>
        <c:ser>
          <c:idx val="0"/>
          <c:order val="0"/>
          <c:tx>
            <c:strRef>
              <c:f>'G40,G41'!$A$2</c:f>
              <c:strCache>
                <c:ptCount val="1"/>
                <c:pt idx="0">
                  <c:v>EC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'G40,G41'!$B$2:$W$2</c:f>
              <c:numCache>
                <c:formatCode>0.0</c:formatCode>
                <c:ptCount val="22"/>
                <c:pt idx="0">
                  <c:v>-1.0677890000000001</c:v>
                </c:pt>
                <c:pt idx="1">
                  <c:v>-3</c:v>
                </c:pt>
                <c:pt idx="2">
                  <c:v>-3.6</c:v>
                </c:pt>
                <c:pt idx="3">
                  <c:v>-3.2</c:v>
                </c:pt>
                <c:pt idx="4">
                  <c:v>-2</c:v>
                </c:pt>
                <c:pt idx="5">
                  <c:v>-1.3</c:v>
                </c:pt>
                <c:pt idx="6">
                  <c:v>0</c:v>
                </c:pt>
                <c:pt idx="7">
                  <c:v>2.4</c:v>
                </c:pt>
                <c:pt idx="8">
                  <c:v>6.9</c:v>
                </c:pt>
                <c:pt idx="9">
                  <c:v>7.1</c:v>
                </c:pt>
                <c:pt idx="10">
                  <c:v>-2.1</c:v>
                </c:pt>
                <c:pt idx="11">
                  <c:v>-0.6</c:v>
                </c:pt>
                <c:pt idx="12">
                  <c:v>-1.2</c:v>
                </c:pt>
                <c:pt idx="13">
                  <c:v>-2.1</c:v>
                </c:pt>
                <c:pt idx="14">
                  <c:v>-2.7</c:v>
                </c:pt>
                <c:pt idx="15">
                  <c:v>-2.1</c:v>
                </c:pt>
                <c:pt idx="16">
                  <c:v>-1.2</c:v>
                </c:pt>
                <c:pt idx="17">
                  <c:v>-0.4</c:v>
                </c:pt>
                <c:pt idx="18">
                  <c:v>0</c:v>
                </c:pt>
                <c:pt idx="19">
                  <c:v>0.5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D-4CED-ACB7-AD93B4884097}"/>
            </c:ext>
          </c:extLst>
        </c:ser>
        <c:ser>
          <c:idx val="1"/>
          <c:order val="1"/>
          <c:tx>
            <c:strRef>
              <c:f>'G40,G41'!$A$3</c:f>
              <c:strCache>
                <c:ptCount val="1"/>
                <c:pt idx="0">
                  <c:v>MF SR - (sept2017,VpMP)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'G40,G41'!$B$3:$W$3</c:f>
              <c:numCache>
                <c:formatCode>0.0</c:formatCode>
                <c:ptCount val="22"/>
                <c:pt idx="0">
                  <c:v>-0.3433098646453222</c:v>
                </c:pt>
                <c:pt idx="1">
                  <c:v>-1.3287960600396604</c:v>
                </c:pt>
                <c:pt idx="2">
                  <c:v>-1.3503859443255672</c:v>
                </c:pt>
                <c:pt idx="3">
                  <c:v>-1.1251347827135303</c:v>
                </c:pt>
                <c:pt idx="4">
                  <c:v>-0.66158016512855411</c:v>
                </c:pt>
                <c:pt idx="5">
                  <c:v>-1.3264983456888684</c:v>
                </c:pt>
                <c:pt idx="6">
                  <c:v>-1.7628294460214422</c:v>
                </c:pt>
                <c:pt idx="7">
                  <c:v>-1.1260288491925134</c:v>
                </c:pt>
                <c:pt idx="8">
                  <c:v>2.1611949793378669</c:v>
                </c:pt>
                <c:pt idx="9">
                  <c:v>2.4331977154343649</c:v>
                </c:pt>
                <c:pt idx="10">
                  <c:v>-4.4903640946039252</c:v>
                </c:pt>
                <c:pt idx="11">
                  <c:v>-1.0377285646708476</c:v>
                </c:pt>
                <c:pt idx="12">
                  <c:v>-0.79757498961619122</c:v>
                </c:pt>
                <c:pt idx="13">
                  <c:v>-1.1492135150198222</c:v>
                </c:pt>
                <c:pt idx="14">
                  <c:v>-1.9531714805497817</c:v>
                </c:pt>
                <c:pt idx="15">
                  <c:v>-1.5715085583752106</c:v>
                </c:pt>
                <c:pt idx="16">
                  <c:v>-0.75531757863283056</c:v>
                </c:pt>
                <c:pt idx="17">
                  <c:v>-0.20997029082948238</c:v>
                </c:pt>
                <c:pt idx="18">
                  <c:v>0.1538964153457161</c:v>
                </c:pt>
                <c:pt idx="19">
                  <c:v>0.76466660384759766</c:v>
                </c:pt>
                <c:pt idx="20">
                  <c:v>1.3475754184047233</c:v>
                </c:pt>
                <c:pt idx="21">
                  <c:v>1.3407115494943964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D-4CED-ACB7-AD93B4884097}"/>
            </c:ext>
          </c:extLst>
        </c:ser>
        <c:ser>
          <c:idx val="2"/>
          <c:order val="2"/>
          <c:tx>
            <c:strRef>
              <c:f>'G40,G41'!$A$4</c:f>
              <c:strCache>
                <c:ptCount val="1"/>
                <c:pt idx="0">
                  <c:v>NBS - P3Q2017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'G40,G41'!$B$4:$W$4</c:f>
              <c:numCache>
                <c:formatCode>0.0</c:formatCode>
                <c:ptCount val="22"/>
                <c:pt idx="0">
                  <c:v>-1.0151235486861778</c:v>
                </c:pt>
                <c:pt idx="1">
                  <c:v>-1.5721478825410202</c:v>
                </c:pt>
                <c:pt idx="2">
                  <c:v>-1.3950876373126488</c:v>
                </c:pt>
                <c:pt idx="3">
                  <c:v>-1.4137187425023201</c:v>
                </c:pt>
                <c:pt idx="4">
                  <c:v>-1.3267991102440551</c:v>
                </c:pt>
                <c:pt idx="5">
                  <c:v>-1.7083000639707264</c:v>
                </c:pt>
                <c:pt idx="6">
                  <c:v>-1.5580959191484549</c:v>
                </c:pt>
                <c:pt idx="7">
                  <c:v>-0.69383288571334911</c:v>
                </c:pt>
                <c:pt idx="8">
                  <c:v>2.3145563280276642</c:v>
                </c:pt>
                <c:pt idx="9">
                  <c:v>3.0620796635834977</c:v>
                </c:pt>
                <c:pt idx="10">
                  <c:v>-4.2184701434880481</c:v>
                </c:pt>
                <c:pt idx="11">
                  <c:v>-1.4851122612304761</c:v>
                </c:pt>
                <c:pt idx="12">
                  <c:v>-0.94043704011899165</c:v>
                </c:pt>
                <c:pt idx="13">
                  <c:v>-1.1881435938908818</c:v>
                </c:pt>
                <c:pt idx="14">
                  <c:v>-1.6882887454103883</c:v>
                </c:pt>
                <c:pt idx="15">
                  <c:v>-1.694410152578544</c:v>
                </c:pt>
                <c:pt idx="16">
                  <c:v>-0.911576300402688</c:v>
                </c:pt>
                <c:pt idx="17">
                  <c:v>-0.61672013692599059</c:v>
                </c:pt>
                <c:pt idx="18">
                  <c:v>-0.18781062524633202</c:v>
                </c:pt>
                <c:pt idx="19">
                  <c:v>0.35222512174238996</c:v>
                </c:pt>
                <c:pt idx="20">
                  <c:v>1.0816164552386889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D-4CED-ACB7-AD93B4884097}"/>
            </c:ext>
          </c:extLst>
        </c:ser>
        <c:ser>
          <c:idx val="3"/>
          <c:order val="3"/>
          <c:tx>
            <c:strRef>
              <c:f>'G40,G41'!$A$5</c:f>
              <c:strCache>
                <c:ptCount val="1"/>
                <c:pt idx="0">
                  <c:v>SHPQ (sept2017,VpMP)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'G40,G41'!$B$5:$W$5</c:f>
              <c:numCache>
                <c:formatCode>0.0</c:formatCode>
                <c:ptCount val="22"/>
                <c:pt idx="0">
                  <c:v>7.2720802731318604E-2</c:v>
                </c:pt>
                <c:pt idx="1">
                  <c:v>-1.42036687255226</c:v>
                </c:pt>
                <c:pt idx="2">
                  <c:v>-1.2363222678130401</c:v>
                </c:pt>
                <c:pt idx="3">
                  <c:v>-0.83095851898500295</c:v>
                </c:pt>
                <c:pt idx="4">
                  <c:v>-0.78875102417865595</c:v>
                </c:pt>
                <c:pt idx="5">
                  <c:v>-1.29608517428354</c:v>
                </c:pt>
                <c:pt idx="6">
                  <c:v>-1.40382191003499</c:v>
                </c:pt>
                <c:pt idx="7">
                  <c:v>2.5693451236205298E-3</c:v>
                </c:pt>
                <c:pt idx="8">
                  <c:v>4.2695609182319396</c:v>
                </c:pt>
                <c:pt idx="9">
                  <c:v>5.1116051440332697</c:v>
                </c:pt>
                <c:pt idx="10">
                  <c:v>-2.56258610271792</c:v>
                </c:pt>
                <c:pt idx="11">
                  <c:v>-0.74775429176896602</c:v>
                </c:pt>
                <c:pt idx="12">
                  <c:v>3.3430312507909003E-2</c:v>
                </c:pt>
                <c:pt idx="13">
                  <c:v>-0.21908324745730601</c:v>
                </c:pt>
                <c:pt idx="14">
                  <c:v>-0.90972223587078804</c:v>
                </c:pt>
                <c:pt idx="15">
                  <c:v>-0.82979096518318995</c:v>
                </c:pt>
                <c:pt idx="16">
                  <c:v>-3.5196478872608197E-2</c:v>
                </c:pt>
                <c:pt idx="17">
                  <c:v>2.5114393913341498E-2</c:v>
                </c:pt>
                <c:pt idx="18">
                  <c:v>-0.245674670273027</c:v>
                </c:pt>
                <c:pt idx="19">
                  <c:v>4.0254237961519702E-2</c:v>
                </c:pt>
                <c:pt idx="20">
                  <c:v>0.38578561717858201</c:v>
                </c:pt>
                <c:pt idx="21">
                  <c:v>0.23237144449193001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D-4CED-ACB7-AD93B4884097}"/>
            </c:ext>
          </c:extLst>
        </c:ser>
        <c:ser>
          <c:idx val="4"/>
          <c:order val="4"/>
          <c:tx>
            <c:strRef>
              <c:f>'G40,G41'!$A$6</c:f>
              <c:strCache>
                <c:ptCount val="1"/>
                <c:pt idx="0">
                  <c:v>MVKF (mvkf_1)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'G40,G41'!$B$6:$W$6</c:f>
              <c:numCache>
                <c:formatCode>0.0</c:formatCode>
                <c:ptCount val="22"/>
                <c:pt idx="0">
                  <c:v>0.24537640352087101</c:v>
                </c:pt>
                <c:pt idx="1">
                  <c:v>-1.58021425499529</c:v>
                </c:pt>
                <c:pt idx="2">
                  <c:v>-4.3457119300643901E-2</c:v>
                </c:pt>
                <c:pt idx="3">
                  <c:v>0.22911776822402</c:v>
                </c:pt>
                <c:pt idx="4">
                  <c:v>0.265520515963729</c:v>
                </c:pt>
                <c:pt idx="5">
                  <c:v>-0.48563435615718797</c:v>
                </c:pt>
                <c:pt idx="6">
                  <c:v>-0.41179393024549499</c:v>
                </c:pt>
                <c:pt idx="7">
                  <c:v>0.67023946271931401</c:v>
                </c:pt>
                <c:pt idx="8">
                  <c:v>0.93567024721811198</c:v>
                </c:pt>
                <c:pt idx="9">
                  <c:v>1.48822917339963</c:v>
                </c:pt>
                <c:pt idx="10">
                  <c:v>-1.2697953682832499</c:v>
                </c:pt>
                <c:pt idx="11">
                  <c:v>6.4960642684888201E-2</c:v>
                </c:pt>
                <c:pt idx="12">
                  <c:v>0.56487357993340304</c:v>
                </c:pt>
                <c:pt idx="13">
                  <c:v>0.25241911795489802</c:v>
                </c:pt>
                <c:pt idx="14">
                  <c:v>-0.258525870988012</c:v>
                </c:pt>
                <c:pt idx="15">
                  <c:v>0.29328890944955999</c:v>
                </c:pt>
                <c:pt idx="16">
                  <c:v>0.26646595429116099</c:v>
                </c:pt>
                <c:pt idx="17">
                  <c:v>0.47178267296782</c:v>
                </c:pt>
                <c:pt idx="18">
                  <c:v>0.80867811420176705</c:v>
                </c:pt>
                <c:pt idx="19">
                  <c:v>0.84245028920745502</c:v>
                </c:pt>
                <c:pt idx="20">
                  <c:v>0.89569349204704496</c:v>
                </c:pt>
                <c:pt idx="21">
                  <c:v>4.7642665624291099E-2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5D-4CED-ACB7-AD93B4884097}"/>
            </c:ext>
          </c:extLst>
        </c:ser>
        <c:ser>
          <c:idx val="5"/>
          <c:order val="5"/>
          <c:tx>
            <c:strRef>
              <c:f>'G40,G41'!$A$7</c:f>
              <c:strCache>
                <c:ptCount val="1"/>
                <c:pt idx="0">
                  <c:v>PCA_f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'G40,G41'!$B$7:$W$7</c:f>
              <c:numCache>
                <c:formatCode>0.0</c:formatCode>
                <c:ptCount val="22"/>
                <c:pt idx="0">
                  <c:v>-1.4302124842166799</c:v>
                </c:pt>
                <c:pt idx="1">
                  <c:v>0.85914656253425503</c:v>
                </c:pt>
                <c:pt idx="2">
                  <c:v>1.1171754501370501</c:v>
                </c:pt>
                <c:pt idx="3">
                  <c:v>0.37979643879451203</c:v>
                </c:pt>
                <c:pt idx="4">
                  <c:v>1.25915942857332E-2</c:v>
                </c:pt>
                <c:pt idx="5">
                  <c:v>-9.8803797521450396E-2</c:v>
                </c:pt>
                <c:pt idx="6">
                  <c:v>1.0424968251803699</c:v>
                </c:pt>
                <c:pt idx="7">
                  <c:v>2.8236585620137702</c:v>
                </c:pt>
                <c:pt idx="8">
                  <c:v>3.85044654922239</c:v>
                </c:pt>
                <c:pt idx="9">
                  <c:v>2.6143323748153602</c:v>
                </c:pt>
                <c:pt idx="10">
                  <c:v>-4.0050525920408804</c:v>
                </c:pt>
                <c:pt idx="11">
                  <c:v>-1.82732722255796</c:v>
                </c:pt>
                <c:pt idx="12">
                  <c:v>-1.0511083787568001</c:v>
                </c:pt>
                <c:pt idx="13">
                  <c:v>-1.75962934831151</c:v>
                </c:pt>
                <c:pt idx="14">
                  <c:v>-1.921061734729</c:v>
                </c:pt>
                <c:pt idx="15">
                  <c:v>-0.15831280931498801</c:v>
                </c:pt>
                <c:pt idx="16">
                  <c:v>1.42369373540343</c:v>
                </c:pt>
                <c:pt idx="17">
                  <c:v>1.64194230693979</c:v>
                </c:pt>
                <c:pt idx="18">
                  <c:v>2.6014440083133601</c:v>
                </c:pt>
                <c:pt idx="19">
                  <c:v>2.4924671214127101</c:v>
                </c:pt>
                <c:pt idx="20">
                  <c:v>1.3463411792353801</c:v>
                </c:pt>
                <c:pt idx="21">
                  <c:v>0.78434984463456003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5D-4CED-ACB7-AD93B4884097}"/>
            </c:ext>
          </c:extLst>
        </c:ser>
        <c:ser>
          <c:idx val="6"/>
          <c:order val="6"/>
          <c:tx>
            <c:strRef>
              <c:f>'G40,G41'!$A$8</c:f>
              <c:strCache>
                <c:ptCount val="1"/>
                <c:pt idx="0">
                  <c:v>OG rvs nov2017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'G40,G41'!$B$8:$W$8</c:f>
              <c:numCache>
                <c:formatCode>0.0</c:formatCode>
                <c:ptCount val="22"/>
                <c:pt idx="0">
                  <c:v>-0.58972294854933172</c:v>
                </c:pt>
                <c:pt idx="1">
                  <c:v>-1.3403964179323296</c:v>
                </c:pt>
                <c:pt idx="2">
                  <c:v>-1.0846795864358085</c:v>
                </c:pt>
                <c:pt idx="3">
                  <c:v>-0.99348297286372045</c:v>
                </c:pt>
                <c:pt idx="4">
                  <c:v>-0.74983636488363381</c:v>
                </c:pt>
                <c:pt idx="5">
                  <c:v>-1.0358869562702955</c:v>
                </c:pt>
                <c:pt idx="6">
                  <c:v>-0.68234073004500206</c:v>
                </c:pt>
                <c:pt idx="7">
                  <c:v>0.67943427249180699</c:v>
                </c:pt>
                <c:pt idx="8">
                  <c:v>3.4052381703396617</c:v>
                </c:pt>
                <c:pt idx="9">
                  <c:v>3.6349073452110212</c:v>
                </c:pt>
                <c:pt idx="10">
                  <c:v>-3.1077113835223376</c:v>
                </c:pt>
                <c:pt idx="11">
                  <c:v>-0.93882694959056023</c:v>
                </c:pt>
                <c:pt idx="12">
                  <c:v>-0.56513608600844512</c:v>
                </c:pt>
                <c:pt idx="13">
                  <c:v>-1.027275097787437</c:v>
                </c:pt>
                <c:pt idx="14">
                  <c:v>-1.571795011257995</c:v>
                </c:pt>
                <c:pt idx="15">
                  <c:v>-1.0101222626670623</c:v>
                </c:pt>
                <c:pt idx="16">
                  <c:v>-0.20198844470225594</c:v>
                </c:pt>
                <c:pt idx="17">
                  <c:v>0.15202482434424647</c:v>
                </c:pt>
                <c:pt idx="18">
                  <c:v>0.52175554039024741</c:v>
                </c:pt>
                <c:pt idx="19">
                  <c:v>0.83201056236194548</c:v>
                </c:pt>
                <c:pt idx="20">
                  <c:v>1.0095020270174031</c:v>
                </c:pt>
                <c:pt idx="21">
                  <c:v>0.60126887606129442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2-4E18-A395-E6733253C581}"/>
            </c:ext>
          </c:extLst>
        </c:ser>
        <c:ser>
          <c:idx val="7"/>
          <c:order val="7"/>
          <c:tx>
            <c:strRef>
              <c:f>'G40,G41'!$A$9</c:f>
              <c:strCache>
                <c:ptCount val="1"/>
                <c:pt idx="0">
                  <c:v>BIS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'G40,G41'!$B$9:$W$9</c:f>
              <c:numCache>
                <c:formatCode>0.0</c:formatCode>
                <c:ptCount val="22"/>
                <c:pt idx="0">
                  <c:v>-0.72000000000000008</c:v>
                </c:pt>
                <c:pt idx="1">
                  <c:v>-3.2275</c:v>
                </c:pt>
                <c:pt idx="2">
                  <c:v>-4.0174999999999992</c:v>
                </c:pt>
                <c:pt idx="3">
                  <c:v>-3.6074999999999995</c:v>
                </c:pt>
                <c:pt idx="4">
                  <c:v>-2.5275000000000003</c:v>
                </c:pt>
                <c:pt idx="5">
                  <c:v>-2.0149999999999997</c:v>
                </c:pt>
                <c:pt idx="6">
                  <c:v>-0.46191850000000007</c:v>
                </c:pt>
                <c:pt idx="7">
                  <c:v>2.0450000000000004</c:v>
                </c:pt>
                <c:pt idx="8">
                  <c:v>6.169999999999999</c:v>
                </c:pt>
                <c:pt idx="9">
                  <c:v>6.8074999999999992</c:v>
                </c:pt>
                <c:pt idx="10">
                  <c:v>-2.0125000000000002</c:v>
                </c:pt>
                <c:pt idx="11">
                  <c:v>-0.71250000000000002</c:v>
                </c:pt>
                <c:pt idx="12">
                  <c:v>-1.0499999999999998</c:v>
                </c:pt>
                <c:pt idx="13">
                  <c:v>-1.6150000000000002</c:v>
                </c:pt>
                <c:pt idx="14">
                  <c:v>-2.1349999999999998</c:v>
                </c:pt>
                <c:pt idx="15">
                  <c:v>-1.5325000000000002</c:v>
                </c:pt>
                <c:pt idx="16">
                  <c:v>0.47250000000000003</c:v>
                </c:pt>
                <c:pt idx="17">
                  <c:v>2.2225000000000001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2-4E18-A395-E6733253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703440"/>
        <c:axId val="617715248"/>
      </c:lineChart>
      <c:catAx>
        <c:axId val="61770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17715248"/>
        <c:crosses val="autoZero"/>
        <c:auto val="1"/>
        <c:lblAlgn val="ctr"/>
        <c:lblOffset val="100"/>
        <c:noMultiLvlLbl val="0"/>
      </c:catAx>
      <c:valAx>
        <c:axId val="61771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1770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462379702537183"/>
          <c:y val="3.1827063283756202E-2"/>
          <c:w val="0.39537620297462817"/>
          <c:h val="0.431135899679206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1136487958108E-2"/>
          <c:y val="2.3175188544469916E-2"/>
          <c:w val="0.904416447944007"/>
          <c:h val="0.92364574219889184"/>
        </c:manualLayout>
      </c:layout>
      <c:lineChart>
        <c:grouping val="standard"/>
        <c:varyColors val="0"/>
        <c:ser>
          <c:idx val="0"/>
          <c:order val="0"/>
          <c:tx>
            <c:strRef>
              <c:f>'G40,G41'!$A$12</c:f>
              <c:strCache>
                <c:ptCount val="1"/>
                <c:pt idx="0">
                  <c:v>OG rvs nov2017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'G40,G41'!$B$12:$W$12</c:f>
              <c:numCache>
                <c:formatCode>0.0</c:formatCode>
                <c:ptCount val="22"/>
                <c:pt idx="0">
                  <c:v>-0.58972294854933172</c:v>
                </c:pt>
                <c:pt idx="1">
                  <c:v>-1.3403964179323296</c:v>
                </c:pt>
                <c:pt idx="2">
                  <c:v>-1.0846795864358085</c:v>
                </c:pt>
                <c:pt idx="3">
                  <c:v>-0.99348297286372045</c:v>
                </c:pt>
                <c:pt idx="4">
                  <c:v>-0.74983636488363381</c:v>
                </c:pt>
                <c:pt idx="5">
                  <c:v>-1.0358869562702955</c:v>
                </c:pt>
                <c:pt idx="6">
                  <c:v>-0.68234073004500206</c:v>
                </c:pt>
                <c:pt idx="7">
                  <c:v>0.67943427249180699</c:v>
                </c:pt>
                <c:pt idx="8">
                  <c:v>3.4052381703396617</c:v>
                </c:pt>
                <c:pt idx="9">
                  <c:v>3.6349073452110212</c:v>
                </c:pt>
                <c:pt idx="10">
                  <c:v>-3.1077113835223376</c:v>
                </c:pt>
                <c:pt idx="11">
                  <c:v>-0.93882694959056023</c:v>
                </c:pt>
                <c:pt idx="12">
                  <c:v>-0.56513608600844512</c:v>
                </c:pt>
                <c:pt idx="13">
                  <c:v>-1.027275097787437</c:v>
                </c:pt>
                <c:pt idx="14">
                  <c:v>-1.571795011257995</c:v>
                </c:pt>
                <c:pt idx="15">
                  <c:v>-1.0101222626670623</c:v>
                </c:pt>
                <c:pt idx="16">
                  <c:v>-0.20198844470225594</c:v>
                </c:pt>
                <c:pt idx="17">
                  <c:v>0.15202482434424647</c:v>
                </c:pt>
                <c:pt idx="18">
                  <c:v>0.52175554039024741</c:v>
                </c:pt>
                <c:pt idx="19">
                  <c:v>0.83201056236194548</c:v>
                </c:pt>
                <c:pt idx="20">
                  <c:v>1.0095020270174031</c:v>
                </c:pt>
                <c:pt idx="21">
                  <c:v>0.60126887606129442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9-4E58-A689-078BC5B98023}"/>
            </c:ext>
          </c:extLst>
        </c:ser>
        <c:ser>
          <c:idx val="1"/>
          <c:order val="1"/>
          <c:tx>
            <c:strRef>
              <c:f>'G40,G41'!$A$13</c:f>
              <c:strCache>
                <c:ptCount val="1"/>
                <c:pt idx="0">
                  <c:v>OG PS2017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'G40,G41'!$B$13:$W$13</c:f>
              <c:numCache>
                <c:formatCode>0.0</c:formatCode>
                <c:ptCount val="22"/>
                <c:pt idx="0">
                  <c:v>-0.60680178829240627</c:v>
                </c:pt>
                <c:pt idx="1">
                  <c:v>-1.321556275517394</c:v>
                </c:pt>
                <c:pt idx="2">
                  <c:v>-1.0398556688215816</c:v>
                </c:pt>
                <c:pt idx="3">
                  <c:v>-0.96865315475905456</c:v>
                </c:pt>
                <c:pt idx="4">
                  <c:v>-0.76543736606482871</c:v>
                </c:pt>
                <c:pt idx="5">
                  <c:v>-1.0252417768492663</c:v>
                </c:pt>
                <c:pt idx="6">
                  <c:v>-0.63435878636717591</c:v>
                </c:pt>
                <c:pt idx="7">
                  <c:v>0.7830210591055099</c:v>
                </c:pt>
                <c:pt idx="8">
                  <c:v>3.5287584253787698</c:v>
                </c:pt>
                <c:pt idx="9">
                  <c:v>3.7218082855667221</c:v>
                </c:pt>
                <c:pt idx="10">
                  <c:v>-3.1662735696673754</c:v>
                </c:pt>
                <c:pt idx="11">
                  <c:v>-0.93957437481812234</c:v>
                </c:pt>
                <c:pt idx="12">
                  <c:v>-0.52491081642834925</c:v>
                </c:pt>
                <c:pt idx="13">
                  <c:v>-1.0662405582908463</c:v>
                </c:pt>
                <c:pt idx="14">
                  <c:v>-1.593192095109879</c:v>
                </c:pt>
                <c:pt idx="15">
                  <c:v>-1.0326734176964656</c:v>
                </c:pt>
                <c:pt idx="16">
                  <c:v>-0.17676930446834185</c:v>
                </c:pt>
                <c:pt idx="17">
                  <c:v>0.20789272235087919</c:v>
                </c:pt>
                <c:pt idx="18">
                  <c:v>0.17450259569044285</c:v>
                </c:pt>
                <c:pt idx="19">
                  <c:v>0.5438459073646511</c:v>
                </c:pt>
                <c:pt idx="20">
                  <c:v>0.8432934630212181</c:v>
                </c:pt>
                <c:pt idx="21">
                  <c:v>0.45304457678450133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9-4E58-A689-078BC5B98023}"/>
            </c:ext>
          </c:extLst>
        </c:ser>
        <c:ser>
          <c:idx val="2"/>
          <c:order val="2"/>
          <c:tx>
            <c:strRef>
              <c:f>'G40,G41'!$A$14</c:f>
              <c:strCache>
                <c:ptCount val="1"/>
                <c:pt idx="0">
                  <c:v>OG SR2017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'G40,G41'!$B$14:$W$14</c:f>
              <c:numCache>
                <c:formatCode>0.0</c:formatCode>
                <c:ptCount val="22"/>
                <c:pt idx="0">
                  <c:v>-0.59106412162573951</c:v>
                </c:pt>
                <c:pt idx="1">
                  <c:v>-1.2915082755173939</c:v>
                </c:pt>
                <c:pt idx="2">
                  <c:v>-1.0021198354882483</c:v>
                </c:pt>
                <c:pt idx="3">
                  <c:v>-0.92913032142572138</c:v>
                </c:pt>
                <c:pt idx="4">
                  <c:v>-0.72757669939816205</c:v>
                </c:pt>
                <c:pt idx="5">
                  <c:v>-0.99344977684926639</c:v>
                </c:pt>
                <c:pt idx="6">
                  <c:v>-0.66095611970050927</c:v>
                </c:pt>
                <c:pt idx="7">
                  <c:v>0.75779422577217659</c:v>
                </c:pt>
                <c:pt idx="8">
                  <c:v>3.509418258712103</c:v>
                </c:pt>
                <c:pt idx="9">
                  <c:v>3.713453618900056</c:v>
                </c:pt>
                <c:pt idx="10">
                  <c:v>-3.1776845696673752</c:v>
                </c:pt>
                <c:pt idx="11">
                  <c:v>-0.92875504148478905</c:v>
                </c:pt>
                <c:pt idx="12">
                  <c:v>-0.48730731642834924</c:v>
                </c:pt>
                <c:pt idx="13">
                  <c:v>-1.0242203916241797</c:v>
                </c:pt>
                <c:pt idx="14">
                  <c:v>-1.5326142617765457</c:v>
                </c:pt>
                <c:pt idx="15">
                  <c:v>-0.97599041769646577</c:v>
                </c:pt>
                <c:pt idx="16">
                  <c:v>-0.15559113780167519</c:v>
                </c:pt>
                <c:pt idx="17">
                  <c:v>0.1561240556842125</c:v>
                </c:pt>
                <c:pt idx="18">
                  <c:v>8.9901195690442831E-2</c:v>
                </c:pt>
                <c:pt idx="19">
                  <c:v>0.34252150736465103</c:v>
                </c:pt>
                <c:pt idx="20">
                  <c:v>0.71491686302121815</c:v>
                </c:pt>
                <c:pt idx="21">
                  <c:v>0.51167776904600182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59-4E58-A689-078BC5B98023}"/>
            </c:ext>
          </c:extLst>
        </c:ser>
        <c:ser>
          <c:idx val="3"/>
          <c:order val="3"/>
          <c:tx>
            <c:strRef>
              <c:f>'G40,G41'!$A$15</c:f>
              <c:strCache>
                <c:ptCount val="1"/>
                <c:pt idx="0">
                  <c:v>OG MTO dec2016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'G40,G41'!$B$1:$W$1</c:f>
              <c:strCache>
                <c:ptCount val="22"/>
                <c:pt idx="0">
                  <c:v>1999*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'G40,G41'!$B$15:$W$15</c:f>
              <c:numCache>
                <c:formatCode>0.0</c:formatCode>
                <c:ptCount val="22"/>
                <c:pt idx="0">
                  <c:v>-0.61122098652570644</c:v>
                </c:pt>
                <c:pt idx="1">
                  <c:v>-1.3147639716696076</c:v>
                </c:pt>
                <c:pt idx="2">
                  <c:v>-1.0287990307747452</c:v>
                </c:pt>
                <c:pt idx="3">
                  <c:v>-0.95533863972837185</c:v>
                </c:pt>
                <c:pt idx="4">
                  <c:v>-0.749954921587349</c:v>
                </c:pt>
                <c:pt idx="5">
                  <c:v>-0.98480835126764488</c:v>
                </c:pt>
                <c:pt idx="6">
                  <c:v>-0.68478586255248108</c:v>
                </c:pt>
                <c:pt idx="7">
                  <c:v>0.76409326970249103</c:v>
                </c:pt>
                <c:pt idx="8">
                  <c:v>3.5294797548993446</c:v>
                </c:pt>
                <c:pt idx="9">
                  <c:v>3.7262975680951396</c:v>
                </c:pt>
                <c:pt idx="10">
                  <c:v>-3.216250941637993</c:v>
                </c:pt>
                <c:pt idx="11">
                  <c:v>-0.94493964203933212</c:v>
                </c:pt>
                <c:pt idx="12">
                  <c:v>-0.50824649918059273</c:v>
                </c:pt>
                <c:pt idx="13">
                  <c:v>-1.0620371481471524</c:v>
                </c:pt>
                <c:pt idx="14">
                  <c:v>-1.5751023352624001</c:v>
                </c:pt>
                <c:pt idx="15">
                  <c:v>-1.0012373108004493</c:v>
                </c:pt>
                <c:pt idx="16">
                  <c:v>-0.16413480852519743</c:v>
                </c:pt>
                <c:pt idx="17">
                  <c:v>-0.10421966951045317</c:v>
                </c:pt>
                <c:pt idx="18">
                  <c:v>0.11572197070954408</c:v>
                </c:pt>
                <c:pt idx="19">
                  <c:v>0.29686315111838829</c:v>
                </c:pt>
                <c:pt idx="20">
                  <c:v>0.59653702833520406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6-43E1-9DB0-241D103B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703440"/>
        <c:axId val="617715248"/>
      </c:lineChart>
      <c:catAx>
        <c:axId val="61770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17715248"/>
        <c:crosses val="autoZero"/>
        <c:auto val="1"/>
        <c:lblAlgn val="ctr"/>
        <c:lblOffset val="100"/>
        <c:noMultiLvlLbl val="0"/>
      </c:catAx>
      <c:valAx>
        <c:axId val="61771524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1770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73490813648297"/>
          <c:y val="7.8123359580052509E-2"/>
          <c:w val="0.30926509186351708"/>
          <c:h val="0.180563473869563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917924733092573E-2"/>
          <c:y val="5.0925872589436726E-2"/>
          <c:w val="0.92727645471636533"/>
          <c:h val="0.8182305615188398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'G42'!$D$1</c:f>
              <c:strCache>
                <c:ptCount val="1"/>
                <c:pt idx="0">
                  <c:v>cyklická zložka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numRef>
              <c:f>'G42'!$A$2:$A$23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'G42'!$D$2:$D$23</c:f>
              <c:numCache>
                <c:formatCode>#,##0.00</c:formatCode>
                <c:ptCount val="22"/>
                <c:pt idx="0">
                  <c:v>-0.26835129773151156</c:v>
                </c:pt>
                <c:pt idx="1">
                  <c:v>-0.26376010257740184</c:v>
                </c:pt>
                <c:pt idx="2">
                  <c:v>-0.49589969277740531</c:v>
                </c:pt>
                <c:pt idx="3">
                  <c:v>-0.17705861003046247</c:v>
                </c:pt>
                <c:pt idx="4">
                  <c:v>-0.35994026439070331</c:v>
                </c:pt>
                <c:pt idx="5">
                  <c:v>-0.60526161058867933</c:v>
                </c:pt>
                <c:pt idx="6">
                  <c:v>-5.4589262618664459E-2</c:v>
                </c:pt>
                <c:pt idx="7">
                  <c:v>0.16664009576861266</c:v>
                </c:pt>
                <c:pt idx="8">
                  <c:v>1.0236385887856303</c:v>
                </c:pt>
                <c:pt idx="9">
                  <c:v>1.080396374825523</c:v>
                </c:pt>
                <c:pt idx="10">
                  <c:v>0.27584801116293822</c:v>
                </c:pt>
                <c:pt idx="11">
                  <c:v>0.1547117141313068</c:v>
                </c:pt>
                <c:pt idx="12">
                  <c:v>0.1358104331678856</c:v>
                </c:pt>
                <c:pt idx="13">
                  <c:v>-9.6488571454748442E-2</c:v>
                </c:pt>
                <c:pt idx="14">
                  <c:v>-0.47261527455885327</c:v>
                </c:pt>
                <c:pt idx="15">
                  <c:v>-0.3550254088635898</c:v>
                </c:pt>
                <c:pt idx="16">
                  <c:v>-0.17124447276023774</c:v>
                </c:pt>
                <c:pt idx="17">
                  <c:v>-0.13345361299172692</c:v>
                </c:pt>
                <c:pt idx="18">
                  <c:v>3.1785091446255688E-3</c:v>
                </c:pt>
                <c:pt idx="19">
                  <c:v>0.11502856948278546</c:v>
                </c:pt>
                <c:pt idx="20">
                  <c:v>0.12539974295639852</c:v>
                </c:pt>
                <c:pt idx="21">
                  <c:v>0.15077379395487975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9-4F1A-AE20-CAAA71E284A2}"/>
            </c:ext>
          </c:extLst>
        </c:ser>
        <c:ser>
          <c:idx val="3"/>
          <c:order val="1"/>
          <c:tx>
            <c:strRef>
              <c:f>'G42'!$E$1</c:f>
              <c:strCache>
                <c:ptCount val="1"/>
                <c:pt idx="0">
                  <c:v>produkčná medzera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'G42'!$A$2:$A$23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'G42'!$E$2:$E$23</c:f>
              <c:numCache>
                <c:formatCode>#,##0.00</c:formatCode>
                <c:ptCount val="22"/>
                <c:pt idx="0">
                  <c:v>-0.58972294854933172</c:v>
                </c:pt>
                <c:pt idx="1">
                  <c:v>-1.3403964179323296</c:v>
                </c:pt>
                <c:pt idx="2">
                  <c:v>-1.0846795864358085</c:v>
                </c:pt>
                <c:pt idx="3">
                  <c:v>-0.99348297286372045</c:v>
                </c:pt>
                <c:pt idx="4">
                  <c:v>-0.74983636488363381</c:v>
                </c:pt>
                <c:pt idx="5">
                  <c:v>-1.0358869562702955</c:v>
                </c:pt>
                <c:pt idx="6">
                  <c:v>-0.68234073004500206</c:v>
                </c:pt>
                <c:pt idx="7">
                  <c:v>0.67943427249180699</c:v>
                </c:pt>
                <c:pt idx="8">
                  <c:v>3.4052381703396617</c:v>
                </c:pt>
                <c:pt idx="9">
                  <c:v>3.6349073452110212</c:v>
                </c:pt>
                <c:pt idx="10">
                  <c:v>-3.1077113835223376</c:v>
                </c:pt>
                <c:pt idx="11">
                  <c:v>-0.93882694959056023</c:v>
                </c:pt>
                <c:pt idx="12">
                  <c:v>-0.56513608600844512</c:v>
                </c:pt>
                <c:pt idx="13">
                  <c:v>-1.027275097787437</c:v>
                </c:pt>
                <c:pt idx="14">
                  <c:v>-1.571795011257995</c:v>
                </c:pt>
                <c:pt idx="15">
                  <c:v>-1.0101222626670623</c:v>
                </c:pt>
                <c:pt idx="16">
                  <c:v>-0.20198844470225594</c:v>
                </c:pt>
                <c:pt idx="17">
                  <c:v>0.15202482434424647</c:v>
                </c:pt>
                <c:pt idx="18">
                  <c:v>0.52175554039024741</c:v>
                </c:pt>
                <c:pt idx="19">
                  <c:v>0.83201056236194548</c:v>
                </c:pt>
                <c:pt idx="20">
                  <c:v>1.0095020270174031</c:v>
                </c:pt>
                <c:pt idx="21">
                  <c:v>0.60126887606129442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9-4F1A-AE20-CAAA71E28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2"/>
        <c:axId val="326226184"/>
        <c:axId val="326226576"/>
      </c:barChart>
      <c:catAx>
        <c:axId val="32622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6226576"/>
        <c:crosses val="autoZero"/>
        <c:auto val="1"/>
        <c:lblAlgn val="ctr"/>
        <c:lblOffset val="100"/>
        <c:noMultiLvlLbl val="0"/>
      </c:catAx>
      <c:valAx>
        <c:axId val="326226576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622618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548514876143418"/>
          <c:y val="2.0908179052204667E-2"/>
          <c:w val="0.31451485123856576"/>
          <c:h val="0.131586040404672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12579316990143E-2"/>
          <c:y val="4.5267489711934158E-2"/>
          <c:w val="0.91503540941180594"/>
          <c:h val="0.76768024367324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'G43'!$C$2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'G43'!$C$3:$C$24</c:f>
              <c:numCache>
                <c:formatCode>General</c:formatCode>
                <c:ptCount val="22"/>
                <c:pt idx="0">
                  <c:v>-1.6753530770205943E-2</c:v>
                </c:pt>
                <c:pt idx="1">
                  <c:v>-8.0841963821059154E-2</c:v>
                </c:pt>
                <c:pt idx="2">
                  <c:v>-3.7831456542024078E-2</c:v>
                </c:pt>
                <c:pt idx="3">
                  <c:v>-5.0028814056427125E-2</c:v>
                </c:pt>
                <c:pt idx="4">
                  <c:v>-2.9689291362615222E-2</c:v>
                </c:pt>
                <c:pt idx="5">
                  <c:v>1.3741600142612857E-2</c:v>
                </c:pt>
                <c:pt idx="6">
                  <c:v>-1.8267612627492644E-2</c:v>
                </c:pt>
                <c:pt idx="7">
                  <c:v>4.2273548664762559E-2</c:v>
                </c:pt>
                <c:pt idx="8">
                  <c:v>0.11165924747128385</c:v>
                </c:pt>
                <c:pt idx="9">
                  <c:v>0.1396664371828229</c:v>
                </c:pt>
                <c:pt idx="10">
                  <c:v>-0.11375518551665628</c:v>
                </c:pt>
                <c:pt idx="11">
                  <c:v>-1.7963169375015374E-2</c:v>
                </c:pt>
                <c:pt idx="12">
                  <c:v>-2.1962383523607121E-2</c:v>
                </c:pt>
                <c:pt idx="13">
                  <c:v>-2.1657948705703436E-2</c:v>
                </c:pt>
                <c:pt idx="14">
                  <c:v>-2.1960839856489989E-2</c:v>
                </c:pt>
                <c:pt idx="15">
                  <c:v>-1.8931502556404512E-2</c:v>
                </c:pt>
                <c:pt idx="16">
                  <c:v>-2.2100353316702716E-2</c:v>
                </c:pt>
                <c:pt idx="17">
                  <c:v>-2.0932980950212007E-2</c:v>
                </c:pt>
                <c:pt idx="18">
                  <c:v>-7.3640620358422166E-3</c:v>
                </c:pt>
                <c:pt idx="19">
                  <c:v>5.1428649588218115E-3</c:v>
                </c:pt>
                <c:pt idx="20">
                  <c:v>2.3955824880270954E-2</c:v>
                </c:pt>
                <c:pt idx="21">
                  <c:v>8.986986485008076E-3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A-4EA0-9148-292DD113AF43}"/>
            </c:ext>
          </c:extLst>
        </c:ser>
        <c:ser>
          <c:idx val="1"/>
          <c:order val="1"/>
          <c:tx>
            <c:strRef>
              <c:f>'G43'!$D$2</c:f>
              <c:strCache>
                <c:ptCount val="1"/>
                <c:pt idx="0">
                  <c:v>DPFO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'G43'!$D$3:$D$24</c:f>
              <c:numCache>
                <c:formatCode>General</c:formatCode>
                <c:ptCount val="22"/>
                <c:pt idx="0">
                  <c:v>-2.2439033776690247E-2</c:v>
                </c:pt>
                <c:pt idx="1">
                  <c:v>5.3162452904242499E-2</c:v>
                </c:pt>
                <c:pt idx="2">
                  <c:v>-1.2710296650118712E-2</c:v>
                </c:pt>
                <c:pt idx="3">
                  <c:v>2.1634297234237217E-2</c:v>
                </c:pt>
                <c:pt idx="4">
                  <c:v>-4.3023839510890789E-3</c:v>
                </c:pt>
                <c:pt idx="5">
                  <c:v>-9.4771912021660604E-2</c:v>
                </c:pt>
                <c:pt idx="6">
                  <c:v>-1.901148621108999E-2</c:v>
                </c:pt>
                <c:pt idx="7">
                  <c:v>-1.894058135735345E-2</c:v>
                </c:pt>
                <c:pt idx="8">
                  <c:v>7.4078436608128698E-2</c:v>
                </c:pt>
                <c:pt idx="9">
                  <c:v>4.9039577275303996E-2</c:v>
                </c:pt>
                <c:pt idx="10">
                  <c:v>-2.9934607213397055E-2</c:v>
                </c:pt>
                <c:pt idx="11">
                  <c:v>-2.833774289560111E-2</c:v>
                </c:pt>
                <c:pt idx="12">
                  <c:v>-1.1385421922442576E-3</c:v>
                </c:pt>
                <c:pt idx="13">
                  <c:v>-3.4556915729742441E-2</c:v>
                </c:pt>
                <c:pt idx="14">
                  <c:v>-7.4250567708691192E-2</c:v>
                </c:pt>
                <c:pt idx="15">
                  <c:v>-4.0806629775429135E-2</c:v>
                </c:pt>
                <c:pt idx="16">
                  <c:v>1.6294957337104801E-2</c:v>
                </c:pt>
                <c:pt idx="17">
                  <c:v>3.8030141516815004E-2</c:v>
                </c:pt>
                <c:pt idx="18">
                  <c:v>4.558362432863082E-2</c:v>
                </c:pt>
                <c:pt idx="19">
                  <c:v>5.0903146783637818E-2</c:v>
                </c:pt>
                <c:pt idx="20">
                  <c:v>3.8761142739851005E-2</c:v>
                </c:pt>
                <c:pt idx="21">
                  <c:v>3.1073188254823178E-2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A-4EA0-9148-292DD113AF43}"/>
            </c:ext>
          </c:extLst>
        </c:ser>
        <c:ser>
          <c:idx val="2"/>
          <c:order val="2"/>
          <c:tx>
            <c:strRef>
              <c:f>'G43'!$E$2</c:f>
              <c:strCache>
                <c:ptCount val="1"/>
                <c:pt idx="0">
                  <c:v>Odvody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'G43'!$E$3:$E$24</c:f>
              <c:numCache>
                <c:formatCode>General</c:formatCode>
                <c:ptCount val="22"/>
                <c:pt idx="0">
                  <c:v>-7.6195477344754695E-2</c:v>
                </c:pt>
                <c:pt idx="1">
                  <c:v>0.1721955685156463</c:v>
                </c:pt>
                <c:pt idx="2">
                  <c:v>-5.9215265312082967E-2</c:v>
                </c:pt>
                <c:pt idx="3">
                  <c:v>7.3192795482831696E-2</c:v>
                </c:pt>
                <c:pt idx="4">
                  <c:v>-2.5085739263442992E-2</c:v>
                </c:pt>
                <c:pt idx="5">
                  <c:v>-0.38677079003437748</c:v>
                </c:pt>
                <c:pt idx="6">
                  <c:v>-7.554164019036666E-2</c:v>
                </c:pt>
                <c:pt idx="7">
                  <c:v>-6.1304565086755941E-2</c:v>
                </c:pt>
                <c:pt idx="8">
                  <c:v>0.27138569402013413</c:v>
                </c:pt>
                <c:pt idx="9">
                  <c:v>0.20044631253362596</c:v>
                </c:pt>
                <c:pt idx="10">
                  <c:v>-0.11203027366916453</c:v>
                </c:pt>
                <c:pt idx="11">
                  <c:v>-0.12782469407320296</c:v>
                </c:pt>
                <c:pt idx="12">
                  <c:v>-3.5755901357571703E-3</c:v>
                </c:pt>
                <c:pt idx="13">
                  <c:v>-0.13252132694081925</c:v>
                </c:pt>
                <c:pt idx="14">
                  <c:v>-0.32082153622881426</c:v>
                </c:pt>
                <c:pt idx="15">
                  <c:v>-0.17253438912013289</c:v>
                </c:pt>
                <c:pt idx="16">
                  <c:v>5.8033117379691024E-2</c:v>
                </c:pt>
                <c:pt idx="17">
                  <c:v>0.15483306461199076</c:v>
                </c:pt>
                <c:pt idx="18">
                  <c:v>0.19675636977562039</c:v>
                </c:pt>
                <c:pt idx="19">
                  <c:v>0.21708595660867466</c:v>
                </c:pt>
                <c:pt idx="20">
                  <c:v>0.16273573603613425</c:v>
                </c:pt>
                <c:pt idx="21">
                  <c:v>0.12809025713552846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A-4EA0-9148-292DD113AF43}"/>
            </c:ext>
          </c:extLst>
        </c:ser>
        <c:ser>
          <c:idx val="3"/>
          <c:order val="3"/>
          <c:tx>
            <c:strRef>
              <c:f>'G43'!$F$2</c:f>
              <c:strCache>
                <c:ptCount val="1"/>
                <c:pt idx="0">
                  <c:v>Nepriame dane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'G43'!$F$3:$F$24</c:f>
              <c:numCache>
                <c:formatCode>General</c:formatCode>
                <c:ptCount val="22"/>
                <c:pt idx="0">
                  <c:v>-0.12948691738941276</c:v>
                </c:pt>
                <c:pt idx="1">
                  <c:v>-0.36121715190159653</c:v>
                </c:pt>
                <c:pt idx="2">
                  <c:v>-0.22245905854054088</c:v>
                </c:pt>
                <c:pt idx="3">
                  <c:v>-0.17748219787289787</c:v>
                </c:pt>
                <c:pt idx="4">
                  <c:v>-0.22060676417646166</c:v>
                </c:pt>
                <c:pt idx="5">
                  <c:v>-0.10154320170047046</c:v>
                </c:pt>
                <c:pt idx="6">
                  <c:v>-2.9339113949053978E-2</c:v>
                </c:pt>
                <c:pt idx="7">
                  <c:v>0.18597615722922689</c:v>
                </c:pt>
                <c:pt idx="8">
                  <c:v>0.51007720907306742</c:v>
                </c:pt>
                <c:pt idx="9">
                  <c:v>0.72706481253584021</c:v>
                </c:pt>
                <c:pt idx="10">
                  <c:v>0.4421144132761432</c:v>
                </c:pt>
                <c:pt idx="11">
                  <c:v>0.2402734093027028</c:v>
                </c:pt>
                <c:pt idx="12">
                  <c:v>0.15582500423204215</c:v>
                </c:pt>
                <c:pt idx="13">
                  <c:v>8.9725756564117659E-2</c:v>
                </c:pt>
                <c:pt idx="14">
                  <c:v>-8.9474049568719474E-2</c:v>
                </c:pt>
                <c:pt idx="15">
                  <c:v>-0.17354674412550067</c:v>
                </c:pt>
                <c:pt idx="16">
                  <c:v>-0.2228247197852386</c:v>
                </c:pt>
                <c:pt idx="17">
                  <c:v>-0.23764650252562042</c:v>
                </c:pt>
                <c:pt idx="18">
                  <c:v>-0.17408291354555608</c:v>
                </c:pt>
                <c:pt idx="19">
                  <c:v>-0.1205462001223888</c:v>
                </c:pt>
                <c:pt idx="20">
                  <c:v>-5.5875174506192539E-2</c:v>
                </c:pt>
                <c:pt idx="21">
                  <c:v>1.8506182006840018E-2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A-4EA0-9148-292DD113AF43}"/>
            </c:ext>
          </c:extLst>
        </c:ser>
        <c:ser>
          <c:idx val="4"/>
          <c:order val="4"/>
          <c:tx>
            <c:strRef>
              <c:f>'G43'!$G$2</c:f>
              <c:strCache>
                <c:ptCount val="1"/>
                <c:pt idx="0">
                  <c:v>Dávky v nezamestnanosti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'G43'!$G$3:$G$24</c:f>
              <c:numCache>
                <c:formatCode>General</c:formatCode>
                <c:ptCount val="22"/>
                <c:pt idx="0">
                  <c:v>2.3476338450447939E-2</c:v>
                </c:pt>
                <c:pt idx="1">
                  <c:v>4.6204696395017793E-2</c:v>
                </c:pt>
                <c:pt idx="2">
                  <c:v>1.7435612502823886E-2</c:v>
                </c:pt>
                <c:pt idx="3">
                  <c:v>1.7362308940305979E-2</c:v>
                </c:pt>
                <c:pt idx="4">
                  <c:v>6.6475462404889593E-3</c:v>
                </c:pt>
                <c:pt idx="5">
                  <c:v>1.5141354082422393E-2</c:v>
                </c:pt>
                <c:pt idx="6">
                  <c:v>2.2659843300001092E-3</c:v>
                </c:pt>
                <c:pt idx="7">
                  <c:v>-2.9491691193417545E-3</c:v>
                </c:pt>
                <c:pt idx="8">
                  <c:v>-7.4262052929469548E-3</c:v>
                </c:pt>
                <c:pt idx="9">
                  <c:v>-1.8371267765707428E-2</c:v>
                </c:pt>
                <c:pt idx="10">
                  <c:v>-1.4038998638323658E-2</c:v>
                </c:pt>
                <c:pt idx="11">
                  <c:v>1.2892364645571022E-2</c:v>
                </c:pt>
                <c:pt idx="12">
                  <c:v>-8.3101706309209749E-4</c:v>
                </c:pt>
                <c:pt idx="13">
                  <c:v>2.6721319883999243E-3</c:v>
                </c:pt>
                <c:pt idx="14">
                  <c:v>1.9689854449343295E-2</c:v>
                </c:pt>
                <c:pt idx="15">
                  <c:v>1.6789405520972182E-2</c:v>
                </c:pt>
                <c:pt idx="16">
                  <c:v>1.0014078139393033E-2</c:v>
                </c:pt>
                <c:pt idx="17">
                  <c:v>-6.8004465392029008E-4</c:v>
                </c:pt>
                <c:pt idx="18">
                  <c:v>-1.1263924576416319E-2</c:v>
                </c:pt>
                <c:pt idx="19">
                  <c:v>-1.2118717626745566E-2</c:v>
                </c:pt>
                <c:pt idx="20">
                  <c:v>-8.3061007227390425E-3</c:v>
                </c:pt>
                <c:pt idx="21">
                  <c:v>-5.4934750869304839E-3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9A-4EA0-9148-292DD113AF43}"/>
            </c:ext>
          </c:extLst>
        </c:ser>
        <c:ser>
          <c:idx val="5"/>
          <c:order val="5"/>
          <c:tx>
            <c:strRef>
              <c:f>'G43'!$H$2</c:f>
              <c:strCache>
                <c:ptCount val="1"/>
                <c:pt idx="0">
                  <c:v>Dôchodky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'G43'!$H$3:$H$24</c:f>
              <c:numCache>
                <c:formatCode>General</c:formatCode>
                <c:ptCount val="22"/>
                <c:pt idx="0">
                  <c:v>0</c:v>
                </c:pt>
                <c:pt idx="1">
                  <c:v>8.5431187961720477E-4</c:v>
                </c:pt>
                <c:pt idx="2">
                  <c:v>0.14624800322981474</c:v>
                </c:pt>
                <c:pt idx="3">
                  <c:v>2.70123818779004E-2</c:v>
                </c:pt>
                <c:pt idx="4">
                  <c:v>7.3608539396605444E-2</c:v>
                </c:pt>
                <c:pt idx="5">
                  <c:v>2.0775952892361338E-2</c:v>
                </c:pt>
                <c:pt idx="6">
                  <c:v>-8.9836574689338894E-2</c:v>
                </c:pt>
                <c:pt idx="7">
                  <c:v>-1.5686367199390865E-2</c:v>
                </c:pt>
                <c:pt idx="8">
                  <c:v>-4.9011796320069259E-2</c:v>
                </c:pt>
                <c:pt idx="9">
                  <c:v>5.4192032467777436E-2</c:v>
                </c:pt>
                <c:pt idx="10">
                  <c:v>-7.5414665647689186E-2</c:v>
                </c:pt>
                <c:pt idx="11">
                  <c:v>-0.10145627581799448</c:v>
                </c:pt>
                <c:pt idx="12">
                  <c:v>-5.8309277243598964E-3</c:v>
                </c:pt>
                <c:pt idx="13">
                  <c:v>-5.1939953457989414E-3</c:v>
                </c:pt>
                <c:pt idx="14">
                  <c:v>-5.358157325320493E-2</c:v>
                </c:pt>
                <c:pt idx="15">
                  <c:v>-6.7583262234849589E-2</c:v>
                </c:pt>
                <c:pt idx="16">
                  <c:v>-9.366603764300761E-3</c:v>
                </c:pt>
                <c:pt idx="17">
                  <c:v>6.8417380298620489E-2</c:v>
                </c:pt>
                <c:pt idx="18">
                  <c:v>6.8978433954643661E-2</c:v>
                </c:pt>
                <c:pt idx="19">
                  <c:v>4.9675916372705596E-2</c:v>
                </c:pt>
                <c:pt idx="20">
                  <c:v>5.2483886916404189E-2</c:v>
                </c:pt>
                <c:pt idx="21">
                  <c:v>4.1376295014250462E-2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9A-4EA0-9148-292DD113A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326228536"/>
        <c:axId val="326228928"/>
      </c:barChart>
      <c:lineChart>
        <c:grouping val="stacked"/>
        <c:varyColors val="0"/>
        <c:ser>
          <c:idx val="6"/>
          <c:order val="6"/>
          <c:tx>
            <c:strRef>
              <c:f>'G43'!$B$2</c:f>
              <c:strCache>
                <c:ptCount val="1"/>
                <c:pt idx="0">
                  <c:v>cyklická zložka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rgbClr val="58595B"/>
                </a:solidFill>
              </a:ln>
              <a:effectLst/>
            </c:spPr>
          </c:marker>
          <c:cat>
            <c:numRef>
              <c:f>'G43'!$A$3:$A$24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'G43'!$B$3:$B$24</c:f>
              <c:numCache>
                <c:formatCode>#,##0.00</c:formatCode>
                <c:ptCount val="22"/>
                <c:pt idx="0">
                  <c:v>-0.26835129773151156</c:v>
                </c:pt>
                <c:pt idx="1">
                  <c:v>-0.26376010257740184</c:v>
                </c:pt>
                <c:pt idx="2">
                  <c:v>-0.49589969277740531</c:v>
                </c:pt>
                <c:pt idx="3">
                  <c:v>-0.17705861003046247</c:v>
                </c:pt>
                <c:pt idx="4">
                  <c:v>-0.35994026439070331</c:v>
                </c:pt>
                <c:pt idx="5">
                  <c:v>-0.60526161058867933</c:v>
                </c:pt>
                <c:pt idx="6">
                  <c:v>-5.4589262618664459E-2</c:v>
                </c:pt>
                <c:pt idx="7">
                  <c:v>0.16664009576861266</c:v>
                </c:pt>
                <c:pt idx="8">
                  <c:v>1.0236385887856303</c:v>
                </c:pt>
                <c:pt idx="9">
                  <c:v>1.080396374825523</c:v>
                </c:pt>
                <c:pt idx="10">
                  <c:v>0.27584801116293822</c:v>
                </c:pt>
                <c:pt idx="11">
                  <c:v>0.1547117141313068</c:v>
                </c:pt>
                <c:pt idx="12">
                  <c:v>0.1358104331678856</c:v>
                </c:pt>
                <c:pt idx="13">
                  <c:v>-9.6488571454748442E-2</c:v>
                </c:pt>
                <c:pt idx="14">
                  <c:v>-0.47261527455885327</c:v>
                </c:pt>
                <c:pt idx="15">
                  <c:v>-0.3550254088635898</c:v>
                </c:pt>
                <c:pt idx="16">
                  <c:v>-0.17124447276023774</c:v>
                </c:pt>
                <c:pt idx="17">
                  <c:v>-0.13345361299172692</c:v>
                </c:pt>
                <c:pt idx="18">
                  <c:v>3.1785091446255688E-3</c:v>
                </c:pt>
                <c:pt idx="19">
                  <c:v>0.11502856948278546</c:v>
                </c:pt>
                <c:pt idx="20">
                  <c:v>0.12539974295639852</c:v>
                </c:pt>
                <c:pt idx="21">
                  <c:v>0.15077379395487975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9A-4EA0-9148-292DD113A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228536"/>
        <c:axId val="326228928"/>
      </c:lineChart>
      <c:catAx>
        <c:axId val="32622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6228928"/>
        <c:crosses val="autoZero"/>
        <c:auto val="1"/>
        <c:lblAlgn val="ctr"/>
        <c:lblOffset val="100"/>
        <c:noMultiLvlLbl val="0"/>
      </c:catAx>
      <c:valAx>
        <c:axId val="32622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26228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5339792958473"/>
          <c:y val="1.6484231778719969E-2"/>
          <c:w val="0.38157021566837629"/>
          <c:h val="0.292183014160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2516754438739"/>
          <c:y val="2.7549877943578729E-2"/>
          <c:w val="0.91582004713396892"/>
          <c:h val="0.83730646209416748"/>
        </c:manualLayout>
      </c:layout>
      <c:lineChart>
        <c:grouping val="standard"/>
        <c:varyColors val="0"/>
        <c:ser>
          <c:idx val="0"/>
          <c:order val="0"/>
          <c:tx>
            <c:v>stav objednavok (stav)</c:v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'G44-G49'!$B$3:$B$82</c:f>
              <c:numCache>
                <c:formatCode>0.00</c:formatCode>
                <c:ptCount val="80"/>
                <c:pt idx="0">
                  <c:v>-19</c:v>
                </c:pt>
                <c:pt idx="1">
                  <c:v>-17.666666666666668</c:v>
                </c:pt>
                <c:pt idx="2">
                  <c:v>-7.333333333333333</c:v>
                </c:pt>
                <c:pt idx="3">
                  <c:v>-15.333333333333334</c:v>
                </c:pt>
                <c:pt idx="4">
                  <c:v>-28</c:v>
                </c:pt>
                <c:pt idx="5">
                  <c:v>-20.666666666666668</c:v>
                </c:pt>
                <c:pt idx="6">
                  <c:v>-16.333333333333332</c:v>
                </c:pt>
                <c:pt idx="7">
                  <c:v>-40</c:v>
                </c:pt>
                <c:pt idx="8">
                  <c:v>-66.333333333333329</c:v>
                </c:pt>
                <c:pt idx="9">
                  <c:v>-83</c:v>
                </c:pt>
                <c:pt idx="10">
                  <c:v>-87</c:v>
                </c:pt>
                <c:pt idx="11">
                  <c:v>-76.333333333333329</c:v>
                </c:pt>
                <c:pt idx="12">
                  <c:v>-66.666666666666671</c:v>
                </c:pt>
                <c:pt idx="13">
                  <c:v>-67.666666666666671</c:v>
                </c:pt>
                <c:pt idx="14">
                  <c:v>-61</c:v>
                </c:pt>
                <c:pt idx="15">
                  <c:v>-57.333333333333336</c:v>
                </c:pt>
                <c:pt idx="16">
                  <c:v>-46.666666666666664</c:v>
                </c:pt>
                <c:pt idx="17">
                  <c:v>-49.333333333333336</c:v>
                </c:pt>
                <c:pt idx="18">
                  <c:v>-52.666666666666664</c:v>
                </c:pt>
                <c:pt idx="19">
                  <c:v>-51.666666666666664</c:v>
                </c:pt>
                <c:pt idx="20">
                  <c:v>-44</c:v>
                </c:pt>
                <c:pt idx="21">
                  <c:v>-32.333333333333336</c:v>
                </c:pt>
                <c:pt idx="22">
                  <c:v>-27.666666666666668</c:v>
                </c:pt>
                <c:pt idx="23">
                  <c:v>-32.666666666666664</c:v>
                </c:pt>
                <c:pt idx="24">
                  <c:v>-38</c:v>
                </c:pt>
                <c:pt idx="25">
                  <c:v>-38.666666666666664</c:v>
                </c:pt>
                <c:pt idx="26">
                  <c:v>-41</c:v>
                </c:pt>
                <c:pt idx="27">
                  <c:v>-36.333333333333336</c:v>
                </c:pt>
                <c:pt idx="28">
                  <c:v>-43.666666666666664</c:v>
                </c:pt>
                <c:pt idx="29">
                  <c:v>-44.333333333333336</c:v>
                </c:pt>
                <c:pt idx="30">
                  <c:v>-34.333333333333336</c:v>
                </c:pt>
                <c:pt idx="31">
                  <c:v>-31</c:v>
                </c:pt>
                <c:pt idx="32">
                  <c:v>-26.333333333333332</c:v>
                </c:pt>
                <c:pt idx="33">
                  <c:v>-23.333333333333332</c:v>
                </c:pt>
                <c:pt idx="34">
                  <c:v>-27.333333333333332</c:v>
                </c:pt>
                <c:pt idx="35">
                  <c:v>-20.666666666666668</c:v>
                </c:pt>
                <c:pt idx="36">
                  <c:v>-21</c:v>
                </c:pt>
                <c:pt idx="37">
                  <c:v>-15.666666666666666</c:v>
                </c:pt>
                <c:pt idx="38">
                  <c:v>-12</c:v>
                </c:pt>
                <c:pt idx="39">
                  <c:v>-16.333333333333332</c:v>
                </c:pt>
                <c:pt idx="40">
                  <c:v>-18</c:v>
                </c:pt>
                <c:pt idx="41">
                  <c:v>-22.666666666666668</c:v>
                </c:pt>
                <c:pt idx="42">
                  <c:v>-19.666666666666668</c:v>
                </c:pt>
                <c:pt idx="43">
                  <c:v>-23</c:v>
                </c:pt>
                <c:pt idx="44">
                  <c:v>-23.333333333333332</c:v>
                </c:pt>
                <c:pt idx="45">
                  <c:v>-21</c:v>
                </c:pt>
                <c:pt idx="46">
                  <c:v>-21.666666666666668</c:v>
                </c:pt>
                <c:pt idx="47">
                  <c:v>-30</c:v>
                </c:pt>
                <c:pt idx="48">
                  <c:v>-33.333333333333336</c:v>
                </c:pt>
                <c:pt idx="49">
                  <c:v>-58</c:v>
                </c:pt>
                <c:pt idx="50">
                  <c:v>-66</c:v>
                </c:pt>
                <c:pt idx="51">
                  <c:v>-66</c:v>
                </c:pt>
                <c:pt idx="52">
                  <c:v>-61</c:v>
                </c:pt>
                <c:pt idx="53">
                  <c:v>-55.666666666666664</c:v>
                </c:pt>
                <c:pt idx="54">
                  <c:v>-54.333333333333336</c:v>
                </c:pt>
                <c:pt idx="55">
                  <c:v>-52.333333333333336</c:v>
                </c:pt>
                <c:pt idx="56">
                  <c:v>-50.666666666666664</c:v>
                </c:pt>
                <c:pt idx="57">
                  <c:v>-53.666666666666664</c:v>
                </c:pt>
                <c:pt idx="58">
                  <c:v>-59.333333333333336</c:v>
                </c:pt>
                <c:pt idx="59">
                  <c:v>-53</c:v>
                </c:pt>
                <c:pt idx="60">
                  <c:v>-60.333333333333336</c:v>
                </c:pt>
                <c:pt idx="61">
                  <c:v>-48.333333333333336</c:v>
                </c:pt>
                <c:pt idx="62">
                  <c:v>-58.333333333333336</c:v>
                </c:pt>
                <c:pt idx="63">
                  <c:v>-76.666666666666671</c:v>
                </c:pt>
                <c:pt idx="64">
                  <c:v>-70.666666666666671</c:v>
                </c:pt>
                <c:pt idx="65">
                  <c:v>-69.666666666666671</c:v>
                </c:pt>
                <c:pt idx="66">
                  <c:v>-65</c:v>
                </c:pt>
                <c:pt idx="67">
                  <c:v>-58.333333333333336</c:v>
                </c:pt>
                <c:pt idx="68">
                  <c:v>-48.666666666666664</c:v>
                </c:pt>
                <c:pt idx="69">
                  <c:v>-58.333333333333336</c:v>
                </c:pt>
                <c:pt idx="70">
                  <c:v>-50.333333333333336</c:v>
                </c:pt>
                <c:pt idx="71">
                  <c:v>-31.666666666666668</c:v>
                </c:pt>
                <c:pt idx="72">
                  <c:v>-28.333333333333332</c:v>
                </c:pt>
                <c:pt idx="73">
                  <c:v>-16</c:v>
                </c:pt>
                <c:pt idx="74">
                  <c:v>-11</c:v>
                </c:pt>
                <c:pt idx="75">
                  <c:v>-10.333333333333334</c:v>
                </c:pt>
                <c:pt idx="76">
                  <c:v>-24.333333333333332</c:v>
                </c:pt>
                <c:pt idx="77">
                  <c:v>-24</c:v>
                </c:pt>
                <c:pt idx="78">
                  <c:v>-20.666666666666668</c:v>
                </c:pt>
                <c:pt idx="79">
                  <c:v>-24.666666666666668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B-4919-9788-7611D525B986}"/>
            </c:ext>
          </c:extLst>
        </c:ser>
        <c:ser>
          <c:idx val="1"/>
          <c:order val="1"/>
          <c:tx>
            <c:v>nedostatok zamestnancov (stav)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'G44-G49'!$C$3:$C$82</c:f>
              <c:numCache>
                <c:formatCode>0.00</c:formatCode>
                <c:ptCount val="80"/>
                <c:pt idx="0">
                  <c:v>8</c:v>
                </c:pt>
                <c:pt idx="1">
                  <c:v>5.666666666666667</c:v>
                </c:pt>
                <c:pt idx="2">
                  <c:v>5</c:v>
                </c:pt>
                <c:pt idx="3">
                  <c:v>4.666666666666667</c:v>
                </c:pt>
                <c:pt idx="4">
                  <c:v>4.333333333333333</c:v>
                </c:pt>
                <c:pt idx="5">
                  <c:v>4.666666666666667</c:v>
                </c:pt>
                <c:pt idx="6">
                  <c:v>5.666666666666667</c:v>
                </c:pt>
                <c:pt idx="7">
                  <c:v>3.3333333333333335</c:v>
                </c:pt>
                <c:pt idx="8">
                  <c:v>2.6666666666666665</c:v>
                </c:pt>
                <c:pt idx="9">
                  <c:v>2</c:v>
                </c:pt>
                <c:pt idx="10">
                  <c:v>2</c:v>
                </c:pt>
                <c:pt idx="11">
                  <c:v>1.3333333333333333</c:v>
                </c:pt>
                <c:pt idx="12">
                  <c:v>1.3333333333333333</c:v>
                </c:pt>
                <c:pt idx="13">
                  <c:v>1.3333333333333333</c:v>
                </c:pt>
                <c:pt idx="14">
                  <c:v>1.6666666666666667</c:v>
                </c:pt>
                <c:pt idx="15">
                  <c:v>2</c:v>
                </c:pt>
                <c:pt idx="16">
                  <c:v>1.3333333333333333</c:v>
                </c:pt>
                <c:pt idx="17">
                  <c:v>1.6666666666666667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4.666666666666667</c:v>
                </c:pt>
                <c:pt idx="23">
                  <c:v>4</c:v>
                </c:pt>
                <c:pt idx="24">
                  <c:v>2.6666666666666665</c:v>
                </c:pt>
                <c:pt idx="25">
                  <c:v>3.6666666666666665</c:v>
                </c:pt>
                <c:pt idx="26">
                  <c:v>7</c:v>
                </c:pt>
                <c:pt idx="27">
                  <c:v>6.666666666666667</c:v>
                </c:pt>
                <c:pt idx="28">
                  <c:v>2.6666666666666665</c:v>
                </c:pt>
                <c:pt idx="29">
                  <c:v>3</c:v>
                </c:pt>
                <c:pt idx="30">
                  <c:v>5.333333333333333</c:v>
                </c:pt>
                <c:pt idx="31">
                  <c:v>6</c:v>
                </c:pt>
                <c:pt idx="32">
                  <c:v>2</c:v>
                </c:pt>
                <c:pt idx="33">
                  <c:v>5.333333333333333</c:v>
                </c:pt>
                <c:pt idx="34">
                  <c:v>12</c:v>
                </c:pt>
                <c:pt idx="35">
                  <c:v>12</c:v>
                </c:pt>
                <c:pt idx="36">
                  <c:v>4.333333333333333</c:v>
                </c:pt>
                <c:pt idx="37">
                  <c:v>15.666666666666666</c:v>
                </c:pt>
                <c:pt idx="38">
                  <c:v>27</c:v>
                </c:pt>
                <c:pt idx="39">
                  <c:v>29.333333333333332</c:v>
                </c:pt>
                <c:pt idx="40">
                  <c:v>21</c:v>
                </c:pt>
                <c:pt idx="41">
                  <c:v>26.333333333333332</c:v>
                </c:pt>
                <c:pt idx="42">
                  <c:v>32.333333333333336</c:v>
                </c:pt>
                <c:pt idx="43">
                  <c:v>36.666666666666664</c:v>
                </c:pt>
                <c:pt idx="44">
                  <c:v>29.333333333333332</c:v>
                </c:pt>
                <c:pt idx="45">
                  <c:v>36.666666666666664</c:v>
                </c:pt>
                <c:pt idx="46">
                  <c:v>38.333333333333336</c:v>
                </c:pt>
                <c:pt idx="47">
                  <c:v>33</c:v>
                </c:pt>
                <c:pt idx="48">
                  <c:v>7</c:v>
                </c:pt>
                <c:pt idx="49">
                  <c:v>3.6666666666666665</c:v>
                </c:pt>
                <c:pt idx="50">
                  <c:v>4.666666666666667</c:v>
                </c:pt>
                <c:pt idx="51">
                  <c:v>3</c:v>
                </c:pt>
                <c:pt idx="52">
                  <c:v>1</c:v>
                </c:pt>
                <c:pt idx="53">
                  <c:v>2.3333333333333335</c:v>
                </c:pt>
                <c:pt idx="54">
                  <c:v>3</c:v>
                </c:pt>
                <c:pt idx="55">
                  <c:v>2.3333333333333335</c:v>
                </c:pt>
                <c:pt idx="56">
                  <c:v>1.3333333333333333</c:v>
                </c:pt>
                <c:pt idx="57">
                  <c:v>1.3333333333333333</c:v>
                </c:pt>
                <c:pt idx="58">
                  <c:v>2.3333333333333335</c:v>
                </c:pt>
                <c:pt idx="59">
                  <c:v>2</c:v>
                </c:pt>
                <c:pt idx="60">
                  <c:v>1.6666666666666667</c:v>
                </c:pt>
                <c:pt idx="61">
                  <c:v>2</c:v>
                </c:pt>
                <c:pt idx="62">
                  <c:v>2.6666666666666665</c:v>
                </c:pt>
                <c:pt idx="63">
                  <c:v>1.6666666666666667</c:v>
                </c:pt>
                <c:pt idx="64">
                  <c:v>1.6666666666666667</c:v>
                </c:pt>
                <c:pt idx="65">
                  <c:v>1</c:v>
                </c:pt>
                <c:pt idx="66">
                  <c:v>4</c:v>
                </c:pt>
                <c:pt idx="67">
                  <c:v>3.3333333333333335</c:v>
                </c:pt>
                <c:pt idx="68">
                  <c:v>2</c:v>
                </c:pt>
                <c:pt idx="69">
                  <c:v>2.6666666666666665</c:v>
                </c:pt>
                <c:pt idx="70">
                  <c:v>5.333333333333333</c:v>
                </c:pt>
                <c:pt idx="71">
                  <c:v>7.333333333333333</c:v>
                </c:pt>
                <c:pt idx="72">
                  <c:v>3</c:v>
                </c:pt>
                <c:pt idx="73">
                  <c:v>7</c:v>
                </c:pt>
                <c:pt idx="74">
                  <c:v>13</c:v>
                </c:pt>
                <c:pt idx="75">
                  <c:v>14</c:v>
                </c:pt>
                <c:pt idx="76">
                  <c:v>9.3333333333333339</c:v>
                </c:pt>
                <c:pt idx="77">
                  <c:v>11.666666666666666</c:v>
                </c:pt>
                <c:pt idx="78">
                  <c:v>16</c:v>
                </c:pt>
                <c:pt idx="7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B-4919-9788-7611D525B986}"/>
            </c:ext>
          </c:extLst>
        </c:ser>
        <c:ser>
          <c:idx val="2"/>
          <c:order val="2"/>
          <c:tx>
            <c:v>využitie kapacít (priem)</c:v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'G44-G49'!$D$3:$D$82</c:f>
              <c:numCache>
                <c:formatCode>0.00</c:formatCode>
                <c:ptCount val="80"/>
                <c:pt idx="0">
                  <c:v>82</c:v>
                </c:pt>
                <c:pt idx="1">
                  <c:v>82</c:v>
                </c:pt>
                <c:pt idx="2">
                  <c:v>83</c:v>
                </c:pt>
                <c:pt idx="3">
                  <c:v>82</c:v>
                </c:pt>
                <c:pt idx="4">
                  <c:v>83</c:v>
                </c:pt>
                <c:pt idx="5">
                  <c:v>84</c:v>
                </c:pt>
                <c:pt idx="6">
                  <c:v>86</c:v>
                </c:pt>
                <c:pt idx="7">
                  <c:v>84</c:v>
                </c:pt>
                <c:pt idx="8">
                  <c:v>81</c:v>
                </c:pt>
                <c:pt idx="9">
                  <c:v>82</c:v>
                </c:pt>
                <c:pt idx="10">
                  <c:v>83</c:v>
                </c:pt>
                <c:pt idx="11">
                  <c:v>81</c:v>
                </c:pt>
                <c:pt idx="12">
                  <c:v>84</c:v>
                </c:pt>
                <c:pt idx="13">
                  <c:v>85</c:v>
                </c:pt>
                <c:pt idx="14">
                  <c:v>86</c:v>
                </c:pt>
                <c:pt idx="15">
                  <c:v>86</c:v>
                </c:pt>
                <c:pt idx="16">
                  <c:v>86</c:v>
                </c:pt>
                <c:pt idx="17">
                  <c:v>87</c:v>
                </c:pt>
                <c:pt idx="18">
                  <c:v>82</c:v>
                </c:pt>
                <c:pt idx="19">
                  <c:v>81</c:v>
                </c:pt>
                <c:pt idx="20">
                  <c:v>78</c:v>
                </c:pt>
                <c:pt idx="21">
                  <c:v>80</c:v>
                </c:pt>
                <c:pt idx="22">
                  <c:v>80</c:v>
                </c:pt>
                <c:pt idx="23">
                  <c:v>79</c:v>
                </c:pt>
                <c:pt idx="24">
                  <c:v>81</c:v>
                </c:pt>
                <c:pt idx="25">
                  <c:v>82</c:v>
                </c:pt>
                <c:pt idx="26">
                  <c:v>82</c:v>
                </c:pt>
                <c:pt idx="27">
                  <c:v>86</c:v>
                </c:pt>
                <c:pt idx="28">
                  <c:v>84</c:v>
                </c:pt>
                <c:pt idx="29">
                  <c:v>81</c:v>
                </c:pt>
                <c:pt idx="30">
                  <c:v>83</c:v>
                </c:pt>
                <c:pt idx="31">
                  <c:v>86</c:v>
                </c:pt>
                <c:pt idx="32">
                  <c:v>81</c:v>
                </c:pt>
                <c:pt idx="33">
                  <c:v>84</c:v>
                </c:pt>
                <c:pt idx="34">
                  <c:v>84</c:v>
                </c:pt>
                <c:pt idx="35">
                  <c:v>85</c:v>
                </c:pt>
                <c:pt idx="36">
                  <c:v>83</c:v>
                </c:pt>
                <c:pt idx="37">
                  <c:v>84</c:v>
                </c:pt>
                <c:pt idx="38">
                  <c:v>87</c:v>
                </c:pt>
                <c:pt idx="39">
                  <c:v>86</c:v>
                </c:pt>
                <c:pt idx="40">
                  <c:v>88</c:v>
                </c:pt>
                <c:pt idx="41">
                  <c:v>87</c:v>
                </c:pt>
                <c:pt idx="42">
                  <c:v>85</c:v>
                </c:pt>
                <c:pt idx="43">
                  <c:v>88</c:v>
                </c:pt>
                <c:pt idx="44">
                  <c:v>85</c:v>
                </c:pt>
                <c:pt idx="45">
                  <c:v>86</c:v>
                </c:pt>
                <c:pt idx="46">
                  <c:v>84</c:v>
                </c:pt>
                <c:pt idx="47">
                  <c:v>82</c:v>
                </c:pt>
                <c:pt idx="48">
                  <c:v>71</c:v>
                </c:pt>
                <c:pt idx="49">
                  <c:v>69</c:v>
                </c:pt>
                <c:pt idx="50">
                  <c:v>68</c:v>
                </c:pt>
                <c:pt idx="51">
                  <c:v>74</c:v>
                </c:pt>
                <c:pt idx="52">
                  <c:v>74</c:v>
                </c:pt>
                <c:pt idx="53">
                  <c:v>73</c:v>
                </c:pt>
                <c:pt idx="54">
                  <c:v>75</c:v>
                </c:pt>
                <c:pt idx="55">
                  <c:v>84</c:v>
                </c:pt>
                <c:pt idx="56">
                  <c:v>81</c:v>
                </c:pt>
                <c:pt idx="57">
                  <c:v>77</c:v>
                </c:pt>
                <c:pt idx="58">
                  <c:v>76</c:v>
                </c:pt>
                <c:pt idx="59">
                  <c:v>80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75</c:v>
                </c:pt>
                <c:pt idx="65">
                  <c:v>80</c:v>
                </c:pt>
                <c:pt idx="66">
                  <c:v>73</c:v>
                </c:pt>
                <c:pt idx="67">
                  <c:v>80</c:v>
                </c:pt>
                <c:pt idx="68">
                  <c:v>79</c:v>
                </c:pt>
                <c:pt idx="69">
                  <c:v>79</c:v>
                </c:pt>
                <c:pt idx="70" formatCode="General">
                  <c:v>81</c:v>
                </c:pt>
                <c:pt idx="71" formatCode="General">
                  <c:v>83</c:v>
                </c:pt>
                <c:pt idx="72" formatCode="General">
                  <c:v>80</c:v>
                </c:pt>
                <c:pt idx="73" formatCode="General">
                  <c:v>79</c:v>
                </c:pt>
                <c:pt idx="74" formatCode="General">
                  <c:v>85</c:v>
                </c:pt>
                <c:pt idx="75" formatCode="General">
                  <c:v>86</c:v>
                </c:pt>
                <c:pt idx="76" formatCode="General">
                  <c:v>84</c:v>
                </c:pt>
                <c:pt idx="77" formatCode="General">
                  <c:v>82</c:v>
                </c:pt>
                <c:pt idx="78" formatCode="General">
                  <c:v>84</c:v>
                </c:pt>
                <c:pt idx="79" formatCode="General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B-4919-9788-7611D525B986}"/>
            </c:ext>
          </c:extLst>
        </c:ser>
        <c:ser>
          <c:idx val="3"/>
          <c:order val="3"/>
          <c:tx>
            <c:v>stav objednavok (priem)</c:v>
          </c:tx>
          <c:spPr>
            <a:ln w="285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'G44-G49'!$E$3:$E$82</c:f>
              <c:numCache>
                <c:formatCode>0.00</c:formatCode>
                <c:ptCount val="80"/>
                <c:pt idx="0">
                  <c:v>-19.666666666666668</c:v>
                </c:pt>
                <c:pt idx="1">
                  <c:v>-23</c:v>
                </c:pt>
                <c:pt idx="2">
                  <c:v>-7.666666666666667</c:v>
                </c:pt>
                <c:pt idx="3">
                  <c:v>-4.333333333333333</c:v>
                </c:pt>
                <c:pt idx="4">
                  <c:v>-9.6666666666666661</c:v>
                </c:pt>
                <c:pt idx="5">
                  <c:v>-10.333333333333334</c:v>
                </c:pt>
                <c:pt idx="6">
                  <c:v>-18.666666666666668</c:v>
                </c:pt>
                <c:pt idx="7">
                  <c:v>-19.666666666666668</c:v>
                </c:pt>
                <c:pt idx="8">
                  <c:v>-46.333333333333336</c:v>
                </c:pt>
                <c:pt idx="9">
                  <c:v>-27.666666666666668</c:v>
                </c:pt>
                <c:pt idx="10">
                  <c:v>-19.333333333333332</c:v>
                </c:pt>
                <c:pt idx="11">
                  <c:v>-15.333333333333334</c:v>
                </c:pt>
                <c:pt idx="12">
                  <c:v>-15.666666666666666</c:v>
                </c:pt>
                <c:pt idx="13">
                  <c:v>-10.333333333333334</c:v>
                </c:pt>
                <c:pt idx="14">
                  <c:v>-6.333333333333333</c:v>
                </c:pt>
                <c:pt idx="15">
                  <c:v>-10.666666666666666</c:v>
                </c:pt>
                <c:pt idx="16">
                  <c:v>-15.333333333333334</c:v>
                </c:pt>
                <c:pt idx="17">
                  <c:v>3</c:v>
                </c:pt>
                <c:pt idx="18">
                  <c:v>-4</c:v>
                </c:pt>
                <c:pt idx="19">
                  <c:v>-10</c:v>
                </c:pt>
                <c:pt idx="20">
                  <c:v>-10.333333333333334</c:v>
                </c:pt>
                <c:pt idx="21">
                  <c:v>-5.666666666666667</c:v>
                </c:pt>
                <c:pt idx="22">
                  <c:v>-2.6666666666666665</c:v>
                </c:pt>
                <c:pt idx="23">
                  <c:v>-0.33333333333333331</c:v>
                </c:pt>
                <c:pt idx="24">
                  <c:v>-23.666666666666668</c:v>
                </c:pt>
                <c:pt idx="25">
                  <c:v>-7.666666666666667</c:v>
                </c:pt>
                <c:pt idx="26">
                  <c:v>-14</c:v>
                </c:pt>
                <c:pt idx="27">
                  <c:v>-11.666666666666666</c:v>
                </c:pt>
                <c:pt idx="28">
                  <c:v>-12</c:v>
                </c:pt>
                <c:pt idx="29">
                  <c:v>-24</c:v>
                </c:pt>
                <c:pt idx="30">
                  <c:v>-5</c:v>
                </c:pt>
                <c:pt idx="31">
                  <c:v>-4.333333333333333</c:v>
                </c:pt>
                <c:pt idx="32">
                  <c:v>-2.6666666666666665</c:v>
                </c:pt>
                <c:pt idx="33">
                  <c:v>-8.3333333333333339</c:v>
                </c:pt>
                <c:pt idx="34">
                  <c:v>-8</c:v>
                </c:pt>
                <c:pt idx="35">
                  <c:v>-9</c:v>
                </c:pt>
                <c:pt idx="36">
                  <c:v>-10</c:v>
                </c:pt>
                <c:pt idx="37">
                  <c:v>-0.66666666666666663</c:v>
                </c:pt>
                <c:pt idx="38">
                  <c:v>-1.3333333333333333</c:v>
                </c:pt>
                <c:pt idx="39">
                  <c:v>8</c:v>
                </c:pt>
                <c:pt idx="40">
                  <c:v>1</c:v>
                </c:pt>
                <c:pt idx="41">
                  <c:v>7.333333333333333</c:v>
                </c:pt>
                <c:pt idx="42">
                  <c:v>3.3333333333333335</c:v>
                </c:pt>
                <c:pt idx="43">
                  <c:v>-0.33333333333333331</c:v>
                </c:pt>
                <c:pt idx="44">
                  <c:v>-2.6666666666666665</c:v>
                </c:pt>
                <c:pt idx="45">
                  <c:v>-5</c:v>
                </c:pt>
                <c:pt idx="46">
                  <c:v>-4.333333333333333</c:v>
                </c:pt>
                <c:pt idx="47">
                  <c:v>-27.333333333333332</c:v>
                </c:pt>
                <c:pt idx="48">
                  <c:v>-37.333333333333336</c:v>
                </c:pt>
                <c:pt idx="49">
                  <c:v>-40.333333333333336</c:v>
                </c:pt>
                <c:pt idx="50">
                  <c:v>-34.666666666666664</c:v>
                </c:pt>
                <c:pt idx="51">
                  <c:v>-31.333333333333332</c:v>
                </c:pt>
                <c:pt idx="52">
                  <c:v>-26</c:v>
                </c:pt>
                <c:pt idx="53">
                  <c:v>-23.333333333333332</c:v>
                </c:pt>
                <c:pt idx="54">
                  <c:v>-20</c:v>
                </c:pt>
                <c:pt idx="55">
                  <c:v>-11.666666666666666</c:v>
                </c:pt>
                <c:pt idx="56">
                  <c:v>-8.3333333333333339</c:v>
                </c:pt>
                <c:pt idx="57">
                  <c:v>-14</c:v>
                </c:pt>
                <c:pt idx="58">
                  <c:v>-23</c:v>
                </c:pt>
                <c:pt idx="59">
                  <c:v>-22.666666666666668</c:v>
                </c:pt>
                <c:pt idx="60">
                  <c:v>-15</c:v>
                </c:pt>
                <c:pt idx="61">
                  <c:v>-19.333333333333332</c:v>
                </c:pt>
                <c:pt idx="62">
                  <c:v>-21.666666666666668</c:v>
                </c:pt>
                <c:pt idx="63">
                  <c:v>-26.666666666666668</c:v>
                </c:pt>
                <c:pt idx="64">
                  <c:v>-28.333333333333332</c:v>
                </c:pt>
                <c:pt idx="65">
                  <c:v>-23.666666666666668</c:v>
                </c:pt>
                <c:pt idx="66">
                  <c:v>-18.666666666666668</c:v>
                </c:pt>
                <c:pt idx="67">
                  <c:v>-12</c:v>
                </c:pt>
                <c:pt idx="68">
                  <c:v>-15</c:v>
                </c:pt>
                <c:pt idx="69">
                  <c:v>-10.333333333333334</c:v>
                </c:pt>
                <c:pt idx="70">
                  <c:v>-7.666666666666667</c:v>
                </c:pt>
                <c:pt idx="71">
                  <c:v>-7.333333333333333</c:v>
                </c:pt>
                <c:pt idx="72">
                  <c:v>-11.666666666666666</c:v>
                </c:pt>
                <c:pt idx="73">
                  <c:v>-4.333333333333333</c:v>
                </c:pt>
                <c:pt idx="74">
                  <c:v>-6.333333333333333</c:v>
                </c:pt>
                <c:pt idx="75">
                  <c:v>-3.6666666666666665</c:v>
                </c:pt>
                <c:pt idx="76">
                  <c:v>-0.66666666666666663</c:v>
                </c:pt>
                <c:pt idx="77">
                  <c:v>-1</c:v>
                </c:pt>
                <c:pt idx="78">
                  <c:v>-2</c:v>
                </c:pt>
                <c:pt idx="79">
                  <c:v>-4.333333333333333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AB-4919-9788-7611D525B986}"/>
            </c:ext>
          </c:extLst>
        </c:ser>
        <c:ser>
          <c:idx val="4"/>
          <c:order val="4"/>
          <c:tx>
            <c:v>podnikateľská stituácia (obchod)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'G44-G49'!$F$3:$F$82</c:f>
              <c:numCache>
                <c:formatCode>0.00</c:formatCode>
                <c:ptCount val="80"/>
                <c:pt idx="0">
                  <c:v>33</c:v>
                </c:pt>
                <c:pt idx="1">
                  <c:v>30.666666666666668</c:v>
                </c:pt>
                <c:pt idx="2">
                  <c:v>37.666666666666664</c:v>
                </c:pt>
                <c:pt idx="3">
                  <c:v>6.666666666666667</c:v>
                </c:pt>
                <c:pt idx="4">
                  <c:v>26.666666666666668</c:v>
                </c:pt>
                <c:pt idx="5">
                  <c:v>25.333333333333332</c:v>
                </c:pt>
                <c:pt idx="6">
                  <c:v>29.333333333333332</c:v>
                </c:pt>
                <c:pt idx="7">
                  <c:v>43</c:v>
                </c:pt>
                <c:pt idx="8">
                  <c:v>4.333333333333333</c:v>
                </c:pt>
                <c:pt idx="9">
                  <c:v>0</c:v>
                </c:pt>
                <c:pt idx="10">
                  <c:v>1.3333333333333333</c:v>
                </c:pt>
                <c:pt idx="11">
                  <c:v>14.666666666666666</c:v>
                </c:pt>
                <c:pt idx="12">
                  <c:v>9.3333333333333339</c:v>
                </c:pt>
                <c:pt idx="13">
                  <c:v>13.666666666666666</c:v>
                </c:pt>
                <c:pt idx="14">
                  <c:v>17</c:v>
                </c:pt>
                <c:pt idx="15">
                  <c:v>15.333333333333334</c:v>
                </c:pt>
                <c:pt idx="16">
                  <c:v>22.666666666666668</c:v>
                </c:pt>
                <c:pt idx="17">
                  <c:v>26.666666666666668</c:v>
                </c:pt>
                <c:pt idx="18">
                  <c:v>39</c:v>
                </c:pt>
                <c:pt idx="19">
                  <c:v>49.333333333333336</c:v>
                </c:pt>
                <c:pt idx="20">
                  <c:v>23.666666666666668</c:v>
                </c:pt>
                <c:pt idx="21">
                  <c:v>23.333333333333332</c:v>
                </c:pt>
                <c:pt idx="22">
                  <c:v>26.333333333333332</c:v>
                </c:pt>
                <c:pt idx="23">
                  <c:v>19.333333333333332</c:v>
                </c:pt>
                <c:pt idx="24">
                  <c:v>27.333333333333332</c:v>
                </c:pt>
                <c:pt idx="25">
                  <c:v>9.3333333333333339</c:v>
                </c:pt>
                <c:pt idx="26">
                  <c:v>16</c:v>
                </c:pt>
                <c:pt idx="27">
                  <c:v>27.333333333333332</c:v>
                </c:pt>
                <c:pt idx="28">
                  <c:v>-1.3333333333333333</c:v>
                </c:pt>
                <c:pt idx="29">
                  <c:v>10.333333333333334</c:v>
                </c:pt>
                <c:pt idx="30">
                  <c:v>3.3333333333333335</c:v>
                </c:pt>
                <c:pt idx="31">
                  <c:v>-11</c:v>
                </c:pt>
                <c:pt idx="32">
                  <c:v>-2</c:v>
                </c:pt>
                <c:pt idx="33">
                  <c:v>13</c:v>
                </c:pt>
                <c:pt idx="34">
                  <c:v>16.666666666666668</c:v>
                </c:pt>
                <c:pt idx="35">
                  <c:v>33.333333333333336</c:v>
                </c:pt>
                <c:pt idx="36">
                  <c:v>27</c:v>
                </c:pt>
                <c:pt idx="37">
                  <c:v>25.333333333333332</c:v>
                </c:pt>
                <c:pt idx="38">
                  <c:v>32.666666666666664</c:v>
                </c:pt>
                <c:pt idx="39">
                  <c:v>36.666666666666664</c:v>
                </c:pt>
                <c:pt idx="40">
                  <c:v>34.333333333333336</c:v>
                </c:pt>
                <c:pt idx="41">
                  <c:v>35.333333333333336</c:v>
                </c:pt>
                <c:pt idx="42">
                  <c:v>29.666666666666668</c:v>
                </c:pt>
                <c:pt idx="43">
                  <c:v>34.333333333333336</c:v>
                </c:pt>
                <c:pt idx="44">
                  <c:v>42</c:v>
                </c:pt>
                <c:pt idx="45">
                  <c:v>38.333333333333336</c:v>
                </c:pt>
                <c:pt idx="46">
                  <c:v>30.666666666666668</c:v>
                </c:pt>
                <c:pt idx="47">
                  <c:v>17.333333333333332</c:v>
                </c:pt>
                <c:pt idx="48">
                  <c:v>1.6666666666666667</c:v>
                </c:pt>
                <c:pt idx="49">
                  <c:v>-24.666666666666668</c:v>
                </c:pt>
                <c:pt idx="50">
                  <c:v>-25.666666666666668</c:v>
                </c:pt>
                <c:pt idx="51">
                  <c:v>-22.333333333333332</c:v>
                </c:pt>
                <c:pt idx="52">
                  <c:v>-21.333333333333332</c:v>
                </c:pt>
                <c:pt idx="53">
                  <c:v>-11</c:v>
                </c:pt>
                <c:pt idx="54">
                  <c:v>3.6666666666666665</c:v>
                </c:pt>
                <c:pt idx="55">
                  <c:v>13.333333333333334</c:v>
                </c:pt>
                <c:pt idx="56">
                  <c:v>19.666666666666668</c:v>
                </c:pt>
                <c:pt idx="57">
                  <c:v>17.333333333333332</c:v>
                </c:pt>
                <c:pt idx="58">
                  <c:v>17</c:v>
                </c:pt>
                <c:pt idx="59">
                  <c:v>15.666666666666666</c:v>
                </c:pt>
                <c:pt idx="60">
                  <c:v>9.3333333333333339</c:v>
                </c:pt>
                <c:pt idx="61">
                  <c:v>9.6666666666666661</c:v>
                </c:pt>
                <c:pt idx="62">
                  <c:v>13</c:v>
                </c:pt>
                <c:pt idx="63">
                  <c:v>12.333333333333334</c:v>
                </c:pt>
                <c:pt idx="64">
                  <c:v>9.6666666666666661</c:v>
                </c:pt>
                <c:pt idx="65">
                  <c:v>8</c:v>
                </c:pt>
                <c:pt idx="66">
                  <c:v>-1.3333333333333333</c:v>
                </c:pt>
                <c:pt idx="67">
                  <c:v>-1</c:v>
                </c:pt>
                <c:pt idx="68">
                  <c:v>5</c:v>
                </c:pt>
                <c:pt idx="69">
                  <c:v>15.666666666666666</c:v>
                </c:pt>
                <c:pt idx="70">
                  <c:v>15.333333333333334</c:v>
                </c:pt>
                <c:pt idx="71">
                  <c:v>20.333333333333332</c:v>
                </c:pt>
                <c:pt idx="72">
                  <c:v>18</c:v>
                </c:pt>
                <c:pt idx="73">
                  <c:v>28.333333333333332</c:v>
                </c:pt>
                <c:pt idx="74">
                  <c:v>26.666666666666668</c:v>
                </c:pt>
                <c:pt idx="75">
                  <c:v>22</c:v>
                </c:pt>
                <c:pt idx="76">
                  <c:v>14</c:v>
                </c:pt>
                <c:pt idx="77">
                  <c:v>25.666666666666668</c:v>
                </c:pt>
                <c:pt idx="78">
                  <c:v>21.666666666666668</c:v>
                </c:pt>
                <c:pt idx="7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AB-4919-9788-7611D525B986}"/>
            </c:ext>
          </c:extLst>
        </c:ser>
        <c:ser>
          <c:idx val="5"/>
          <c:order val="5"/>
          <c:tx>
            <c:v>objem svetoveho obchodu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'G44-G49'!$G$3:$G$82</c:f>
              <c:numCache>
                <c:formatCode>0.00</c:formatCode>
                <c:ptCount val="80"/>
                <c:pt idx="0">
                  <c:v>52.198736347994952</c:v>
                </c:pt>
                <c:pt idx="1">
                  <c:v>54.020741259259758</c:v>
                </c:pt>
                <c:pt idx="2">
                  <c:v>55.248329622687123</c:v>
                </c:pt>
                <c:pt idx="3">
                  <c:v>55.812281284433197</c:v>
                </c:pt>
                <c:pt idx="4">
                  <c:v>56.639603318231508</c:v>
                </c:pt>
                <c:pt idx="5">
                  <c:v>56.773824081003703</c:v>
                </c:pt>
                <c:pt idx="6">
                  <c:v>56.73173703997039</c:v>
                </c:pt>
                <c:pt idx="7">
                  <c:v>57.36082516433607</c:v>
                </c:pt>
                <c:pt idx="8">
                  <c:v>58.076715848305263</c:v>
                </c:pt>
                <c:pt idx="9">
                  <c:v>59.530565516238447</c:v>
                </c:pt>
                <c:pt idx="10">
                  <c:v>61.023337087643718</c:v>
                </c:pt>
                <c:pt idx="11">
                  <c:v>63.199849164602767</c:v>
                </c:pt>
                <c:pt idx="12">
                  <c:v>65.581617857489178</c:v>
                </c:pt>
                <c:pt idx="13">
                  <c:v>67.565518588154347</c:v>
                </c:pt>
                <c:pt idx="14">
                  <c:v>69.21655782272228</c:v>
                </c:pt>
                <c:pt idx="15">
                  <c:v>70.620223343702236</c:v>
                </c:pt>
                <c:pt idx="16">
                  <c:v>69.880255731050411</c:v>
                </c:pt>
                <c:pt idx="17">
                  <c:v>68.399760580702363</c:v>
                </c:pt>
                <c:pt idx="18">
                  <c:v>67.154916946336968</c:v>
                </c:pt>
                <c:pt idx="19">
                  <c:v>66.930532751800172</c:v>
                </c:pt>
                <c:pt idx="20">
                  <c:v>68.116643299872635</c:v>
                </c:pt>
                <c:pt idx="21">
                  <c:v>69.670963259704692</c:v>
                </c:pt>
                <c:pt idx="22">
                  <c:v>71.102971684732708</c:v>
                </c:pt>
                <c:pt idx="23">
                  <c:v>71.776877538481983</c:v>
                </c:pt>
                <c:pt idx="24">
                  <c:v>72.621682105867137</c:v>
                </c:pt>
                <c:pt idx="25">
                  <c:v>72.735643713596914</c:v>
                </c:pt>
                <c:pt idx="26">
                  <c:v>73.954763381591832</c:v>
                </c:pt>
                <c:pt idx="27">
                  <c:v>77.194081893688008</c:v>
                </c:pt>
                <c:pt idx="28">
                  <c:v>79.086895208726816</c:v>
                </c:pt>
                <c:pt idx="29">
                  <c:v>81.246075670940328</c:v>
                </c:pt>
                <c:pt idx="30">
                  <c:v>81.90868715866327</c:v>
                </c:pt>
                <c:pt idx="31">
                  <c:v>83.909622700240377</c:v>
                </c:pt>
                <c:pt idx="32">
                  <c:v>84.26372290232716</c:v>
                </c:pt>
                <c:pt idx="33">
                  <c:v>86.738537364022179</c:v>
                </c:pt>
                <c:pt idx="34">
                  <c:v>87.180750018897967</c:v>
                </c:pt>
                <c:pt idx="35">
                  <c:v>90.098660606128931</c:v>
                </c:pt>
                <c:pt idx="36">
                  <c:v>92.529441482904687</c:v>
                </c:pt>
                <c:pt idx="37">
                  <c:v>94.202026189025901</c:v>
                </c:pt>
                <c:pt idx="38">
                  <c:v>94.819081166024148</c:v>
                </c:pt>
                <c:pt idx="39">
                  <c:v>97.093110709476889</c:v>
                </c:pt>
                <c:pt idx="40">
                  <c:v>98.36822706764211</c:v>
                </c:pt>
                <c:pt idx="41">
                  <c:v>99.262005432508843</c:v>
                </c:pt>
                <c:pt idx="42">
                  <c:v>100.52797824497797</c:v>
                </c:pt>
                <c:pt idx="43">
                  <c:v>101.727993322145</c:v>
                </c:pt>
                <c:pt idx="44">
                  <c:v>103.17148200069261</c:v>
                </c:pt>
                <c:pt idx="45">
                  <c:v>102.64637989868015</c:v>
                </c:pt>
                <c:pt idx="46">
                  <c:v>102.33948776686168</c:v>
                </c:pt>
                <c:pt idx="47">
                  <c:v>94.515767486059147</c:v>
                </c:pt>
                <c:pt idx="48">
                  <c:v>84.374649829970352</c:v>
                </c:pt>
                <c:pt idx="49">
                  <c:v>84.707118665722717</c:v>
                </c:pt>
                <c:pt idx="50">
                  <c:v>88.778446675886173</c:v>
                </c:pt>
                <c:pt idx="51">
                  <c:v>93.175435919894127</c:v>
                </c:pt>
                <c:pt idx="52">
                  <c:v>96.109556320402973</c:v>
                </c:pt>
                <c:pt idx="53">
                  <c:v>99.569744799079174</c:v>
                </c:pt>
                <c:pt idx="54">
                  <c:v>100.97525262301269</c:v>
                </c:pt>
                <c:pt idx="55">
                  <c:v>103.34544625750522</c:v>
                </c:pt>
                <c:pt idx="56">
                  <c:v>104.56386821879504</c:v>
                </c:pt>
                <c:pt idx="57">
                  <c:v>104.09141720986868</c:v>
                </c:pt>
                <c:pt idx="58">
                  <c:v>105.28059432699081</c:v>
                </c:pt>
                <c:pt idx="59">
                  <c:v>104.95433865700257</c:v>
                </c:pt>
                <c:pt idx="60">
                  <c:v>105.2988096578452</c:v>
                </c:pt>
                <c:pt idx="61">
                  <c:v>106.23788393196929</c:v>
                </c:pt>
                <c:pt idx="62">
                  <c:v>106.51025333015899</c:v>
                </c:pt>
                <c:pt idx="63">
                  <c:v>106.39770165216753</c:v>
                </c:pt>
                <c:pt idx="64">
                  <c:v>107.87897635069267</c:v>
                </c:pt>
                <c:pt idx="65">
                  <c:v>108.02865056475072</c:v>
                </c:pt>
                <c:pt idx="66">
                  <c:v>108.42614466824467</c:v>
                </c:pt>
                <c:pt idx="67">
                  <c:v>109.47999767042904</c:v>
                </c:pt>
                <c:pt idx="68">
                  <c:v>110.18522362501587</c:v>
                </c:pt>
                <c:pt idx="69">
                  <c:v>110.36084682152291</c:v>
                </c:pt>
                <c:pt idx="70">
                  <c:v>111.80007470487585</c:v>
                </c:pt>
                <c:pt idx="71">
                  <c:v>113.03483321994054</c:v>
                </c:pt>
                <c:pt idx="72">
                  <c:v>113.70934721804728</c:v>
                </c:pt>
                <c:pt idx="73">
                  <c:v>112.53286333083065</c:v>
                </c:pt>
                <c:pt idx="74">
                  <c:v>113.70041228825271</c:v>
                </c:pt>
                <c:pt idx="75">
                  <c:v>114.53003701069792</c:v>
                </c:pt>
                <c:pt idx="76" formatCode="General">
                  <c:v>114.61998233989318</c:v>
                </c:pt>
                <c:pt idx="77" formatCode="General">
                  <c:v>114.27098337624621</c:v>
                </c:pt>
                <c:pt idx="78" formatCode="General">
                  <c:v>114.91538209267416</c:v>
                </c:pt>
                <c:pt idx="79" formatCode="General">
                  <c:v>116.57485409335727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B-4919-9788-7611D525B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17061615367242E-2"/>
          <c:y val="2.5722459933665849E-2"/>
          <c:w val="0.92411952702718048"/>
          <c:h val="0.16007561991813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67590940919873E-2"/>
          <c:y val="4.7159699892818867E-2"/>
          <c:w val="0.91582004713396892"/>
          <c:h val="0.83730646209416748"/>
        </c:manualLayout>
      </c:layout>
      <c:lineChart>
        <c:grouping val="standard"/>
        <c:varyColors val="0"/>
        <c:ser>
          <c:idx val="0"/>
          <c:order val="0"/>
          <c:tx>
            <c:v>stav objednavok (stav)</c:v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'G44-G49'!$B$3:$B$82</c:f>
              <c:numCache>
                <c:formatCode>0.00</c:formatCode>
                <c:ptCount val="80"/>
                <c:pt idx="0">
                  <c:v>-19</c:v>
                </c:pt>
                <c:pt idx="1">
                  <c:v>-17.666666666666668</c:v>
                </c:pt>
                <c:pt idx="2">
                  <c:v>-7.333333333333333</c:v>
                </c:pt>
                <c:pt idx="3">
                  <c:v>-15.333333333333334</c:v>
                </c:pt>
                <c:pt idx="4">
                  <c:v>-28</c:v>
                </c:pt>
                <c:pt idx="5">
                  <c:v>-20.666666666666668</c:v>
                </c:pt>
                <c:pt idx="6">
                  <c:v>-16.333333333333332</c:v>
                </c:pt>
                <c:pt idx="7">
                  <c:v>-40</c:v>
                </c:pt>
                <c:pt idx="8">
                  <c:v>-66.333333333333329</c:v>
                </c:pt>
                <c:pt idx="9">
                  <c:v>-83</c:v>
                </c:pt>
                <c:pt idx="10">
                  <c:v>-87</c:v>
                </c:pt>
                <c:pt idx="11">
                  <c:v>-76.333333333333329</c:v>
                </c:pt>
                <c:pt idx="12">
                  <c:v>-66.666666666666671</c:v>
                </c:pt>
                <c:pt idx="13">
                  <c:v>-67.666666666666671</c:v>
                </c:pt>
                <c:pt idx="14">
                  <c:v>-61</c:v>
                </c:pt>
                <c:pt idx="15">
                  <c:v>-57.333333333333336</c:v>
                </c:pt>
                <c:pt idx="16">
                  <c:v>-46.666666666666664</c:v>
                </c:pt>
                <c:pt idx="17">
                  <c:v>-49.333333333333336</c:v>
                </c:pt>
                <c:pt idx="18">
                  <c:v>-52.666666666666664</c:v>
                </c:pt>
                <c:pt idx="19">
                  <c:v>-51.666666666666664</c:v>
                </c:pt>
                <c:pt idx="20">
                  <c:v>-44</c:v>
                </c:pt>
                <c:pt idx="21">
                  <c:v>-32.333333333333336</c:v>
                </c:pt>
                <c:pt idx="22">
                  <c:v>-27.666666666666668</c:v>
                </c:pt>
                <c:pt idx="23">
                  <c:v>-32.666666666666664</c:v>
                </c:pt>
                <c:pt idx="24">
                  <c:v>-38</c:v>
                </c:pt>
                <c:pt idx="25">
                  <c:v>-38.666666666666664</c:v>
                </c:pt>
                <c:pt idx="26">
                  <c:v>-41</c:v>
                </c:pt>
                <c:pt idx="27">
                  <c:v>-36.333333333333336</c:v>
                </c:pt>
                <c:pt idx="28">
                  <c:v>-43.666666666666664</c:v>
                </c:pt>
                <c:pt idx="29">
                  <c:v>-44.333333333333336</c:v>
                </c:pt>
                <c:pt idx="30">
                  <c:v>-34.333333333333336</c:v>
                </c:pt>
                <c:pt idx="31">
                  <c:v>-31</c:v>
                </c:pt>
                <c:pt idx="32">
                  <c:v>-26.333333333333332</c:v>
                </c:pt>
                <c:pt idx="33">
                  <c:v>-23.333333333333332</c:v>
                </c:pt>
                <c:pt idx="34">
                  <c:v>-27.333333333333332</c:v>
                </c:pt>
                <c:pt idx="35">
                  <c:v>-20.666666666666668</c:v>
                </c:pt>
                <c:pt idx="36">
                  <c:v>-21</c:v>
                </c:pt>
                <c:pt idx="37">
                  <c:v>-15.666666666666666</c:v>
                </c:pt>
                <c:pt idx="38">
                  <c:v>-12</c:v>
                </c:pt>
                <c:pt idx="39">
                  <c:v>-16.333333333333332</c:v>
                </c:pt>
                <c:pt idx="40">
                  <c:v>-18</c:v>
                </c:pt>
                <c:pt idx="41">
                  <c:v>-22.666666666666668</c:v>
                </c:pt>
                <c:pt idx="42">
                  <c:v>-19.666666666666668</c:v>
                </c:pt>
                <c:pt idx="43">
                  <c:v>-23</c:v>
                </c:pt>
                <c:pt idx="44">
                  <c:v>-23.333333333333332</c:v>
                </c:pt>
                <c:pt idx="45">
                  <c:v>-21</c:v>
                </c:pt>
                <c:pt idx="46">
                  <c:v>-21.666666666666668</c:v>
                </c:pt>
                <c:pt idx="47">
                  <c:v>-30</c:v>
                </c:pt>
                <c:pt idx="48">
                  <c:v>-33.333333333333336</c:v>
                </c:pt>
                <c:pt idx="49">
                  <c:v>-58</c:v>
                </c:pt>
                <c:pt idx="50">
                  <c:v>-66</c:v>
                </c:pt>
                <c:pt idx="51">
                  <c:v>-66</c:v>
                </c:pt>
                <c:pt idx="52">
                  <c:v>-61</c:v>
                </c:pt>
                <c:pt idx="53">
                  <c:v>-55.666666666666664</c:v>
                </c:pt>
                <c:pt idx="54">
                  <c:v>-54.333333333333336</c:v>
                </c:pt>
                <c:pt idx="55">
                  <c:v>-52.333333333333336</c:v>
                </c:pt>
                <c:pt idx="56">
                  <c:v>-50.666666666666664</c:v>
                </c:pt>
                <c:pt idx="57">
                  <c:v>-53.666666666666664</c:v>
                </c:pt>
                <c:pt idx="58">
                  <c:v>-59.333333333333336</c:v>
                </c:pt>
                <c:pt idx="59">
                  <c:v>-53</c:v>
                </c:pt>
                <c:pt idx="60">
                  <c:v>-60.333333333333336</c:v>
                </c:pt>
                <c:pt idx="61">
                  <c:v>-48.333333333333336</c:v>
                </c:pt>
                <c:pt idx="62">
                  <c:v>-58.333333333333336</c:v>
                </c:pt>
                <c:pt idx="63">
                  <c:v>-76.666666666666671</c:v>
                </c:pt>
                <c:pt idx="64">
                  <c:v>-70.666666666666671</c:v>
                </c:pt>
                <c:pt idx="65">
                  <c:v>-69.666666666666671</c:v>
                </c:pt>
                <c:pt idx="66">
                  <c:v>-65</c:v>
                </c:pt>
                <c:pt idx="67">
                  <c:v>-58.333333333333336</c:v>
                </c:pt>
                <c:pt idx="68">
                  <c:v>-48.666666666666664</c:v>
                </c:pt>
                <c:pt idx="69">
                  <c:v>-58.333333333333336</c:v>
                </c:pt>
                <c:pt idx="70">
                  <c:v>-50.333333333333336</c:v>
                </c:pt>
                <c:pt idx="71">
                  <c:v>-31.666666666666668</c:v>
                </c:pt>
                <c:pt idx="72">
                  <c:v>-28.333333333333332</c:v>
                </c:pt>
                <c:pt idx="73">
                  <c:v>-16</c:v>
                </c:pt>
                <c:pt idx="74">
                  <c:v>-11</c:v>
                </c:pt>
                <c:pt idx="75">
                  <c:v>-10.333333333333334</c:v>
                </c:pt>
                <c:pt idx="76">
                  <c:v>-24.333333333333332</c:v>
                </c:pt>
                <c:pt idx="77">
                  <c:v>-24</c:v>
                </c:pt>
                <c:pt idx="78">
                  <c:v>-20.666666666666668</c:v>
                </c:pt>
                <c:pt idx="79">
                  <c:v>-24.666666666666668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9-4385-BE82-BB9D4952709A}"/>
            </c:ext>
          </c:extLst>
        </c:ser>
        <c:ser>
          <c:idx val="1"/>
          <c:order val="1"/>
          <c:tx>
            <c:v>priemer</c:v>
          </c:tx>
          <c:spPr>
            <a:ln w="95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'G44-G49'!$J$3:$J$82</c:f>
              <c:numCache>
                <c:formatCode>0.00</c:formatCode>
                <c:ptCount val="80"/>
                <c:pt idx="0">
                  <c:v>-40.437500000000007</c:v>
                </c:pt>
                <c:pt idx="1">
                  <c:v>-40.437500000000007</c:v>
                </c:pt>
                <c:pt idx="2">
                  <c:v>-40.437500000000007</c:v>
                </c:pt>
                <c:pt idx="3">
                  <c:v>-40.437500000000007</c:v>
                </c:pt>
                <c:pt idx="4">
                  <c:v>-40.437500000000007</c:v>
                </c:pt>
                <c:pt idx="5">
                  <c:v>-40.437500000000007</c:v>
                </c:pt>
                <c:pt idx="6">
                  <c:v>-40.437500000000007</c:v>
                </c:pt>
                <c:pt idx="7">
                  <c:v>-40.437500000000007</c:v>
                </c:pt>
                <c:pt idx="8">
                  <c:v>-40.437500000000007</c:v>
                </c:pt>
                <c:pt idx="9">
                  <c:v>-40.437500000000007</c:v>
                </c:pt>
                <c:pt idx="10">
                  <c:v>-40.437500000000007</c:v>
                </c:pt>
                <c:pt idx="11">
                  <c:v>-40.437500000000007</c:v>
                </c:pt>
                <c:pt idx="12">
                  <c:v>-40.437500000000007</c:v>
                </c:pt>
                <c:pt idx="13">
                  <c:v>-40.437500000000007</c:v>
                </c:pt>
                <c:pt idx="14">
                  <c:v>-40.437500000000007</c:v>
                </c:pt>
                <c:pt idx="15">
                  <c:v>-40.437500000000007</c:v>
                </c:pt>
                <c:pt idx="16">
                  <c:v>-40.437500000000007</c:v>
                </c:pt>
                <c:pt idx="17">
                  <c:v>-40.437500000000007</c:v>
                </c:pt>
                <c:pt idx="18">
                  <c:v>-40.437500000000007</c:v>
                </c:pt>
                <c:pt idx="19">
                  <c:v>-40.437500000000007</c:v>
                </c:pt>
                <c:pt idx="20">
                  <c:v>-40.437500000000007</c:v>
                </c:pt>
                <c:pt idx="21">
                  <c:v>-40.437500000000007</c:v>
                </c:pt>
                <c:pt idx="22">
                  <c:v>-40.437500000000007</c:v>
                </c:pt>
                <c:pt idx="23">
                  <c:v>-40.437500000000007</c:v>
                </c:pt>
                <c:pt idx="24">
                  <c:v>-40.437500000000007</c:v>
                </c:pt>
                <c:pt idx="25">
                  <c:v>-40.437500000000007</c:v>
                </c:pt>
                <c:pt idx="26">
                  <c:v>-40.437500000000007</c:v>
                </c:pt>
                <c:pt idx="27">
                  <c:v>-40.437500000000007</c:v>
                </c:pt>
                <c:pt idx="28">
                  <c:v>-40.437500000000007</c:v>
                </c:pt>
                <c:pt idx="29">
                  <c:v>-40.437500000000007</c:v>
                </c:pt>
                <c:pt idx="30">
                  <c:v>-40.437500000000007</c:v>
                </c:pt>
                <c:pt idx="31">
                  <c:v>-40.437500000000007</c:v>
                </c:pt>
                <c:pt idx="32">
                  <c:v>-40.437500000000007</c:v>
                </c:pt>
                <c:pt idx="33">
                  <c:v>-40.437500000000007</c:v>
                </c:pt>
                <c:pt idx="34">
                  <c:v>-40.437500000000007</c:v>
                </c:pt>
                <c:pt idx="35">
                  <c:v>-40.437500000000007</c:v>
                </c:pt>
                <c:pt idx="36">
                  <c:v>-40.437500000000007</c:v>
                </c:pt>
                <c:pt idx="37">
                  <c:v>-40.437500000000007</c:v>
                </c:pt>
                <c:pt idx="38">
                  <c:v>-40.437500000000007</c:v>
                </c:pt>
                <c:pt idx="39">
                  <c:v>-40.437500000000007</c:v>
                </c:pt>
                <c:pt idx="40">
                  <c:v>-40.437500000000007</c:v>
                </c:pt>
                <c:pt idx="41">
                  <c:v>-40.437500000000007</c:v>
                </c:pt>
                <c:pt idx="42">
                  <c:v>-40.437500000000007</c:v>
                </c:pt>
                <c:pt idx="43">
                  <c:v>-40.437500000000007</c:v>
                </c:pt>
                <c:pt idx="44">
                  <c:v>-40.437500000000007</c:v>
                </c:pt>
                <c:pt idx="45">
                  <c:v>-40.437500000000007</c:v>
                </c:pt>
                <c:pt idx="46">
                  <c:v>-40.437500000000007</c:v>
                </c:pt>
                <c:pt idx="47">
                  <c:v>-40.437500000000007</c:v>
                </c:pt>
                <c:pt idx="48">
                  <c:v>-40.437500000000007</c:v>
                </c:pt>
                <c:pt idx="49">
                  <c:v>-40.437500000000007</c:v>
                </c:pt>
                <c:pt idx="50">
                  <c:v>-40.437500000000007</c:v>
                </c:pt>
                <c:pt idx="51">
                  <c:v>-40.437500000000007</c:v>
                </c:pt>
                <c:pt idx="52">
                  <c:v>-40.437500000000007</c:v>
                </c:pt>
                <c:pt idx="53">
                  <c:v>-40.437500000000007</c:v>
                </c:pt>
                <c:pt idx="54">
                  <c:v>-40.437500000000007</c:v>
                </c:pt>
                <c:pt idx="55">
                  <c:v>-40.437500000000007</c:v>
                </c:pt>
                <c:pt idx="56">
                  <c:v>-40.437500000000007</c:v>
                </c:pt>
                <c:pt idx="57">
                  <c:v>-40.437500000000007</c:v>
                </c:pt>
                <c:pt idx="58">
                  <c:v>-40.437500000000007</c:v>
                </c:pt>
                <c:pt idx="59">
                  <c:v>-40.437500000000007</c:v>
                </c:pt>
                <c:pt idx="60">
                  <c:v>-40.437500000000007</c:v>
                </c:pt>
                <c:pt idx="61">
                  <c:v>-40.437500000000007</c:v>
                </c:pt>
                <c:pt idx="62">
                  <c:v>-40.437500000000007</c:v>
                </c:pt>
                <c:pt idx="63">
                  <c:v>-40.437500000000007</c:v>
                </c:pt>
                <c:pt idx="64">
                  <c:v>-40.437500000000007</c:v>
                </c:pt>
                <c:pt idx="65">
                  <c:v>-40.437500000000007</c:v>
                </c:pt>
                <c:pt idx="66">
                  <c:v>-40.437500000000007</c:v>
                </c:pt>
                <c:pt idx="67">
                  <c:v>-40.437500000000007</c:v>
                </c:pt>
                <c:pt idx="68">
                  <c:v>-40.437500000000007</c:v>
                </c:pt>
                <c:pt idx="69">
                  <c:v>-40.437500000000007</c:v>
                </c:pt>
                <c:pt idx="70">
                  <c:v>-40.437500000000007</c:v>
                </c:pt>
                <c:pt idx="71">
                  <c:v>-40.437500000000007</c:v>
                </c:pt>
                <c:pt idx="72">
                  <c:v>-40.437500000000007</c:v>
                </c:pt>
                <c:pt idx="73">
                  <c:v>-40.437500000000007</c:v>
                </c:pt>
                <c:pt idx="74">
                  <c:v>-40.437500000000007</c:v>
                </c:pt>
                <c:pt idx="75">
                  <c:v>-40.437500000000007</c:v>
                </c:pt>
                <c:pt idx="76">
                  <c:v>-40.437500000000007</c:v>
                </c:pt>
                <c:pt idx="77">
                  <c:v>-40.437500000000007</c:v>
                </c:pt>
                <c:pt idx="78">
                  <c:v>-40.437500000000007</c:v>
                </c:pt>
                <c:pt idx="79">
                  <c:v>-40.437500000000007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9-4385-BE82-BB9D4952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15693690462605"/>
          <c:y val="2.5722459933665849E-2"/>
          <c:w val="0.38581351244137962"/>
          <c:h val="0.13665645492062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67590940919873E-2"/>
          <c:y val="4.7159699892818867E-2"/>
          <c:w val="0.91582004713396892"/>
          <c:h val="0.83730646209416748"/>
        </c:manualLayout>
      </c:layout>
      <c:lineChart>
        <c:grouping val="standard"/>
        <c:varyColors val="0"/>
        <c:ser>
          <c:idx val="4"/>
          <c:order val="0"/>
          <c:tx>
            <c:v>podnikateľská stituácia (obchod)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'G44-G49'!$F$3:$F$82</c:f>
              <c:numCache>
                <c:formatCode>0.00</c:formatCode>
                <c:ptCount val="80"/>
                <c:pt idx="0">
                  <c:v>33</c:v>
                </c:pt>
                <c:pt idx="1">
                  <c:v>30.666666666666668</c:v>
                </c:pt>
                <c:pt idx="2">
                  <c:v>37.666666666666664</c:v>
                </c:pt>
                <c:pt idx="3">
                  <c:v>6.666666666666667</c:v>
                </c:pt>
                <c:pt idx="4">
                  <c:v>26.666666666666668</c:v>
                </c:pt>
                <c:pt idx="5">
                  <c:v>25.333333333333332</c:v>
                </c:pt>
                <c:pt idx="6">
                  <c:v>29.333333333333332</c:v>
                </c:pt>
                <c:pt idx="7">
                  <c:v>43</c:v>
                </c:pt>
                <c:pt idx="8">
                  <c:v>4.333333333333333</c:v>
                </c:pt>
                <c:pt idx="9">
                  <c:v>0</c:v>
                </c:pt>
                <c:pt idx="10">
                  <c:v>1.3333333333333333</c:v>
                </c:pt>
                <c:pt idx="11">
                  <c:v>14.666666666666666</c:v>
                </c:pt>
                <c:pt idx="12">
                  <c:v>9.3333333333333339</c:v>
                </c:pt>
                <c:pt idx="13">
                  <c:v>13.666666666666666</c:v>
                </c:pt>
                <c:pt idx="14">
                  <c:v>17</c:v>
                </c:pt>
                <c:pt idx="15">
                  <c:v>15.333333333333334</c:v>
                </c:pt>
                <c:pt idx="16">
                  <c:v>22.666666666666668</c:v>
                </c:pt>
                <c:pt idx="17">
                  <c:v>26.666666666666668</c:v>
                </c:pt>
                <c:pt idx="18">
                  <c:v>39</c:v>
                </c:pt>
                <c:pt idx="19">
                  <c:v>49.333333333333336</c:v>
                </c:pt>
                <c:pt idx="20">
                  <c:v>23.666666666666668</c:v>
                </c:pt>
                <c:pt idx="21">
                  <c:v>23.333333333333332</c:v>
                </c:pt>
                <c:pt idx="22">
                  <c:v>26.333333333333332</c:v>
                </c:pt>
                <c:pt idx="23">
                  <c:v>19.333333333333332</c:v>
                </c:pt>
                <c:pt idx="24">
                  <c:v>27.333333333333332</c:v>
                </c:pt>
                <c:pt idx="25">
                  <c:v>9.3333333333333339</c:v>
                </c:pt>
                <c:pt idx="26">
                  <c:v>16</c:v>
                </c:pt>
                <c:pt idx="27">
                  <c:v>27.333333333333332</c:v>
                </c:pt>
                <c:pt idx="28">
                  <c:v>-1.3333333333333333</c:v>
                </c:pt>
                <c:pt idx="29">
                  <c:v>10.333333333333334</c:v>
                </c:pt>
                <c:pt idx="30">
                  <c:v>3.3333333333333335</c:v>
                </c:pt>
                <c:pt idx="31">
                  <c:v>-11</c:v>
                </c:pt>
                <c:pt idx="32">
                  <c:v>-2</c:v>
                </c:pt>
                <c:pt idx="33">
                  <c:v>13</c:v>
                </c:pt>
                <c:pt idx="34">
                  <c:v>16.666666666666668</c:v>
                </c:pt>
                <c:pt idx="35">
                  <c:v>33.333333333333336</c:v>
                </c:pt>
                <c:pt idx="36">
                  <c:v>27</c:v>
                </c:pt>
                <c:pt idx="37">
                  <c:v>25.333333333333332</c:v>
                </c:pt>
                <c:pt idx="38">
                  <c:v>32.666666666666664</c:v>
                </c:pt>
                <c:pt idx="39">
                  <c:v>36.666666666666664</c:v>
                </c:pt>
                <c:pt idx="40">
                  <c:v>34.333333333333336</c:v>
                </c:pt>
                <c:pt idx="41">
                  <c:v>35.333333333333336</c:v>
                </c:pt>
                <c:pt idx="42">
                  <c:v>29.666666666666668</c:v>
                </c:pt>
                <c:pt idx="43">
                  <c:v>34.333333333333336</c:v>
                </c:pt>
                <c:pt idx="44">
                  <c:v>42</c:v>
                </c:pt>
                <c:pt idx="45">
                  <c:v>38.333333333333336</c:v>
                </c:pt>
                <c:pt idx="46">
                  <c:v>30.666666666666668</c:v>
                </c:pt>
                <c:pt idx="47">
                  <c:v>17.333333333333332</c:v>
                </c:pt>
                <c:pt idx="48">
                  <c:v>1.6666666666666667</c:v>
                </c:pt>
                <c:pt idx="49">
                  <c:v>-24.666666666666668</c:v>
                </c:pt>
                <c:pt idx="50">
                  <c:v>-25.666666666666668</c:v>
                </c:pt>
                <c:pt idx="51">
                  <c:v>-22.333333333333332</c:v>
                </c:pt>
                <c:pt idx="52">
                  <c:v>-21.333333333333332</c:v>
                </c:pt>
                <c:pt idx="53">
                  <c:v>-11</c:v>
                </c:pt>
                <c:pt idx="54">
                  <c:v>3.6666666666666665</c:v>
                </c:pt>
                <c:pt idx="55">
                  <c:v>13.333333333333334</c:v>
                </c:pt>
                <c:pt idx="56">
                  <c:v>19.666666666666668</c:v>
                </c:pt>
                <c:pt idx="57">
                  <c:v>17.333333333333332</c:v>
                </c:pt>
                <c:pt idx="58">
                  <c:v>17</c:v>
                </c:pt>
                <c:pt idx="59">
                  <c:v>15.666666666666666</c:v>
                </c:pt>
                <c:pt idx="60">
                  <c:v>9.3333333333333339</c:v>
                </c:pt>
                <c:pt idx="61">
                  <c:v>9.6666666666666661</c:v>
                </c:pt>
                <c:pt idx="62">
                  <c:v>13</c:v>
                </c:pt>
                <c:pt idx="63">
                  <c:v>12.333333333333334</c:v>
                </c:pt>
                <c:pt idx="64">
                  <c:v>9.6666666666666661</c:v>
                </c:pt>
                <c:pt idx="65">
                  <c:v>8</c:v>
                </c:pt>
                <c:pt idx="66">
                  <c:v>-1.3333333333333333</c:v>
                </c:pt>
                <c:pt idx="67">
                  <c:v>-1</c:v>
                </c:pt>
                <c:pt idx="68">
                  <c:v>5</c:v>
                </c:pt>
                <c:pt idx="69">
                  <c:v>15.666666666666666</c:v>
                </c:pt>
                <c:pt idx="70">
                  <c:v>15.333333333333334</c:v>
                </c:pt>
                <c:pt idx="71">
                  <c:v>20.333333333333332</c:v>
                </c:pt>
                <c:pt idx="72">
                  <c:v>18</c:v>
                </c:pt>
                <c:pt idx="73">
                  <c:v>28.333333333333332</c:v>
                </c:pt>
                <c:pt idx="74">
                  <c:v>26.666666666666668</c:v>
                </c:pt>
                <c:pt idx="75">
                  <c:v>22</c:v>
                </c:pt>
                <c:pt idx="76">
                  <c:v>14</c:v>
                </c:pt>
                <c:pt idx="77">
                  <c:v>25.666666666666668</c:v>
                </c:pt>
                <c:pt idx="78">
                  <c:v>21.666666666666668</c:v>
                </c:pt>
                <c:pt idx="7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E-421A-BD3A-384676CD74DB}"/>
            </c:ext>
          </c:extLst>
        </c:ser>
        <c:ser>
          <c:idx val="0"/>
          <c:order val="1"/>
          <c:tx>
            <c:v>priemer</c:v>
          </c:tx>
          <c:spPr>
            <a:ln w="6350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val>
            <c:numRef>
              <c:f>'G44-G49'!$N$3:$N$82</c:f>
              <c:numCache>
                <c:formatCode>0.00</c:formatCode>
                <c:ptCount val="80"/>
                <c:pt idx="0">
                  <c:v>16.76250000000001</c:v>
                </c:pt>
                <c:pt idx="1">
                  <c:v>16.76250000000001</c:v>
                </c:pt>
                <c:pt idx="2">
                  <c:v>16.76250000000001</c:v>
                </c:pt>
                <c:pt idx="3">
                  <c:v>16.76250000000001</c:v>
                </c:pt>
                <c:pt idx="4">
                  <c:v>16.76250000000001</c:v>
                </c:pt>
                <c:pt idx="5">
                  <c:v>16.76250000000001</c:v>
                </c:pt>
                <c:pt idx="6">
                  <c:v>16.76250000000001</c:v>
                </c:pt>
                <c:pt idx="7">
                  <c:v>16.76250000000001</c:v>
                </c:pt>
                <c:pt idx="8">
                  <c:v>16.76250000000001</c:v>
                </c:pt>
                <c:pt idx="9">
                  <c:v>16.76250000000001</c:v>
                </c:pt>
                <c:pt idx="10">
                  <c:v>16.76250000000001</c:v>
                </c:pt>
                <c:pt idx="11">
                  <c:v>16.76250000000001</c:v>
                </c:pt>
                <c:pt idx="12">
                  <c:v>16.76250000000001</c:v>
                </c:pt>
                <c:pt idx="13">
                  <c:v>16.76250000000001</c:v>
                </c:pt>
                <c:pt idx="14">
                  <c:v>16.76250000000001</c:v>
                </c:pt>
                <c:pt idx="15">
                  <c:v>16.76250000000001</c:v>
                </c:pt>
                <c:pt idx="16">
                  <c:v>16.76250000000001</c:v>
                </c:pt>
                <c:pt idx="17">
                  <c:v>16.76250000000001</c:v>
                </c:pt>
                <c:pt idx="18">
                  <c:v>16.76250000000001</c:v>
                </c:pt>
                <c:pt idx="19">
                  <c:v>16.76250000000001</c:v>
                </c:pt>
                <c:pt idx="20">
                  <c:v>16.76250000000001</c:v>
                </c:pt>
                <c:pt idx="21">
                  <c:v>16.76250000000001</c:v>
                </c:pt>
                <c:pt idx="22">
                  <c:v>16.76250000000001</c:v>
                </c:pt>
                <c:pt idx="23">
                  <c:v>16.76250000000001</c:v>
                </c:pt>
                <c:pt idx="24">
                  <c:v>16.76250000000001</c:v>
                </c:pt>
                <c:pt idx="25">
                  <c:v>16.76250000000001</c:v>
                </c:pt>
                <c:pt idx="26">
                  <c:v>16.76250000000001</c:v>
                </c:pt>
                <c:pt idx="27">
                  <c:v>16.76250000000001</c:v>
                </c:pt>
                <c:pt idx="28">
                  <c:v>16.76250000000001</c:v>
                </c:pt>
                <c:pt idx="29">
                  <c:v>16.76250000000001</c:v>
                </c:pt>
                <c:pt idx="30">
                  <c:v>16.76250000000001</c:v>
                </c:pt>
                <c:pt idx="31">
                  <c:v>16.76250000000001</c:v>
                </c:pt>
                <c:pt idx="32">
                  <c:v>16.76250000000001</c:v>
                </c:pt>
                <c:pt idx="33">
                  <c:v>16.76250000000001</c:v>
                </c:pt>
                <c:pt idx="34">
                  <c:v>16.76250000000001</c:v>
                </c:pt>
                <c:pt idx="35">
                  <c:v>16.76250000000001</c:v>
                </c:pt>
                <c:pt idx="36">
                  <c:v>16.76250000000001</c:v>
                </c:pt>
                <c:pt idx="37">
                  <c:v>16.76250000000001</c:v>
                </c:pt>
                <c:pt idx="38">
                  <c:v>16.76250000000001</c:v>
                </c:pt>
                <c:pt idx="39">
                  <c:v>16.76250000000001</c:v>
                </c:pt>
                <c:pt idx="40">
                  <c:v>16.76250000000001</c:v>
                </c:pt>
                <c:pt idx="41">
                  <c:v>16.76250000000001</c:v>
                </c:pt>
                <c:pt idx="42">
                  <c:v>16.76250000000001</c:v>
                </c:pt>
                <c:pt idx="43">
                  <c:v>16.76250000000001</c:v>
                </c:pt>
                <c:pt idx="44">
                  <c:v>16.76250000000001</c:v>
                </c:pt>
                <c:pt idx="45">
                  <c:v>16.76250000000001</c:v>
                </c:pt>
                <c:pt idx="46">
                  <c:v>16.76250000000001</c:v>
                </c:pt>
                <c:pt idx="47">
                  <c:v>16.76250000000001</c:v>
                </c:pt>
                <c:pt idx="48">
                  <c:v>16.76250000000001</c:v>
                </c:pt>
                <c:pt idx="49">
                  <c:v>16.76250000000001</c:v>
                </c:pt>
                <c:pt idx="50">
                  <c:v>16.76250000000001</c:v>
                </c:pt>
                <c:pt idx="51">
                  <c:v>16.76250000000001</c:v>
                </c:pt>
                <c:pt idx="52">
                  <c:v>16.76250000000001</c:v>
                </c:pt>
                <c:pt idx="53">
                  <c:v>16.76250000000001</c:v>
                </c:pt>
                <c:pt idx="54">
                  <c:v>16.76250000000001</c:v>
                </c:pt>
                <c:pt idx="55">
                  <c:v>16.76250000000001</c:v>
                </c:pt>
                <c:pt idx="56">
                  <c:v>16.76250000000001</c:v>
                </c:pt>
                <c:pt idx="57">
                  <c:v>16.76250000000001</c:v>
                </c:pt>
                <c:pt idx="58">
                  <c:v>16.76250000000001</c:v>
                </c:pt>
                <c:pt idx="59">
                  <c:v>16.76250000000001</c:v>
                </c:pt>
                <c:pt idx="60">
                  <c:v>16.76250000000001</c:v>
                </c:pt>
                <c:pt idx="61">
                  <c:v>16.76250000000001</c:v>
                </c:pt>
                <c:pt idx="62">
                  <c:v>16.76250000000001</c:v>
                </c:pt>
                <c:pt idx="63">
                  <c:v>16.76250000000001</c:v>
                </c:pt>
                <c:pt idx="64">
                  <c:v>16.76250000000001</c:v>
                </c:pt>
                <c:pt idx="65">
                  <c:v>16.76250000000001</c:v>
                </c:pt>
                <c:pt idx="66">
                  <c:v>16.76250000000001</c:v>
                </c:pt>
                <c:pt idx="67">
                  <c:v>16.76250000000001</c:v>
                </c:pt>
                <c:pt idx="68">
                  <c:v>16.76250000000001</c:v>
                </c:pt>
                <c:pt idx="69">
                  <c:v>16.76250000000001</c:v>
                </c:pt>
                <c:pt idx="70">
                  <c:v>16.76250000000001</c:v>
                </c:pt>
                <c:pt idx="71">
                  <c:v>16.76250000000001</c:v>
                </c:pt>
                <c:pt idx="72">
                  <c:v>16.76250000000001</c:v>
                </c:pt>
                <c:pt idx="73">
                  <c:v>16.76250000000001</c:v>
                </c:pt>
                <c:pt idx="74">
                  <c:v>16.76250000000001</c:v>
                </c:pt>
                <c:pt idx="75">
                  <c:v>16.76250000000001</c:v>
                </c:pt>
                <c:pt idx="76">
                  <c:v>16.76250000000001</c:v>
                </c:pt>
                <c:pt idx="77">
                  <c:v>16.76250000000001</c:v>
                </c:pt>
                <c:pt idx="78">
                  <c:v>16.76250000000001</c:v>
                </c:pt>
                <c:pt idx="79">
                  <c:v>16.76250000000001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E-421A-BD3A-384676CD7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697614654316703"/>
          <c:y val="5.573317804727785E-2"/>
          <c:w val="0.51490898904458293"/>
          <c:h val="0.14094370036542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67590940919873E-2"/>
          <c:y val="4.7159699892818867E-2"/>
          <c:w val="0.91582004713396892"/>
          <c:h val="0.83730646209416748"/>
        </c:manualLayout>
      </c:layout>
      <c:lineChart>
        <c:grouping val="standard"/>
        <c:varyColors val="0"/>
        <c:ser>
          <c:idx val="4"/>
          <c:order val="0"/>
          <c:tx>
            <c:v>stav objednavok (priem)</c:v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'G44-G49'!$E$3:$E$82</c:f>
              <c:numCache>
                <c:formatCode>0.00</c:formatCode>
                <c:ptCount val="80"/>
                <c:pt idx="0">
                  <c:v>-19.666666666666668</c:v>
                </c:pt>
                <c:pt idx="1">
                  <c:v>-23</c:v>
                </c:pt>
                <c:pt idx="2">
                  <c:v>-7.666666666666667</c:v>
                </c:pt>
                <c:pt idx="3">
                  <c:v>-4.333333333333333</c:v>
                </c:pt>
                <c:pt idx="4">
                  <c:v>-9.6666666666666661</c:v>
                </c:pt>
                <c:pt idx="5">
                  <c:v>-10.333333333333334</c:v>
                </c:pt>
                <c:pt idx="6">
                  <c:v>-18.666666666666668</c:v>
                </c:pt>
                <c:pt idx="7">
                  <c:v>-19.666666666666668</c:v>
                </c:pt>
                <c:pt idx="8">
                  <c:v>-46.333333333333336</c:v>
                </c:pt>
                <c:pt idx="9">
                  <c:v>-27.666666666666668</c:v>
                </c:pt>
                <c:pt idx="10">
                  <c:v>-19.333333333333332</c:v>
                </c:pt>
                <c:pt idx="11">
                  <c:v>-15.333333333333334</c:v>
                </c:pt>
                <c:pt idx="12">
                  <c:v>-15.666666666666666</c:v>
                </c:pt>
                <c:pt idx="13">
                  <c:v>-10.333333333333334</c:v>
                </c:pt>
                <c:pt idx="14">
                  <c:v>-6.333333333333333</c:v>
                </c:pt>
                <c:pt idx="15">
                  <c:v>-10.666666666666666</c:v>
                </c:pt>
                <c:pt idx="16">
                  <c:v>-15.333333333333334</c:v>
                </c:pt>
                <c:pt idx="17">
                  <c:v>3</c:v>
                </c:pt>
                <c:pt idx="18">
                  <c:v>-4</c:v>
                </c:pt>
                <c:pt idx="19">
                  <c:v>-10</c:v>
                </c:pt>
                <c:pt idx="20">
                  <c:v>-10.333333333333334</c:v>
                </c:pt>
                <c:pt idx="21">
                  <c:v>-5.666666666666667</c:v>
                </c:pt>
                <c:pt idx="22">
                  <c:v>-2.6666666666666665</c:v>
                </c:pt>
                <c:pt idx="23">
                  <c:v>-0.33333333333333331</c:v>
                </c:pt>
                <c:pt idx="24">
                  <c:v>-23.666666666666668</c:v>
                </c:pt>
                <c:pt idx="25">
                  <c:v>-7.666666666666667</c:v>
                </c:pt>
                <c:pt idx="26">
                  <c:v>-14</c:v>
                </c:pt>
                <c:pt idx="27">
                  <c:v>-11.666666666666666</c:v>
                </c:pt>
                <c:pt idx="28">
                  <c:v>-12</c:v>
                </c:pt>
                <c:pt idx="29">
                  <c:v>-24</c:v>
                </c:pt>
                <c:pt idx="30">
                  <c:v>-5</c:v>
                </c:pt>
                <c:pt idx="31">
                  <c:v>-4.333333333333333</c:v>
                </c:pt>
                <c:pt idx="32">
                  <c:v>-2.6666666666666665</c:v>
                </c:pt>
                <c:pt idx="33">
                  <c:v>-8.3333333333333339</c:v>
                </c:pt>
                <c:pt idx="34">
                  <c:v>-8</c:v>
                </c:pt>
                <c:pt idx="35">
                  <c:v>-9</c:v>
                </c:pt>
                <c:pt idx="36">
                  <c:v>-10</c:v>
                </c:pt>
                <c:pt idx="37">
                  <c:v>-0.66666666666666663</c:v>
                </c:pt>
                <c:pt idx="38">
                  <c:v>-1.3333333333333333</c:v>
                </c:pt>
                <c:pt idx="39">
                  <c:v>8</c:v>
                </c:pt>
                <c:pt idx="40">
                  <c:v>1</c:v>
                </c:pt>
                <c:pt idx="41">
                  <c:v>7.333333333333333</c:v>
                </c:pt>
                <c:pt idx="42">
                  <c:v>3.3333333333333335</c:v>
                </c:pt>
                <c:pt idx="43">
                  <c:v>-0.33333333333333331</c:v>
                </c:pt>
                <c:pt idx="44">
                  <c:v>-2.6666666666666665</c:v>
                </c:pt>
                <c:pt idx="45">
                  <c:v>-5</c:v>
                </c:pt>
                <c:pt idx="46">
                  <c:v>-4.333333333333333</c:v>
                </c:pt>
                <c:pt idx="47">
                  <c:v>-27.333333333333332</c:v>
                </c:pt>
                <c:pt idx="48">
                  <c:v>-37.333333333333336</c:v>
                </c:pt>
                <c:pt idx="49">
                  <c:v>-40.333333333333336</c:v>
                </c:pt>
                <c:pt idx="50">
                  <c:v>-34.666666666666664</c:v>
                </c:pt>
                <c:pt idx="51">
                  <c:v>-31.333333333333332</c:v>
                </c:pt>
                <c:pt idx="52">
                  <c:v>-26</c:v>
                </c:pt>
                <c:pt idx="53">
                  <c:v>-23.333333333333332</c:v>
                </c:pt>
                <c:pt idx="54">
                  <c:v>-20</c:v>
                </c:pt>
                <c:pt idx="55">
                  <c:v>-11.666666666666666</c:v>
                </c:pt>
                <c:pt idx="56">
                  <c:v>-8.3333333333333339</c:v>
                </c:pt>
                <c:pt idx="57">
                  <c:v>-14</c:v>
                </c:pt>
                <c:pt idx="58">
                  <c:v>-23</c:v>
                </c:pt>
                <c:pt idx="59">
                  <c:v>-22.666666666666668</c:v>
                </c:pt>
                <c:pt idx="60">
                  <c:v>-15</c:v>
                </c:pt>
                <c:pt idx="61">
                  <c:v>-19.333333333333332</c:v>
                </c:pt>
                <c:pt idx="62">
                  <c:v>-21.666666666666668</c:v>
                </c:pt>
                <c:pt idx="63">
                  <c:v>-26.666666666666668</c:v>
                </c:pt>
                <c:pt idx="64">
                  <c:v>-28.333333333333332</c:v>
                </c:pt>
                <c:pt idx="65">
                  <c:v>-23.666666666666668</c:v>
                </c:pt>
                <c:pt idx="66">
                  <c:v>-18.666666666666668</c:v>
                </c:pt>
                <c:pt idx="67">
                  <c:v>-12</c:v>
                </c:pt>
                <c:pt idx="68">
                  <c:v>-15</c:v>
                </c:pt>
                <c:pt idx="69">
                  <c:v>-10.333333333333334</c:v>
                </c:pt>
                <c:pt idx="70">
                  <c:v>-7.666666666666667</c:v>
                </c:pt>
                <c:pt idx="71">
                  <c:v>-7.333333333333333</c:v>
                </c:pt>
                <c:pt idx="72">
                  <c:v>-11.666666666666666</c:v>
                </c:pt>
                <c:pt idx="73">
                  <c:v>-4.333333333333333</c:v>
                </c:pt>
                <c:pt idx="74">
                  <c:v>-6.333333333333333</c:v>
                </c:pt>
                <c:pt idx="75">
                  <c:v>-3.6666666666666665</c:v>
                </c:pt>
                <c:pt idx="76">
                  <c:v>-0.66666666666666663</c:v>
                </c:pt>
                <c:pt idx="77">
                  <c:v>-1</c:v>
                </c:pt>
                <c:pt idx="78">
                  <c:v>-2</c:v>
                </c:pt>
                <c:pt idx="79">
                  <c:v>-4.333333333333333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8-420C-95C6-310E45C77EDC}"/>
            </c:ext>
          </c:extLst>
        </c:ser>
        <c:ser>
          <c:idx val="0"/>
          <c:order val="1"/>
          <c:tx>
            <c:v>priemer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'G44-G49'!$M$3:$M$82</c:f>
              <c:numCache>
                <c:formatCode>0.00</c:formatCode>
                <c:ptCount val="80"/>
                <c:pt idx="0">
                  <c:v>-12.558333333333334</c:v>
                </c:pt>
                <c:pt idx="1">
                  <c:v>-12.558333333333334</c:v>
                </c:pt>
                <c:pt idx="2">
                  <c:v>-12.558333333333334</c:v>
                </c:pt>
                <c:pt idx="3">
                  <c:v>-12.558333333333334</c:v>
                </c:pt>
                <c:pt idx="4">
                  <c:v>-12.558333333333334</c:v>
                </c:pt>
                <c:pt idx="5">
                  <c:v>-12.558333333333334</c:v>
                </c:pt>
                <c:pt idx="6">
                  <c:v>-12.558333333333334</c:v>
                </c:pt>
                <c:pt idx="7">
                  <c:v>-12.558333333333334</c:v>
                </c:pt>
                <c:pt idx="8">
                  <c:v>-12.558333333333334</c:v>
                </c:pt>
                <c:pt idx="9">
                  <c:v>-12.558333333333334</c:v>
                </c:pt>
                <c:pt idx="10">
                  <c:v>-12.558333333333334</c:v>
                </c:pt>
                <c:pt idx="11">
                  <c:v>-12.558333333333334</c:v>
                </c:pt>
                <c:pt idx="12">
                  <c:v>-12.558333333333334</c:v>
                </c:pt>
                <c:pt idx="13">
                  <c:v>-12.558333333333334</c:v>
                </c:pt>
                <c:pt idx="14">
                  <c:v>-12.558333333333334</c:v>
                </c:pt>
                <c:pt idx="15">
                  <c:v>-12.558333333333334</c:v>
                </c:pt>
                <c:pt idx="16">
                  <c:v>-12.558333333333334</c:v>
                </c:pt>
                <c:pt idx="17">
                  <c:v>-12.558333333333334</c:v>
                </c:pt>
                <c:pt idx="18">
                  <c:v>-12.558333333333334</c:v>
                </c:pt>
                <c:pt idx="19">
                  <c:v>-12.558333333333334</c:v>
                </c:pt>
                <c:pt idx="20">
                  <c:v>-12.558333333333334</c:v>
                </c:pt>
                <c:pt idx="21">
                  <c:v>-12.558333333333334</c:v>
                </c:pt>
                <c:pt idx="22">
                  <c:v>-12.558333333333334</c:v>
                </c:pt>
                <c:pt idx="23">
                  <c:v>-12.558333333333334</c:v>
                </c:pt>
                <c:pt idx="24">
                  <c:v>-12.558333333333334</c:v>
                </c:pt>
                <c:pt idx="25">
                  <c:v>-12.558333333333334</c:v>
                </c:pt>
                <c:pt idx="26">
                  <c:v>-12.558333333333334</c:v>
                </c:pt>
                <c:pt idx="27">
                  <c:v>-12.558333333333334</c:v>
                </c:pt>
                <c:pt idx="28">
                  <c:v>-12.558333333333334</c:v>
                </c:pt>
                <c:pt idx="29">
                  <c:v>-12.558333333333334</c:v>
                </c:pt>
                <c:pt idx="30">
                  <c:v>-12.558333333333334</c:v>
                </c:pt>
                <c:pt idx="31">
                  <c:v>-12.558333333333334</c:v>
                </c:pt>
                <c:pt idx="32">
                  <c:v>-12.558333333333334</c:v>
                </c:pt>
                <c:pt idx="33">
                  <c:v>-12.558333333333334</c:v>
                </c:pt>
                <c:pt idx="34">
                  <c:v>-12.558333333333334</c:v>
                </c:pt>
                <c:pt idx="35">
                  <c:v>-12.558333333333334</c:v>
                </c:pt>
                <c:pt idx="36">
                  <c:v>-12.558333333333334</c:v>
                </c:pt>
                <c:pt idx="37">
                  <c:v>-12.558333333333334</c:v>
                </c:pt>
                <c:pt idx="38">
                  <c:v>-12.558333333333334</c:v>
                </c:pt>
                <c:pt idx="39">
                  <c:v>-12.558333333333334</c:v>
                </c:pt>
                <c:pt idx="40">
                  <c:v>-12.558333333333334</c:v>
                </c:pt>
                <c:pt idx="41">
                  <c:v>-12.558333333333334</c:v>
                </c:pt>
                <c:pt idx="42">
                  <c:v>-12.558333333333334</c:v>
                </c:pt>
                <c:pt idx="43">
                  <c:v>-12.558333333333334</c:v>
                </c:pt>
                <c:pt idx="44">
                  <c:v>-12.558333333333334</c:v>
                </c:pt>
                <c:pt idx="45">
                  <c:v>-12.558333333333334</c:v>
                </c:pt>
                <c:pt idx="46">
                  <c:v>-12.558333333333334</c:v>
                </c:pt>
                <c:pt idx="47">
                  <c:v>-12.558333333333334</c:v>
                </c:pt>
                <c:pt idx="48">
                  <c:v>-12.558333333333334</c:v>
                </c:pt>
                <c:pt idx="49">
                  <c:v>-12.558333333333334</c:v>
                </c:pt>
                <c:pt idx="50">
                  <c:v>-12.558333333333334</c:v>
                </c:pt>
                <c:pt idx="51">
                  <c:v>-12.558333333333334</c:v>
                </c:pt>
                <c:pt idx="52">
                  <c:v>-12.558333333333334</c:v>
                </c:pt>
                <c:pt idx="53">
                  <c:v>-12.558333333333334</c:v>
                </c:pt>
                <c:pt idx="54">
                  <c:v>-12.558333333333334</c:v>
                </c:pt>
                <c:pt idx="55">
                  <c:v>-12.558333333333334</c:v>
                </c:pt>
                <c:pt idx="56">
                  <c:v>-12.558333333333334</c:v>
                </c:pt>
                <c:pt idx="57">
                  <c:v>-12.558333333333334</c:v>
                </c:pt>
                <c:pt idx="58">
                  <c:v>-12.558333333333334</c:v>
                </c:pt>
                <c:pt idx="59">
                  <c:v>-12.558333333333334</c:v>
                </c:pt>
                <c:pt idx="60">
                  <c:v>-12.558333333333334</c:v>
                </c:pt>
                <c:pt idx="61">
                  <c:v>-12.558333333333334</c:v>
                </c:pt>
                <c:pt idx="62">
                  <c:v>-12.558333333333334</c:v>
                </c:pt>
                <c:pt idx="63">
                  <c:v>-12.558333333333334</c:v>
                </c:pt>
                <c:pt idx="64">
                  <c:v>-12.558333333333334</c:v>
                </c:pt>
                <c:pt idx="65">
                  <c:v>-12.558333333333334</c:v>
                </c:pt>
                <c:pt idx="66">
                  <c:v>-12.558333333333334</c:v>
                </c:pt>
                <c:pt idx="67">
                  <c:v>-12.558333333333334</c:v>
                </c:pt>
                <c:pt idx="68">
                  <c:v>-12.558333333333334</c:v>
                </c:pt>
                <c:pt idx="69">
                  <c:v>-12.558333333333334</c:v>
                </c:pt>
                <c:pt idx="70">
                  <c:v>-12.558333333333334</c:v>
                </c:pt>
                <c:pt idx="71">
                  <c:v>-12.558333333333334</c:v>
                </c:pt>
                <c:pt idx="72">
                  <c:v>-12.558333333333334</c:v>
                </c:pt>
                <c:pt idx="73">
                  <c:v>-12.558333333333334</c:v>
                </c:pt>
                <c:pt idx="74">
                  <c:v>-12.558333333333334</c:v>
                </c:pt>
                <c:pt idx="75">
                  <c:v>-12.558333333333334</c:v>
                </c:pt>
                <c:pt idx="76">
                  <c:v>-12.558333333333334</c:v>
                </c:pt>
                <c:pt idx="77">
                  <c:v>-12.558333333333334</c:v>
                </c:pt>
                <c:pt idx="78">
                  <c:v>-12.558333333333334</c:v>
                </c:pt>
                <c:pt idx="79">
                  <c:v>-12.558333333333334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8-420C-95C6-310E45C77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046466413920483"/>
          <c:y val="5.573317804727785E-2"/>
          <c:w val="0.38142034714796447"/>
          <c:h val="0.14094370036542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67590940919873E-2"/>
          <c:y val="4.7159699892818867E-2"/>
          <c:w val="0.91582004713396892"/>
          <c:h val="0.83730646209416748"/>
        </c:manualLayout>
      </c:layout>
      <c:lineChart>
        <c:grouping val="standard"/>
        <c:varyColors val="0"/>
        <c:ser>
          <c:idx val="0"/>
          <c:order val="0"/>
          <c:tx>
            <c:v>nedostatok zamestnancov (stav)</c:v>
          </c:tx>
          <c:spPr>
            <a:ln w="28575" cap="rnd">
              <a:solidFill>
                <a:srgbClr val="13B5EA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'G44-G49'!$C$3:$C$82</c:f>
              <c:numCache>
                <c:formatCode>0.00</c:formatCode>
                <c:ptCount val="80"/>
                <c:pt idx="0">
                  <c:v>8</c:v>
                </c:pt>
                <c:pt idx="1">
                  <c:v>5.666666666666667</c:v>
                </c:pt>
                <c:pt idx="2">
                  <c:v>5</c:v>
                </c:pt>
                <c:pt idx="3">
                  <c:v>4.666666666666667</c:v>
                </c:pt>
                <c:pt idx="4">
                  <c:v>4.333333333333333</c:v>
                </c:pt>
                <c:pt idx="5">
                  <c:v>4.666666666666667</c:v>
                </c:pt>
                <c:pt idx="6">
                  <c:v>5.666666666666667</c:v>
                </c:pt>
                <c:pt idx="7">
                  <c:v>3.3333333333333335</c:v>
                </c:pt>
                <c:pt idx="8">
                  <c:v>2.6666666666666665</c:v>
                </c:pt>
                <c:pt idx="9">
                  <c:v>2</c:v>
                </c:pt>
                <c:pt idx="10">
                  <c:v>2</c:v>
                </c:pt>
                <c:pt idx="11">
                  <c:v>1.3333333333333333</c:v>
                </c:pt>
                <c:pt idx="12">
                  <c:v>1.3333333333333333</c:v>
                </c:pt>
                <c:pt idx="13">
                  <c:v>1.3333333333333333</c:v>
                </c:pt>
                <c:pt idx="14">
                  <c:v>1.6666666666666667</c:v>
                </c:pt>
                <c:pt idx="15">
                  <c:v>2</c:v>
                </c:pt>
                <c:pt idx="16">
                  <c:v>1.3333333333333333</c:v>
                </c:pt>
                <c:pt idx="17">
                  <c:v>1.6666666666666667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4.666666666666667</c:v>
                </c:pt>
                <c:pt idx="23">
                  <c:v>4</c:v>
                </c:pt>
                <c:pt idx="24">
                  <c:v>2.6666666666666665</c:v>
                </c:pt>
                <c:pt idx="25">
                  <c:v>3.6666666666666665</c:v>
                </c:pt>
                <c:pt idx="26">
                  <c:v>7</c:v>
                </c:pt>
                <c:pt idx="27">
                  <c:v>6.666666666666667</c:v>
                </c:pt>
                <c:pt idx="28">
                  <c:v>2.6666666666666665</c:v>
                </c:pt>
                <c:pt idx="29">
                  <c:v>3</c:v>
                </c:pt>
                <c:pt idx="30">
                  <c:v>5.333333333333333</c:v>
                </c:pt>
                <c:pt idx="31">
                  <c:v>6</c:v>
                </c:pt>
                <c:pt idx="32">
                  <c:v>2</c:v>
                </c:pt>
                <c:pt idx="33">
                  <c:v>5.333333333333333</c:v>
                </c:pt>
                <c:pt idx="34">
                  <c:v>12</c:v>
                </c:pt>
                <c:pt idx="35">
                  <c:v>12</c:v>
                </c:pt>
                <c:pt idx="36">
                  <c:v>4.333333333333333</c:v>
                </c:pt>
                <c:pt idx="37">
                  <c:v>15.666666666666666</c:v>
                </c:pt>
                <c:pt idx="38">
                  <c:v>27</c:v>
                </c:pt>
                <c:pt idx="39">
                  <c:v>29.333333333333332</c:v>
                </c:pt>
                <c:pt idx="40">
                  <c:v>21</c:v>
                </c:pt>
                <c:pt idx="41">
                  <c:v>26.333333333333332</c:v>
                </c:pt>
                <c:pt idx="42">
                  <c:v>32.333333333333336</c:v>
                </c:pt>
                <c:pt idx="43">
                  <c:v>36.666666666666664</c:v>
                </c:pt>
                <c:pt idx="44">
                  <c:v>29.333333333333332</c:v>
                </c:pt>
                <c:pt idx="45">
                  <c:v>36.666666666666664</c:v>
                </c:pt>
                <c:pt idx="46">
                  <c:v>38.333333333333336</c:v>
                </c:pt>
                <c:pt idx="47">
                  <c:v>33</c:v>
                </c:pt>
                <c:pt idx="48">
                  <c:v>7</c:v>
                </c:pt>
                <c:pt idx="49">
                  <c:v>3.6666666666666665</c:v>
                </c:pt>
                <c:pt idx="50">
                  <c:v>4.666666666666667</c:v>
                </c:pt>
                <c:pt idx="51">
                  <c:v>3</c:v>
                </c:pt>
                <c:pt idx="52">
                  <c:v>1</c:v>
                </c:pt>
                <c:pt idx="53">
                  <c:v>2.3333333333333335</c:v>
                </c:pt>
                <c:pt idx="54">
                  <c:v>3</c:v>
                </c:pt>
                <c:pt idx="55">
                  <c:v>2.3333333333333335</c:v>
                </c:pt>
                <c:pt idx="56">
                  <c:v>1.3333333333333333</c:v>
                </c:pt>
                <c:pt idx="57">
                  <c:v>1.3333333333333333</c:v>
                </c:pt>
                <c:pt idx="58">
                  <c:v>2.3333333333333335</c:v>
                </c:pt>
                <c:pt idx="59">
                  <c:v>2</c:v>
                </c:pt>
                <c:pt idx="60">
                  <c:v>1.6666666666666667</c:v>
                </c:pt>
                <c:pt idx="61">
                  <c:v>2</c:v>
                </c:pt>
                <c:pt idx="62">
                  <c:v>2.6666666666666665</c:v>
                </c:pt>
                <c:pt idx="63">
                  <c:v>1.6666666666666667</c:v>
                </c:pt>
                <c:pt idx="64">
                  <c:v>1.6666666666666667</c:v>
                </c:pt>
                <c:pt idx="65">
                  <c:v>1</c:v>
                </c:pt>
                <c:pt idx="66">
                  <c:v>4</c:v>
                </c:pt>
                <c:pt idx="67">
                  <c:v>3.3333333333333335</c:v>
                </c:pt>
                <c:pt idx="68">
                  <c:v>2</c:v>
                </c:pt>
                <c:pt idx="69">
                  <c:v>2.6666666666666665</c:v>
                </c:pt>
                <c:pt idx="70">
                  <c:v>5.333333333333333</c:v>
                </c:pt>
                <c:pt idx="71">
                  <c:v>7.333333333333333</c:v>
                </c:pt>
                <c:pt idx="72">
                  <c:v>3</c:v>
                </c:pt>
                <c:pt idx="73">
                  <c:v>7</c:v>
                </c:pt>
                <c:pt idx="74">
                  <c:v>13</c:v>
                </c:pt>
                <c:pt idx="75">
                  <c:v>14</c:v>
                </c:pt>
                <c:pt idx="76">
                  <c:v>9.3333333333333339</c:v>
                </c:pt>
                <c:pt idx="77">
                  <c:v>11.666666666666666</c:v>
                </c:pt>
                <c:pt idx="78">
                  <c:v>16</c:v>
                </c:pt>
                <c:pt idx="7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9-406F-85BF-E8491F6EDB32}"/>
            </c:ext>
          </c:extLst>
        </c:ser>
        <c:ser>
          <c:idx val="1"/>
          <c:order val="1"/>
          <c:tx>
            <c:v>priemer</c:v>
          </c:tx>
          <c:spPr>
            <a:ln w="952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val>
            <c:numRef>
              <c:f>'G44-G49'!$K$3:$K$82</c:f>
              <c:numCache>
                <c:formatCode>0.00</c:formatCode>
                <c:ptCount val="80"/>
                <c:pt idx="0">
                  <c:v>7.9499999999999984</c:v>
                </c:pt>
                <c:pt idx="1">
                  <c:v>7.9499999999999984</c:v>
                </c:pt>
                <c:pt idx="2">
                  <c:v>7.9499999999999984</c:v>
                </c:pt>
                <c:pt idx="3">
                  <c:v>7.9499999999999984</c:v>
                </c:pt>
                <c:pt idx="4">
                  <c:v>7.9499999999999984</c:v>
                </c:pt>
                <c:pt idx="5">
                  <c:v>7.9499999999999984</c:v>
                </c:pt>
                <c:pt idx="6">
                  <c:v>7.9499999999999984</c:v>
                </c:pt>
                <c:pt idx="7">
                  <c:v>7.9499999999999984</c:v>
                </c:pt>
                <c:pt idx="8">
                  <c:v>7.9499999999999984</c:v>
                </c:pt>
                <c:pt idx="9">
                  <c:v>7.9499999999999984</c:v>
                </c:pt>
                <c:pt idx="10">
                  <c:v>7.9499999999999984</c:v>
                </c:pt>
                <c:pt idx="11">
                  <c:v>7.9499999999999984</c:v>
                </c:pt>
                <c:pt idx="12">
                  <c:v>7.9499999999999984</c:v>
                </c:pt>
                <c:pt idx="13">
                  <c:v>7.9499999999999984</c:v>
                </c:pt>
                <c:pt idx="14">
                  <c:v>7.9499999999999984</c:v>
                </c:pt>
                <c:pt idx="15">
                  <c:v>7.9499999999999984</c:v>
                </c:pt>
                <c:pt idx="16">
                  <c:v>7.9499999999999984</c:v>
                </c:pt>
                <c:pt idx="17">
                  <c:v>7.9499999999999984</c:v>
                </c:pt>
                <c:pt idx="18">
                  <c:v>7.9499999999999984</c:v>
                </c:pt>
                <c:pt idx="19">
                  <c:v>7.9499999999999984</c:v>
                </c:pt>
                <c:pt idx="20">
                  <c:v>7.9499999999999984</c:v>
                </c:pt>
                <c:pt idx="21">
                  <c:v>7.9499999999999984</c:v>
                </c:pt>
                <c:pt idx="22">
                  <c:v>7.9499999999999984</c:v>
                </c:pt>
                <c:pt idx="23">
                  <c:v>7.9499999999999984</c:v>
                </c:pt>
                <c:pt idx="24">
                  <c:v>7.9499999999999984</c:v>
                </c:pt>
                <c:pt idx="25">
                  <c:v>7.9499999999999984</c:v>
                </c:pt>
                <c:pt idx="26">
                  <c:v>7.9499999999999984</c:v>
                </c:pt>
                <c:pt idx="27">
                  <c:v>7.9499999999999984</c:v>
                </c:pt>
                <c:pt idx="28">
                  <c:v>7.9499999999999984</c:v>
                </c:pt>
                <c:pt idx="29">
                  <c:v>7.9499999999999984</c:v>
                </c:pt>
                <c:pt idx="30">
                  <c:v>7.9499999999999984</c:v>
                </c:pt>
                <c:pt idx="31">
                  <c:v>7.9499999999999984</c:v>
                </c:pt>
                <c:pt idx="32">
                  <c:v>7.9499999999999984</c:v>
                </c:pt>
                <c:pt idx="33">
                  <c:v>7.9499999999999984</c:v>
                </c:pt>
                <c:pt idx="34">
                  <c:v>7.9499999999999984</c:v>
                </c:pt>
                <c:pt idx="35">
                  <c:v>7.9499999999999984</c:v>
                </c:pt>
                <c:pt idx="36">
                  <c:v>7.9499999999999984</c:v>
                </c:pt>
                <c:pt idx="37">
                  <c:v>7.9499999999999984</c:v>
                </c:pt>
                <c:pt idx="38">
                  <c:v>7.9499999999999984</c:v>
                </c:pt>
                <c:pt idx="39">
                  <c:v>7.9499999999999984</c:v>
                </c:pt>
                <c:pt idx="40">
                  <c:v>7.9499999999999984</c:v>
                </c:pt>
                <c:pt idx="41">
                  <c:v>7.9499999999999984</c:v>
                </c:pt>
                <c:pt idx="42">
                  <c:v>7.9499999999999984</c:v>
                </c:pt>
                <c:pt idx="43">
                  <c:v>7.9499999999999984</c:v>
                </c:pt>
                <c:pt idx="44">
                  <c:v>7.9499999999999984</c:v>
                </c:pt>
                <c:pt idx="45">
                  <c:v>7.9499999999999984</c:v>
                </c:pt>
                <c:pt idx="46">
                  <c:v>7.9499999999999984</c:v>
                </c:pt>
                <c:pt idx="47">
                  <c:v>7.9499999999999984</c:v>
                </c:pt>
                <c:pt idx="48">
                  <c:v>7.9499999999999984</c:v>
                </c:pt>
                <c:pt idx="49">
                  <c:v>7.9499999999999984</c:v>
                </c:pt>
                <c:pt idx="50">
                  <c:v>7.9499999999999984</c:v>
                </c:pt>
                <c:pt idx="51">
                  <c:v>7.9499999999999984</c:v>
                </c:pt>
                <c:pt idx="52">
                  <c:v>7.9499999999999984</c:v>
                </c:pt>
                <c:pt idx="53">
                  <c:v>7.9499999999999984</c:v>
                </c:pt>
                <c:pt idx="54">
                  <c:v>7.9499999999999984</c:v>
                </c:pt>
                <c:pt idx="55">
                  <c:v>7.9499999999999984</c:v>
                </c:pt>
                <c:pt idx="56">
                  <c:v>7.9499999999999984</c:v>
                </c:pt>
                <c:pt idx="57">
                  <c:v>7.9499999999999984</c:v>
                </c:pt>
                <c:pt idx="58">
                  <c:v>7.9499999999999984</c:v>
                </c:pt>
                <c:pt idx="59">
                  <c:v>7.9499999999999984</c:v>
                </c:pt>
                <c:pt idx="60">
                  <c:v>7.9499999999999984</c:v>
                </c:pt>
                <c:pt idx="61">
                  <c:v>7.9499999999999984</c:v>
                </c:pt>
                <c:pt idx="62">
                  <c:v>7.9499999999999984</c:v>
                </c:pt>
                <c:pt idx="63">
                  <c:v>7.9499999999999984</c:v>
                </c:pt>
                <c:pt idx="64">
                  <c:v>7.9499999999999984</c:v>
                </c:pt>
                <c:pt idx="65">
                  <c:v>7.9499999999999984</c:v>
                </c:pt>
                <c:pt idx="66">
                  <c:v>7.9499999999999984</c:v>
                </c:pt>
                <c:pt idx="67">
                  <c:v>7.9499999999999984</c:v>
                </c:pt>
                <c:pt idx="68">
                  <c:v>7.9499999999999984</c:v>
                </c:pt>
                <c:pt idx="69">
                  <c:v>7.9499999999999984</c:v>
                </c:pt>
                <c:pt idx="70">
                  <c:v>7.9499999999999984</c:v>
                </c:pt>
                <c:pt idx="71">
                  <c:v>7.9499999999999984</c:v>
                </c:pt>
                <c:pt idx="72">
                  <c:v>7.9499999999999984</c:v>
                </c:pt>
                <c:pt idx="73">
                  <c:v>7.9499999999999984</c:v>
                </c:pt>
                <c:pt idx="74">
                  <c:v>7.9499999999999984</c:v>
                </c:pt>
                <c:pt idx="75">
                  <c:v>7.9499999999999984</c:v>
                </c:pt>
                <c:pt idx="76">
                  <c:v>7.9499999999999984</c:v>
                </c:pt>
                <c:pt idx="77">
                  <c:v>7.9499999999999984</c:v>
                </c:pt>
                <c:pt idx="78">
                  <c:v>7.9499999999999984</c:v>
                </c:pt>
                <c:pt idx="79">
                  <c:v>7.9499999999999984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9-406F-85BF-E8491F6E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208140078380619"/>
          <c:y val="3.858419626807099E-2"/>
          <c:w val="0.49554836467359387"/>
          <c:h val="0.12785565170690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0983957722773E-2"/>
          <c:y val="5.6410256410256411E-2"/>
          <c:w val="0.90601108717912515"/>
          <c:h val="0.86217888148596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'G03, G04'!$B$9</c:f>
              <c:strCache>
                <c:ptCount val="1"/>
                <c:pt idx="0">
                  <c:v>Fiškálny rámec (ciele)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'G03, G04'!$C$3:$G$3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'G03, G04'!$C$9:$G$9</c:f>
              <c:numCache>
                <c:formatCode>#\ ##0.0</c:formatCode>
                <c:ptCount val="5"/>
                <c:pt idx="0">
                  <c:v>51.94451557871907</c:v>
                </c:pt>
                <c:pt idx="1">
                  <c:v>51.116082340070129</c:v>
                </c:pt>
                <c:pt idx="2">
                  <c:v>49.945843575777936</c:v>
                </c:pt>
                <c:pt idx="3">
                  <c:v>47.827914878975811</c:v>
                </c:pt>
                <c:pt idx="4">
                  <c:v>45.509670510470727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E-4AF0-A85A-D9E7A0515081}"/>
            </c:ext>
          </c:extLst>
        </c:ser>
        <c:ser>
          <c:idx val="1"/>
          <c:order val="1"/>
          <c:tx>
            <c:strRef>
              <c:f>'G03, G04'!$B$10</c:f>
              <c:strCache>
                <c:ptCount val="1"/>
                <c:pt idx="0">
                  <c:v>revízia HDP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2.01005025125627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E-4AF0-A85A-D9E7A0515081}"/>
                </c:ext>
              </c:extLst>
            </c:dLbl>
            <c:dLbl>
              <c:idx val="4"/>
              <c:layout>
                <c:manualLayout>
                  <c:x val="1.340033500837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AF0-A85A-D9E7A0515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'G03, G04'!$C$3:$G$3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'G03, G04'!$C$10:$G$10</c:f>
              <c:numCache>
                <c:formatCode>#\ ##0.0</c:formatCode>
                <c:ptCount val="5"/>
                <c:pt idx="0">
                  <c:v>51.819032708074666</c:v>
                </c:pt>
                <c:pt idx="1">
                  <c:v>50.992602153169088</c:v>
                </c:pt>
                <c:pt idx="2">
                  <c:v>49.825191919283036</c:v>
                </c:pt>
                <c:pt idx="3">
                  <c:v>47.71238026079277</c:v>
                </c:pt>
                <c:pt idx="4">
                  <c:v>45.399736294003525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E-4AF0-A85A-D9E7A051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05712"/>
        <c:axId val="457806104"/>
      </c:barChart>
      <c:catAx>
        <c:axId val="45780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6104"/>
        <c:crosses val="autoZero"/>
        <c:auto val="1"/>
        <c:lblAlgn val="ctr"/>
        <c:lblOffset val="100"/>
        <c:noMultiLvlLbl val="0"/>
      </c:catAx>
      <c:valAx>
        <c:axId val="457806104"/>
        <c:scaling>
          <c:orientation val="minMax"/>
          <c:max val="53"/>
          <c:min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0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88077941334586"/>
          <c:y val="7.7563496870583504E-2"/>
          <c:w val="0.51941215246679684"/>
          <c:h val="0.15320553228104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67590940919873E-2"/>
          <c:y val="4.7159699892818867E-2"/>
          <c:w val="0.91582004713396892"/>
          <c:h val="0.83730646209416748"/>
        </c:manualLayout>
      </c:layout>
      <c:lineChart>
        <c:grouping val="standard"/>
        <c:varyColors val="0"/>
        <c:ser>
          <c:idx val="4"/>
          <c:order val="0"/>
          <c:tx>
            <c:v>využitie kapacit (priem)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'G44-G49'!$A$3:$A$82</c:f>
              <c:strCache>
                <c:ptCount val="80"/>
                <c:pt idx="0">
                  <c:v>1Q97</c:v>
                </c:pt>
                <c:pt idx="1">
                  <c:v>2Q97</c:v>
                </c:pt>
                <c:pt idx="2">
                  <c:v>3Q97</c:v>
                </c:pt>
                <c:pt idx="3">
                  <c:v>4Q97</c:v>
                </c:pt>
                <c:pt idx="4">
                  <c:v>1Q98</c:v>
                </c:pt>
                <c:pt idx="5">
                  <c:v>2Q98</c:v>
                </c:pt>
                <c:pt idx="6">
                  <c:v>3Q98</c:v>
                </c:pt>
                <c:pt idx="7">
                  <c:v>4Q98</c:v>
                </c:pt>
                <c:pt idx="8">
                  <c:v>1Q99</c:v>
                </c:pt>
                <c:pt idx="9">
                  <c:v>2Q99</c:v>
                </c:pt>
                <c:pt idx="10">
                  <c:v>3Q99</c:v>
                </c:pt>
                <c:pt idx="11">
                  <c:v>4Q99</c:v>
                </c:pt>
                <c:pt idx="12">
                  <c:v>1Q00</c:v>
                </c:pt>
                <c:pt idx="13">
                  <c:v>2Q00</c:v>
                </c:pt>
                <c:pt idx="14">
                  <c:v>3Q00</c:v>
                </c:pt>
                <c:pt idx="15">
                  <c:v>4Q00</c:v>
                </c:pt>
                <c:pt idx="16">
                  <c:v>1Q01</c:v>
                </c:pt>
                <c:pt idx="17">
                  <c:v>2Q01</c:v>
                </c:pt>
                <c:pt idx="18">
                  <c:v>3Q01</c:v>
                </c:pt>
                <c:pt idx="19">
                  <c:v>4Q01</c:v>
                </c:pt>
                <c:pt idx="20">
                  <c:v>1Q02</c:v>
                </c:pt>
                <c:pt idx="21">
                  <c:v>2Q02</c:v>
                </c:pt>
                <c:pt idx="22">
                  <c:v>3Q02</c:v>
                </c:pt>
                <c:pt idx="23">
                  <c:v>4Q02</c:v>
                </c:pt>
                <c:pt idx="24">
                  <c:v>1Q03</c:v>
                </c:pt>
                <c:pt idx="25">
                  <c:v>2Q03</c:v>
                </c:pt>
                <c:pt idx="26">
                  <c:v>3Q03</c:v>
                </c:pt>
                <c:pt idx="27">
                  <c:v>4Q03</c:v>
                </c:pt>
                <c:pt idx="28">
                  <c:v>1Q04</c:v>
                </c:pt>
                <c:pt idx="29">
                  <c:v>2Q04</c:v>
                </c:pt>
                <c:pt idx="30">
                  <c:v>3Q04</c:v>
                </c:pt>
                <c:pt idx="31">
                  <c:v>4Q04</c:v>
                </c:pt>
                <c:pt idx="32">
                  <c:v>1Q05</c:v>
                </c:pt>
                <c:pt idx="33">
                  <c:v>2Q05</c:v>
                </c:pt>
                <c:pt idx="34">
                  <c:v>3Q05</c:v>
                </c:pt>
                <c:pt idx="35">
                  <c:v>4Q05</c:v>
                </c:pt>
                <c:pt idx="36">
                  <c:v>1Q06</c:v>
                </c:pt>
                <c:pt idx="37">
                  <c:v>2Q06</c:v>
                </c:pt>
                <c:pt idx="38">
                  <c:v>3Q06</c:v>
                </c:pt>
                <c:pt idx="39">
                  <c:v>4Q06</c:v>
                </c:pt>
                <c:pt idx="40">
                  <c:v>1Q07</c:v>
                </c:pt>
                <c:pt idx="41">
                  <c:v>2Q07</c:v>
                </c:pt>
                <c:pt idx="42">
                  <c:v>3Q07</c:v>
                </c:pt>
                <c:pt idx="43">
                  <c:v>4Q07</c:v>
                </c:pt>
                <c:pt idx="44">
                  <c:v>1Q08</c:v>
                </c:pt>
                <c:pt idx="45">
                  <c:v>2Q08</c:v>
                </c:pt>
                <c:pt idx="46">
                  <c:v>3Q08</c:v>
                </c:pt>
                <c:pt idx="47">
                  <c:v>4Q08</c:v>
                </c:pt>
                <c:pt idx="48">
                  <c:v>1Q09</c:v>
                </c:pt>
                <c:pt idx="49">
                  <c:v>2Q09</c:v>
                </c:pt>
                <c:pt idx="50">
                  <c:v>3Q09</c:v>
                </c:pt>
                <c:pt idx="51">
                  <c:v>4Q09</c:v>
                </c:pt>
                <c:pt idx="52">
                  <c:v>1Q10</c:v>
                </c:pt>
                <c:pt idx="53">
                  <c:v>2Q10</c:v>
                </c:pt>
                <c:pt idx="54">
                  <c:v>3Q10</c:v>
                </c:pt>
                <c:pt idx="55">
                  <c:v>4Q10</c:v>
                </c:pt>
                <c:pt idx="56">
                  <c:v>1Q11</c:v>
                </c:pt>
                <c:pt idx="57">
                  <c:v>2Q11</c:v>
                </c:pt>
                <c:pt idx="58">
                  <c:v>3Q11</c:v>
                </c:pt>
                <c:pt idx="59">
                  <c:v>4Q11</c:v>
                </c:pt>
                <c:pt idx="60">
                  <c:v>1Q12</c:v>
                </c:pt>
                <c:pt idx="61">
                  <c:v>2Q12</c:v>
                </c:pt>
                <c:pt idx="62">
                  <c:v>3Q12</c:v>
                </c:pt>
                <c:pt idx="63">
                  <c:v>4Q12</c:v>
                </c:pt>
                <c:pt idx="64">
                  <c:v>1Q13</c:v>
                </c:pt>
                <c:pt idx="65">
                  <c:v>2Q13</c:v>
                </c:pt>
                <c:pt idx="66">
                  <c:v>3Q13</c:v>
                </c:pt>
                <c:pt idx="67">
                  <c:v>4Q13</c:v>
                </c:pt>
                <c:pt idx="68">
                  <c:v>1Q14</c:v>
                </c:pt>
                <c:pt idx="69">
                  <c:v>2Q14</c:v>
                </c:pt>
                <c:pt idx="70">
                  <c:v>3Q14</c:v>
                </c:pt>
                <c:pt idx="71">
                  <c:v>4Q14</c:v>
                </c:pt>
                <c:pt idx="72">
                  <c:v>1Q15</c:v>
                </c:pt>
                <c:pt idx="73">
                  <c:v>2Q15</c:v>
                </c:pt>
                <c:pt idx="74">
                  <c:v>3Q15</c:v>
                </c:pt>
                <c:pt idx="75">
                  <c:v>4Q15</c:v>
                </c:pt>
                <c:pt idx="76">
                  <c:v>1Q16</c:v>
                </c:pt>
                <c:pt idx="77">
                  <c:v>2Q16</c:v>
                </c:pt>
                <c:pt idx="78">
                  <c:v>3Q16</c:v>
                </c:pt>
                <c:pt idx="79">
                  <c:v>4Q16</c:v>
                </c:pt>
              </c:strCache>
            </c:strRef>
          </c:cat>
          <c:val>
            <c:numRef>
              <c:f>'G44-G49'!$D$3:$D$81</c:f>
              <c:numCache>
                <c:formatCode>0.00</c:formatCode>
                <c:ptCount val="79"/>
                <c:pt idx="0">
                  <c:v>82</c:v>
                </c:pt>
                <c:pt idx="1">
                  <c:v>82</c:v>
                </c:pt>
                <c:pt idx="2">
                  <c:v>83</c:v>
                </c:pt>
                <c:pt idx="3">
                  <c:v>82</c:v>
                </c:pt>
                <c:pt idx="4">
                  <c:v>83</c:v>
                </c:pt>
                <c:pt idx="5">
                  <c:v>84</c:v>
                </c:pt>
                <c:pt idx="6">
                  <c:v>86</c:v>
                </c:pt>
                <c:pt idx="7">
                  <c:v>84</c:v>
                </c:pt>
                <c:pt idx="8">
                  <c:v>81</c:v>
                </c:pt>
                <c:pt idx="9">
                  <c:v>82</c:v>
                </c:pt>
                <c:pt idx="10">
                  <c:v>83</c:v>
                </c:pt>
                <c:pt idx="11">
                  <c:v>81</c:v>
                </c:pt>
                <c:pt idx="12">
                  <c:v>84</c:v>
                </c:pt>
                <c:pt idx="13">
                  <c:v>85</c:v>
                </c:pt>
                <c:pt idx="14">
                  <c:v>86</c:v>
                </c:pt>
                <c:pt idx="15">
                  <c:v>86</c:v>
                </c:pt>
                <c:pt idx="16">
                  <c:v>86</c:v>
                </c:pt>
                <c:pt idx="17">
                  <c:v>87</c:v>
                </c:pt>
                <c:pt idx="18">
                  <c:v>82</c:v>
                </c:pt>
                <c:pt idx="19">
                  <c:v>81</c:v>
                </c:pt>
                <c:pt idx="20">
                  <c:v>78</c:v>
                </c:pt>
                <c:pt idx="21">
                  <c:v>80</c:v>
                </c:pt>
                <c:pt idx="22">
                  <c:v>80</c:v>
                </c:pt>
                <c:pt idx="23">
                  <c:v>79</c:v>
                </c:pt>
                <c:pt idx="24">
                  <c:v>81</c:v>
                </c:pt>
                <c:pt idx="25">
                  <c:v>82</c:v>
                </c:pt>
                <c:pt idx="26">
                  <c:v>82</c:v>
                </c:pt>
                <c:pt idx="27">
                  <c:v>86</c:v>
                </c:pt>
                <c:pt idx="28">
                  <c:v>84</c:v>
                </c:pt>
                <c:pt idx="29">
                  <c:v>81</c:v>
                </c:pt>
                <c:pt idx="30">
                  <c:v>83</c:v>
                </c:pt>
                <c:pt idx="31">
                  <c:v>86</c:v>
                </c:pt>
                <c:pt idx="32">
                  <c:v>81</c:v>
                </c:pt>
                <c:pt idx="33">
                  <c:v>84</c:v>
                </c:pt>
                <c:pt idx="34">
                  <c:v>84</c:v>
                </c:pt>
                <c:pt idx="35">
                  <c:v>85</c:v>
                </c:pt>
                <c:pt idx="36">
                  <c:v>83</c:v>
                </c:pt>
                <c:pt idx="37">
                  <c:v>84</c:v>
                </c:pt>
                <c:pt idx="38">
                  <c:v>87</c:v>
                </c:pt>
                <c:pt idx="39">
                  <c:v>86</c:v>
                </c:pt>
                <c:pt idx="40">
                  <c:v>88</c:v>
                </c:pt>
                <c:pt idx="41">
                  <c:v>87</c:v>
                </c:pt>
                <c:pt idx="42">
                  <c:v>85</c:v>
                </c:pt>
                <c:pt idx="43">
                  <c:v>88</c:v>
                </c:pt>
                <c:pt idx="44">
                  <c:v>85</c:v>
                </c:pt>
                <c:pt idx="45">
                  <c:v>86</c:v>
                </c:pt>
                <c:pt idx="46">
                  <c:v>84</c:v>
                </c:pt>
                <c:pt idx="47">
                  <c:v>82</c:v>
                </c:pt>
                <c:pt idx="48">
                  <c:v>71</c:v>
                </c:pt>
                <c:pt idx="49">
                  <c:v>69</c:v>
                </c:pt>
                <c:pt idx="50">
                  <c:v>68</c:v>
                </c:pt>
                <c:pt idx="51">
                  <c:v>74</c:v>
                </c:pt>
                <c:pt idx="52">
                  <c:v>74</c:v>
                </c:pt>
                <c:pt idx="53">
                  <c:v>73</c:v>
                </c:pt>
                <c:pt idx="54">
                  <c:v>75</c:v>
                </c:pt>
                <c:pt idx="55">
                  <c:v>84</c:v>
                </c:pt>
                <c:pt idx="56">
                  <c:v>81</c:v>
                </c:pt>
                <c:pt idx="57">
                  <c:v>77</c:v>
                </c:pt>
                <c:pt idx="58">
                  <c:v>76</c:v>
                </c:pt>
                <c:pt idx="59">
                  <c:v>80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75</c:v>
                </c:pt>
                <c:pt idx="65">
                  <c:v>80</c:v>
                </c:pt>
                <c:pt idx="66">
                  <c:v>73</c:v>
                </c:pt>
                <c:pt idx="67">
                  <c:v>80</c:v>
                </c:pt>
                <c:pt idx="68">
                  <c:v>79</c:v>
                </c:pt>
                <c:pt idx="69">
                  <c:v>79</c:v>
                </c:pt>
                <c:pt idx="70" formatCode="General">
                  <c:v>81</c:v>
                </c:pt>
                <c:pt idx="71" formatCode="General">
                  <c:v>83</c:v>
                </c:pt>
                <c:pt idx="72" formatCode="General">
                  <c:v>80</c:v>
                </c:pt>
                <c:pt idx="73" formatCode="General">
                  <c:v>79</c:v>
                </c:pt>
                <c:pt idx="74" formatCode="General">
                  <c:v>85</c:v>
                </c:pt>
                <c:pt idx="75" formatCode="General">
                  <c:v>86</c:v>
                </c:pt>
                <c:pt idx="76" formatCode="General">
                  <c:v>84</c:v>
                </c:pt>
                <c:pt idx="77" formatCode="General">
                  <c:v>82</c:v>
                </c:pt>
                <c:pt idx="78" formatCode="General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4-4449-A703-7FD84CAF6953}"/>
            </c:ext>
          </c:extLst>
        </c:ser>
        <c:ser>
          <c:idx val="0"/>
          <c:order val="1"/>
          <c:tx>
            <c:v>priemer</c:v>
          </c:tx>
          <c:spPr>
            <a:ln w="63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'G44-G49'!$L$3:$L$82</c:f>
              <c:numCache>
                <c:formatCode>0.00</c:formatCode>
                <c:ptCount val="80"/>
                <c:pt idx="0">
                  <c:v>81.512500000000003</c:v>
                </c:pt>
                <c:pt idx="1">
                  <c:v>81.512500000000003</c:v>
                </c:pt>
                <c:pt idx="2">
                  <c:v>81.512500000000003</c:v>
                </c:pt>
                <c:pt idx="3">
                  <c:v>81.512500000000003</c:v>
                </c:pt>
                <c:pt idx="4">
                  <c:v>81.512500000000003</c:v>
                </c:pt>
                <c:pt idx="5">
                  <c:v>81.512500000000003</c:v>
                </c:pt>
                <c:pt idx="6">
                  <c:v>81.512500000000003</c:v>
                </c:pt>
                <c:pt idx="7">
                  <c:v>81.512500000000003</c:v>
                </c:pt>
                <c:pt idx="8">
                  <c:v>81.512500000000003</c:v>
                </c:pt>
                <c:pt idx="9">
                  <c:v>81.512500000000003</c:v>
                </c:pt>
                <c:pt idx="10">
                  <c:v>81.512500000000003</c:v>
                </c:pt>
                <c:pt idx="11">
                  <c:v>81.512500000000003</c:v>
                </c:pt>
                <c:pt idx="12">
                  <c:v>81.512500000000003</c:v>
                </c:pt>
                <c:pt idx="13">
                  <c:v>81.512500000000003</c:v>
                </c:pt>
                <c:pt idx="14">
                  <c:v>81.512500000000003</c:v>
                </c:pt>
                <c:pt idx="15">
                  <c:v>81.512500000000003</c:v>
                </c:pt>
                <c:pt idx="16">
                  <c:v>81.512500000000003</c:v>
                </c:pt>
                <c:pt idx="17">
                  <c:v>81.512500000000003</c:v>
                </c:pt>
                <c:pt idx="18">
                  <c:v>81.512500000000003</c:v>
                </c:pt>
                <c:pt idx="19">
                  <c:v>81.512500000000003</c:v>
                </c:pt>
                <c:pt idx="20">
                  <c:v>81.512500000000003</c:v>
                </c:pt>
                <c:pt idx="21">
                  <c:v>81.512500000000003</c:v>
                </c:pt>
                <c:pt idx="22">
                  <c:v>81.512500000000003</c:v>
                </c:pt>
                <c:pt idx="23">
                  <c:v>81.512500000000003</c:v>
                </c:pt>
                <c:pt idx="24">
                  <c:v>81.512500000000003</c:v>
                </c:pt>
                <c:pt idx="25">
                  <c:v>81.512500000000003</c:v>
                </c:pt>
                <c:pt idx="26">
                  <c:v>81.512500000000003</c:v>
                </c:pt>
                <c:pt idx="27">
                  <c:v>81.512500000000003</c:v>
                </c:pt>
                <c:pt idx="28">
                  <c:v>81.512500000000003</c:v>
                </c:pt>
                <c:pt idx="29">
                  <c:v>81.512500000000003</c:v>
                </c:pt>
                <c:pt idx="30">
                  <c:v>81.512500000000003</c:v>
                </c:pt>
                <c:pt idx="31">
                  <c:v>81.512500000000003</c:v>
                </c:pt>
                <c:pt idx="32">
                  <c:v>81.512500000000003</c:v>
                </c:pt>
                <c:pt idx="33">
                  <c:v>81.512500000000003</c:v>
                </c:pt>
                <c:pt idx="34">
                  <c:v>81.512500000000003</c:v>
                </c:pt>
                <c:pt idx="35">
                  <c:v>81.512500000000003</c:v>
                </c:pt>
                <c:pt idx="36">
                  <c:v>81.512500000000003</c:v>
                </c:pt>
                <c:pt idx="37">
                  <c:v>81.512500000000003</c:v>
                </c:pt>
                <c:pt idx="38">
                  <c:v>81.512500000000003</c:v>
                </c:pt>
                <c:pt idx="39">
                  <c:v>81.512500000000003</c:v>
                </c:pt>
                <c:pt idx="40">
                  <c:v>81.512500000000003</c:v>
                </c:pt>
                <c:pt idx="41">
                  <c:v>81.512500000000003</c:v>
                </c:pt>
                <c:pt idx="42">
                  <c:v>81.512500000000003</c:v>
                </c:pt>
                <c:pt idx="43">
                  <c:v>81.512500000000003</c:v>
                </c:pt>
                <c:pt idx="44">
                  <c:v>81.512500000000003</c:v>
                </c:pt>
                <c:pt idx="45">
                  <c:v>81.512500000000003</c:v>
                </c:pt>
                <c:pt idx="46">
                  <c:v>81.512500000000003</c:v>
                </c:pt>
                <c:pt idx="47">
                  <c:v>81.512500000000003</c:v>
                </c:pt>
                <c:pt idx="48">
                  <c:v>81.512500000000003</c:v>
                </c:pt>
                <c:pt idx="49">
                  <c:v>81.512500000000003</c:v>
                </c:pt>
                <c:pt idx="50">
                  <c:v>81.512500000000003</c:v>
                </c:pt>
                <c:pt idx="51">
                  <c:v>81.512500000000003</c:v>
                </c:pt>
                <c:pt idx="52">
                  <c:v>81.512500000000003</c:v>
                </c:pt>
                <c:pt idx="53">
                  <c:v>81.512500000000003</c:v>
                </c:pt>
                <c:pt idx="54">
                  <c:v>81.512500000000003</c:v>
                </c:pt>
                <c:pt idx="55">
                  <c:v>81.512500000000003</c:v>
                </c:pt>
                <c:pt idx="56">
                  <c:v>81.512500000000003</c:v>
                </c:pt>
                <c:pt idx="57">
                  <c:v>81.512500000000003</c:v>
                </c:pt>
                <c:pt idx="58">
                  <c:v>81.512500000000003</c:v>
                </c:pt>
                <c:pt idx="59">
                  <c:v>81.512500000000003</c:v>
                </c:pt>
                <c:pt idx="60">
                  <c:v>81.512500000000003</c:v>
                </c:pt>
                <c:pt idx="61">
                  <c:v>81.512500000000003</c:v>
                </c:pt>
                <c:pt idx="62">
                  <c:v>81.512500000000003</c:v>
                </c:pt>
                <c:pt idx="63">
                  <c:v>81.512500000000003</c:v>
                </c:pt>
                <c:pt idx="64">
                  <c:v>81.512500000000003</c:v>
                </c:pt>
                <c:pt idx="65">
                  <c:v>81.512500000000003</c:v>
                </c:pt>
                <c:pt idx="66">
                  <c:v>81.512500000000003</c:v>
                </c:pt>
                <c:pt idx="67">
                  <c:v>81.512500000000003</c:v>
                </c:pt>
                <c:pt idx="68">
                  <c:v>81.512500000000003</c:v>
                </c:pt>
                <c:pt idx="69">
                  <c:v>81.512500000000003</c:v>
                </c:pt>
                <c:pt idx="70">
                  <c:v>81.512500000000003</c:v>
                </c:pt>
                <c:pt idx="71">
                  <c:v>81.512500000000003</c:v>
                </c:pt>
                <c:pt idx="72">
                  <c:v>81.512500000000003</c:v>
                </c:pt>
                <c:pt idx="73">
                  <c:v>81.512500000000003</c:v>
                </c:pt>
                <c:pt idx="74">
                  <c:v>81.512500000000003</c:v>
                </c:pt>
                <c:pt idx="75">
                  <c:v>81.512500000000003</c:v>
                </c:pt>
                <c:pt idx="76">
                  <c:v>81.512500000000003</c:v>
                </c:pt>
                <c:pt idx="77">
                  <c:v>81.512500000000003</c:v>
                </c:pt>
                <c:pt idx="78">
                  <c:v>81.512500000000003</c:v>
                </c:pt>
                <c:pt idx="79">
                  <c:v>81.512500000000003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4-4449-A703-7FD84CAF6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17680"/>
        <c:axId val="364617352"/>
      </c:lineChart>
      <c:catAx>
        <c:axId val="36461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352"/>
        <c:crosses val="autoZero"/>
        <c:auto val="1"/>
        <c:lblAlgn val="ctr"/>
        <c:lblOffset val="100"/>
        <c:noMultiLvlLbl val="0"/>
      </c:catAx>
      <c:valAx>
        <c:axId val="364617352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46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259093929970434"/>
          <c:y val="5.573317804727785E-2"/>
          <c:w val="0.32929425095841125"/>
          <c:h val="0.11562709724575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'G50'!$B$2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'G50'!$B$3:$B$7</c:f>
              <c:numCache>
                <c:formatCode>0.000</c:formatCode>
                <c:ptCount val="5"/>
                <c:pt idx="0">
                  <c:v>-2.1911520941153596E-2</c:v>
                </c:pt>
                <c:pt idx="1">
                  <c:v>-1.817820810419116E-2</c:v>
                </c:pt>
                <c:pt idx="2">
                  <c:v>-1.4551706248257973E-2</c:v>
                </c:pt>
                <c:pt idx="3">
                  <c:v>-1.9522921078779235E-2</c:v>
                </c:pt>
                <c:pt idx="4">
                  <c:v>-3.3373363507376769E-2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3-4AE0-8D13-7CB6EBD7A5C9}"/>
            </c:ext>
          </c:extLst>
        </c:ser>
        <c:ser>
          <c:idx val="6"/>
          <c:order val="1"/>
          <c:tx>
            <c:strRef>
              <c:f>'G50'!$C$2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'G50'!$C$3:$C$7</c:f>
              <c:numCache>
                <c:formatCode>0.000</c:formatCode>
                <c:ptCount val="5"/>
                <c:pt idx="1">
                  <c:v>6.5462690513154106E-4</c:v>
                </c:pt>
                <c:pt idx="2">
                  <c:v>2.1314809477979077E-3</c:v>
                </c:pt>
                <c:pt idx="3">
                  <c:v>5.5123419646329521E-3</c:v>
                </c:pt>
                <c:pt idx="4">
                  <c:v>1.0417549395591766E-2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3-4AE0-8D13-7CB6EBD7A5C9}"/>
            </c:ext>
          </c:extLst>
        </c:ser>
        <c:ser>
          <c:idx val="7"/>
          <c:order val="2"/>
          <c:tx>
            <c:strRef>
              <c:f>'G50'!$D$2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'G50'!$D$3:$D$7</c:f>
              <c:numCache>
                <c:formatCode>0.000</c:formatCode>
                <c:ptCount val="5"/>
                <c:pt idx="1">
                  <c:v>4.746252399807499E-4</c:v>
                </c:pt>
                <c:pt idx="2">
                  <c:v>1.5463611914325395E-3</c:v>
                </c:pt>
                <c:pt idx="3">
                  <c:v>4.0222513936730778E-3</c:v>
                </c:pt>
                <c:pt idx="4">
                  <c:v>7.5814169302978584E-3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F3-4AE0-8D13-7CB6EBD7A5C9}"/>
            </c:ext>
          </c:extLst>
        </c:ser>
        <c:ser>
          <c:idx val="8"/>
          <c:order val="3"/>
          <c:tx>
            <c:strRef>
              <c:f>'G50'!$E$2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'G50'!$E$3:$E$7</c:f>
              <c:numCache>
                <c:formatCode>0.000</c:formatCode>
                <c:ptCount val="5"/>
                <c:pt idx="1">
                  <c:v>7.894169279313544E-4</c:v>
                </c:pt>
                <c:pt idx="2">
                  <c:v>2.5738671327360432E-3</c:v>
                </c:pt>
                <c:pt idx="3">
                  <c:v>6.7399109835591898E-3</c:v>
                </c:pt>
                <c:pt idx="4">
                  <c:v>1.2671346475653215E-2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F3-4AE0-8D13-7CB6EBD7A5C9}"/>
            </c:ext>
          </c:extLst>
        </c:ser>
        <c:ser>
          <c:idx val="5"/>
          <c:order val="4"/>
          <c:tx>
            <c:strRef>
              <c:f>'G50'!$F$2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'G50'!$F$3:$F$7</c:f>
              <c:numCache>
                <c:formatCode>0.000</c:formatCode>
                <c:ptCount val="5"/>
                <c:pt idx="1">
                  <c:v>3.520831127688806E-4</c:v>
                </c:pt>
                <c:pt idx="2">
                  <c:v>1.2283941364540259E-3</c:v>
                </c:pt>
                <c:pt idx="3">
                  <c:v>3.2984297464018712E-3</c:v>
                </c:pt>
                <c:pt idx="4">
                  <c:v>6.227595070706202E-3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F3-4AE0-8D13-7CB6EBD7A5C9}"/>
            </c:ext>
          </c:extLst>
        </c:ser>
        <c:ser>
          <c:idx val="2"/>
          <c:order val="5"/>
          <c:tx>
            <c:strRef>
              <c:f>'G50'!$G$2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'G50'!$G$3:$G$7</c:f>
              <c:numCache>
                <c:formatCode>0.000</c:formatCode>
                <c:ptCount val="5"/>
                <c:pt idx="1">
                  <c:v>4.0743785175377176E-4</c:v>
                </c:pt>
                <c:pt idx="2">
                  <c:v>1.3458250097835899E-3</c:v>
                </c:pt>
                <c:pt idx="3">
                  <c:v>3.5927780460989272E-3</c:v>
                </c:pt>
                <c:pt idx="4">
                  <c:v>6.7687809133619853E-3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F3-4AE0-8D13-7CB6EBD7A5C9}"/>
            </c:ext>
          </c:extLst>
        </c:ser>
        <c:ser>
          <c:idx val="3"/>
          <c:order val="6"/>
          <c:tx>
            <c:strRef>
              <c:f>'G50'!$H$2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'G50'!$H$3:$H$7</c:f>
              <c:numCache>
                <c:formatCode>0.000</c:formatCode>
                <c:ptCount val="5"/>
                <c:pt idx="1">
                  <c:v>4.7166284906017229E-4</c:v>
                </c:pt>
                <c:pt idx="2">
                  <c:v>1.5812525497580004E-3</c:v>
                </c:pt>
                <c:pt idx="3">
                  <c:v>4.2763887611055769E-3</c:v>
                </c:pt>
                <c:pt idx="4">
                  <c:v>8.0850050455633163E-3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F3-4AE0-8D13-7CB6EBD7A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'G50'!$I$2</c:f>
              <c:strCache>
                <c:ptCount val="1"/>
                <c:pt idx="0">
                  <c:v>NRVS 2018-2020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'G50'!$A$3:$A$7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'G50'!$I$3:$I$7</c:f>
              <c:numCache>
                <c:formatCode>0.000</c:formatCode>
                <c:ptCount val="5"/>
                <c:pt idx="0">
                  <c:v>-2.1911520941153596E-2</c:v>
                </c:pt>
                <c:pt idx="1">
                  <c:v>-1.6259539031147515E-2</c:v>
                </c:pt>
                <c:pt idx="2">
                  <c:v>-8.2999969762914821E-3</c:v>
                </c:pt>
                <c:pt idx="3">
                  <c:v>-3.2484167369140155E-3</c:v>
                </c:pt>
                <c:pt idx="4">
                  <c:v>-2.7030507058339297E-3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F3-4AE0-8D13-7CB6EBD7A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deficit 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2716214771796058"/>
              <c:y val="4.9358680555555548E-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968688345094588"/>
          <c:y val="5.8634999615276101E-2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'G51'!$B$2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'G51'!$B$3:$B$7</c:f>
              <c:numCache>
                <c:formatCode>0.000</c:formatCode>
                <c:ptCount val="5"/>
                <c:pt idx="0">
                  <c:v>0.51944511873094101</c:v>
                </c:pt>
                <c:pt idx="1">
                  <c:v>0.50436487087228599</c:v>
                </c:pt>
                <c:pt idx="2">
                  <c:v>0.48552758401434676</c:v>
                </c:pt>
                <c:pt idx="3">
                  <c:v>0.4450356279533248</c:v>
                </c:pt>
                <c:pt idx="4">
                  <c:v>0.40145741881925123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72B-A202-B72EB63BBE0B}"/>
            </c:ext>
          </c:extLst>
        </c:ser>
        <c:ser>
          <c:idx val="6"/>
          <c:order val="1"/>
          <c:tx>
            <c:strRef>
              <c:f>'G51'!$C$2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'G51'!$C$3:$C$7</c:f>
              <c:numCache>
                <c:formatCode>0.000</c:formatCode>
                <c:ptCount val="5"/>
                <c:pt idx="1">
                  <c:v>2.318755944926032E-3</c:v>
                </c:pt>
                <c:pt idx="2">
                  <c:v>4.7405048089187996E-3</c:v>
                </c:pt>
                <c:pt idx="3">
                  <c:v>1.1200009621406437E-2</c:v>
                </c:pt>
                <c:pt idx="4">
                  <c:v>1.8037613008513476E-2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72B-A202-B72EB63BBE0B}"/>
            </c:ext>
          </c:extLst>
        </c:ser>
        <c:ser>
          <c:idx val="7"/>
          <c:order val="2"/>
          <c:tx>
            <c:strRef>
              <c:f>'G51'!$D$2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'G51'!$D$3:$D$7</c:f>
              <c:numCache>
                <c:formatCode>0.000</c:formatCode>
                <c:ptCount val="5"/>
                <c:pt idx="1">
                  <c:v>1.6811715011869621E-3</c:v>
                </c:pt>
                <c:pt idx="2">
                  <c:v>3.4446072269450068E-3</c:v>
                </c:pt>
                <c:pt idx="3">
                  <c:v>8.2106476462585065E-3</c:v>
                </c:pt>
                <c:pt idx="4">
                  <c:v>1.3243859101810695E-2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A-472B-A202-B72EB63BBE0B}"/>
            </c:ext>
          </c:extLst>
        </c:ser>
        <c:ser>
          <c:idx val="8"/>
          <c:order val="3"/>
          <c:tx>
            <c:strRef>
              <c:f>'G51'!$E$2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'G51'!$E$3:$E$7</c:f>
              <c:numCache>
                <c:formatCode>0.000</c:formatCode>
                <c:ptCount val="5"/>
                <c:pt idx="1">
                  <c:v>2.7961960932512131E-3</c:v>
                </c:pt>
                <c:pt idx="2">
                  <c:v>5.7435113070473665E-3</c:v>
                </c:pt>
                <c:pt idx="3">
                  <c:v>1.3829849143041528E-2</c:v>
                </c:pt>
                <c:pt idx="4">
                  <c:v>2.2356684783458147E-2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A-472B-A202-B72EB63BBE0B}"/>
            </c:ext>
          </c:extLst>
        </c:ser>
        <c:ser>
          <c:idx val="5"/>
          <c:order val="4"/>
          <c:tx>
            <c:strRef>
              <c:f>'G51'!$F$2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'G51'!$F$3:$F$7</c:f>
              <c:numCache>
                <c:formatCode>0.000</c:formatCode>
                <c:ptCount val="5"/>
                <c:pt idx="1">
                  <c:v>2.3742505430904837E-3</c:v>
                </c:pt>
                <c:pt idx="2">
                  <c:v>4.4381113273368467E-3</c:v>
                </c:pt>
                <c:pt idx="3">
                  <c:v>1.060348632198127E-2</c:v>
                </c:pt>
                <c:pt idx="4">
                  <c:v>1.634085216507003E-2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A-472B-A202-B72EB63BBE0B}"/>
            </c:ext>
          </c:extLst>
        </c:ser>
        <c:ser>
          <c:idx val="2"/>
          <c:order val="5"/>
          <c:tx>
            <c:strRef>
              <c:f>'G51'!$G$2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'G51'!$G$3:$G$7</c:f>
              <c:numCache>
                <c:formatCode>0.000</c:formatCode>
                <c:ptCount val="5"/>
                <c:pt idx="1">
                  <c:v>1.6382333970421659E-3</c:v>
                </c:pt>
                <c:pt idx="2">
                  <c:v>3.3072233383966143E-3</c:v>
                </c:pt>
                <c:pt idx="3">
                  <c:v>8.1203466380946887E-3</c:v>
                </c:pt>
                <c:pt idx="4">
                  <c:v>1.3106337194544515E-2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5A-472B-A202-B72EB63BBE0B}"/>
            </c:ext>
          </c:extLst>
        </c:ser>
        <c:ser>
          <c:idx val="3"/>
          <c:order val="6"/>
          <c:tx>
            <c:strRef>
              <c:f>'G51'!$H$2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'G51'!$H$3:$H$7</c:f>
              <c:numCache>
                <c:formatCode>0.000</c:formatCode>
                <c:ptCount val="5"/>
                <c:pt idx="1">
                  <c:v>2.1880652604292505E-3</c:v>
                </c:pt>
                <c:pt idx="2">
                  <c:v>4.3264285392624613E-3</c:v>
                </c:pt>
                <c:pt idx="3">
                  <c:v>1.0695958777752201E-2</c:v>
                </c:pt>
                <c:pt idx="4">
                  <c:v>1.7163673692131176E-2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5A-472B-A202-B72EB63B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'G51'!$I$2</c:f>
              <c:strCache>
                <c:ptCount val="1"/>
                <c:pt idx="0">
                  <c:v>NRVS 2018-2020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'G51'!$A$3:$A$7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'G51'!$I$3:$I$7</c:f>
              <c:numCache>
                <c:formatCode>0.000</c:formatCode>
                <c:ptCount val="5"/>
                <c:pt idx="0">
                  <c:v>0.51944511873094101</c:v>
                </c:pt>
                <c:pt idx="1">
                  <c:v>0.51116099441165019</c:v>
                </c:pt>
                <c:pt idx="2">
                  <c:v>0.49945620735725793</c:v>
                </c:pt>
                <c:pt idx="3">
                  <c:v>0.47827613436403127</c:v>
                </c:pt>
                <c:pt idx="4">
                  <c:v>0.45509557571303355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5A-472B-A202-B72EB63B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dlh </a:t>
                </a:r>
                <a:r>
                  <a:rPr lang="en-US"/>
                  <a:t>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0456334958289966"/>
              <c:y val="0.2367223382833828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920396632828343"/>
          <c:y val="0.68608591560361776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'G52'!$B$2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'G52'!$B$3:$B$7</c:f>
              <c:numCache>
                <c:formatCode>0.000</c:formatCode>
                <c:ptCount val="5"/>
                <c:pt idx="0">
                  <c:v>1</c:v>
                </c:pt>
                <c:pt idx="1">
                  <c:v>1.0470884116365109</c:v>
                </c:pt>
                <c:pt idx="2">
                  <c:v>1.0918234580677355</c:v>
                </c:pt>
                <c:pt idx="3">
                  <c:v>1.1244252945697242</c:v>
                </c:pt>
                <c:pt idx="4">
                  <c:v>1.1477725417752775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4-40DA-83A3-E0B69B399325}"/>
            </c:ext>
          </c:extLst>
        </c:ser>
        <c:ser>
          <c:idx val="6"/>
          <c:order val="1"/>
          <c:tx>
            <c:strRef>
              <c:f>'G52'!$C$2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'G52'!$C$3:$C$7</c:f>
              <c:numCache>
                <c:formatCode>0.000</c:formatCode>
                <c:ptCount val="5"/>
                <c:pt idx="1">
                  <c:v>1.4410401585682742E-3</c:v>
                </c:pt>
                <c:pt idx="2">
                  <c:v>5.6820038115574789E-3</c:v>
                </c:pt>
                <c:pt idx="3">
                  <c:v>1.5609406963921213E-2</c:v>
                </c:pt>
                <c:pt idx="4">
                  <c:v>3.0621825230533917E-2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4-40DA-83A3-E0B69B399325}"/>
            </c:ext>
          </c:extLst>
        </c:ser>
        <c:ser>
          <c:idx val="7"/>
          <c:order val="2"/>
          <c:tx>
            <c:strRef>
              <c:f>'G52'!$D$2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'G52'!$D$3:$D$7</c:f>
              <c:numCache>
                <c:formatCode>0.000</c:formatCode>
                <c:ptCount val="5"/>
                <c:pt idx="1">
                  <c:v>1.2313156821708304E-3</c:v>
                </c:pt>
                <c:pt idx="2">
                  <c:v>4.8641644144056251E-3</c:v>
                </c:pt>
                <c:pt idx="3">
                  <c:v>1.3427235142400962E-2</c:v>
                </c:pt>
                <c:pt idx="4">
                  <c:v>2.6577470728665453E-2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44-40DA-83A3-E0B69B399325}"/>
            </c:ext>
          </c:extLst>
        </c:ser>
        <c:ser>
          <c:idx val="8"/>
          <c:order val="3"/>
          <c:tx>
            <c:strRef>
              <c:f>'G52'!$E$2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'G52'!$E$3:$E$7</c:f>
              <c:numCache>
                <c:formatCode>0.000</c:formatCode>
                <c:ptCount val="5"/>
                <c:pt idx="1">
                  <c:v>3.5330779925286659E-3</c:v>
                </c:pt>
                <c:pt idx="2">
                  <c:v>1.4003559928464249E-2</c:v>
                </c:pt>
                <c:pt idx="3">
                  <c:v>3.8987462646402182E-2</c:v>
                </c:pt>
                <c:pt idx="4">
                  <c:v>7.8396367029037961E-2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4-40DA-83A3-E0B69B399325}"/>
            </c:ext>
          </c:extLst>
        </c:ser>
        <c:ser>
          <c:idx val="5"/>
          <c:order val="4"/>
          <c:tx>
            <c:strRef>
              <c:f>'G52'!$F$2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'G52'!$F$3:$F$7</c:f>
              <c:numCache>
                <c:formatCode>0.000</c:formatCode>
                <c:ptCount val="5"/>
                <c:pt idx="1">
                  <c:v>1.4410401585682742E-3</c:v>
                </c:pt>
                <c:pt idx="2">
                  <c:v>5.7314730483652987E-3</c:v>
                </c:pt>
                <c:pt idx="3">
                  <c:v>1.6098495174535099E-2</c:v>
                </c:pt>
                <c:pt idx="4">
                  <c:v>3.2896970780982748E-2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44-40DA-83A3-E0B69B399325}"/>
            </c:ext>
          </c:extLst>
        </c:ser>
        <c:ser>
          <c:idx val="2"/>
          <c:order val="5"/>
          <c:tx>
            <c:strRef>
              <c:f>'G52'!$G$2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'G52'!$G$3:$G$7</c:f>
              <c:numCache>
                <c:formatCode>0.000</c:formatCode>
                <c:ptCount val="5"/>
                <c:pt idx="1">
                  <c:v>1.9984737239582273E-3</c:v>
                </c:pt>
                <c:pt idx="2">
                  <c:v>7.9675759424495673E-3</c:v>
                </c:pt>
                <c:pt idx="3">
                  <c:v>2.2515219134925823E-2</c:v>
                </c:pt>
                <c:pt idx="4">
                  <c:v>4.6518632553697703E-2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44-40DA-83A3-E0B69B39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6"/>
          <c:tx>
            <c:strRef>
              <c:f>'G52'!$H$2</c:f>
              <c:strCache>
                <c:ptCount val="1"/>
                <c:pt idx="0">
                  <c:v>VpDP (sept. 2017)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9.032327922942128E-2"/>
                  <c:y val="-1.964566284591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4-40DA-83A3-E0B69B39932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'G52'!$A$3:$A$7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'G52'!$H$3:$H$7</c:f>
              <c:numCache>
                <c:formatCode>0.000</c:formatCode>
                <c:ptCount val="5"/>
                <c:pt idx="0">
                  <c:v>1</c:v>
                </c:pt>
                <c:pt idx="1">
                  <c:v>1.0509116486324288</c:v>
                </c:pt>
                <c:pt idx="2">
                  <c:v>1.1069236272093688</c:v>
                </c:pt>
                <c:pt idx="3">
                  <c:v>1.1660868602422294</c:v>
                </c:pt>
                <c:pt idx="4">
                  <c:v>1.2301593832444944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44-40DA-83A3-E0B69B39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1.4"/>
          <c:min val="0.9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kumulatívny index 2016=1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2008424256036628E-2"/>
              <c:y val="3.6286677204234737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  <c:majorUnit val="0.1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920396632828343"/>
          <c:y val="0.68608591560361776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'G53'!$B$2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'G53'!$B$3:$B$7</c:f>
              <c:numCache>
                <c:formatCode>0.000</c:formatCode>
                <c:ptCount val="5"/>
                <c:pt idx="0">
                  <c:v>23726.602355146584</c:v>
                </c:pt>
                <c:pt idx="1">
                  <c:v>25155.608112181537</c:v>
                </c:pt>
                <c:pt idx="2">
                  <c:v>26188.310600900411</c:v>
                </c:pt>
                <c:pt idx="3">
                  <c:v>26995.758825671408</c:v>
                </c:pt>
                <c:pt idx="4">
                  <c:v>27565.047053808496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0-4980-9070-9D7F54133131}"/>
            </c:ext>
          </c:extLst>
        </c:ser>
        <c:ser>
          <c:idx val="6"/>
          <c:order val="1"/>
          <c:tx>
            <c:strRef>
              <c:f>'G53'!$C$2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'G53'!$C$3:$C$7</c:f>
              <c:numCache>
                <c:formatCode>0.000</c:formatCode>
                <c:ptCount val="5"/>
                <c:pt idx="1">
                  <c:v>43.731665841878566</c:v>
                </c:pt>
                <c:pt idx="2">
                  <c:v>142.04269154523718</c:v>
                </c:pt>
                <c:pt idx="3">
                  <c:v>388.14451496325273</c:v>
                </c:pt>
                <c:pt idx="4">
                  <c:v>754.65766860250369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0-4980-9070-9D7F54133131}"/>
            </c:ext>
          </c:extLst>
        </c:ser>
        <c:ser>
          <c:idx val="7"/>
          <c:order val="2"/>
          <c:tx>
            <c:strRef>
              <c:f>'G53'!$D$2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'G53'!$D$3:$D$7</c:f>
              <c:numCache>
                <c:formatCode>0.000</c:formatCode>
                <c:ptCount val="5"/>
                <c:pt idx="1">
                  <c:v>37.367096009355009</c:v>
                </c:pt>
                <c:pt idx="2">
                  <c:v>121.63565210689922</c:v>
                </c:pt>
                <c:pt idx="3">
                  <c:v>333.9995739527767</c:v>
                </c:pt>
                <c:pt idx="4">
                  <c:v>655.32592171685974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0-4980-9070-9D7F54133131}"/>
            </c:ext>
          </c:extLst>
        </c:ser>
        <c:ser>
          <c:idx val="8"/>
          <c:order val="3"/>
          <c:tx>
            <c:strRef>
              <c:f>'G53'!$E$2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'G53'!$E$3:$E$7</c:f>
              <c:numCache>
                <c:formatCode>0.000</c:formatCode>
                <c:ptCount val="5"/>
                <c:pt idx="1">
                  <c:v>107.21934794382105</c:v>
                </c:pt>
                <c:pt idx="2">
                  <c:v>350.37322024632158</c:v>
                </c:pt>
                <c:pt idx="3">
                  <c:v>970.40900247010359</c:v>
                </c:pt>
                <c:pt idx="4">
                  <c:v>1934.801873561908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F0-4980-9070-9D7F54133131}"/>
            </c:ext>
          </c:extLst>
        </c:ser>
        <c:ser>
          <c:idx val="5"/>
          <c:order val="4"/>
          <c:tx>
            <c:strRef>
              <c:f>'G53'!$F$2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'G53'!$F$3:$F$7</c:f>
              <c:numCache>
                <c:formatCode>0.000</c:formatCode>
                <c:ptCount val="5"/>
                <c:pt idx="1">
                  <c:v>43.731665841878566</c:v>
                </c:pt>
                <c:pt idx="2">
                  <c:v>143.48524199793246</c:v>
                </c:pt>
                <c:pt idx="3">
                  <c:v>400.95435882468519</c:v>
                </c:pt>
                <c:pt idx="4">
                  <c:v>812.646042668468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F0-4980-9070-9D7F54133131}"/>
            </c:ext>
          </c:extLst>
        </c:ser>
        <c:ser>
          <c:idx val="2"/>
          <c:order val="5"/>
          <c:tx>
            <c:strRef>
              <c:f>'G53'!$G$2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'G53'!$G$3:$G$7</c:f>
              <c:numCache>
                <c:formatCode>0.000</c:formatCode>
                <c:ptCount val="5"/>
                <c:pt idx="1">
                  <c:v>60.648264776147698</c:v>
                </c:pt>
                <c:pt idx="2">
                  <c:v>199.54367196677777</c:v>
                </c:pt>
                <c:pt idx="3">
                  <c:v>561.02025633408266</c:v>
                </c:pt>
                <c:pt idx="4">
                  <c:v>1149.8720753937814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F0-4980-9070-9D7F5413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6"/>
          <c:tx>
            <c:strRef>
              <c:f>'G53'!$H$2</c:f>
              <c:strCache>
                <c:ptCount val="1"/>
                <c:pt idx="0">
                  <c:v>VpDP (sept. 2017)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692905832349181E-2"/>
                  <c:y val="-0.10714563413857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0-4980-9070-9D7F54133131}"/>
                </c:ext>
              </c:extLst>
            </c:dLbl>
            <c:dLbl>
              <c:idx val="4"/>
              <c:layout>
                <c:manualLayout>
                  <c:x val="-9.032327922942128E-2"/>
                  <c:y val="-1.964566284591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0-4980-9070-9D7F5413313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'G53'!$A$3:$A$7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'G53'!$H$3:$H$7</c:f>
              <c:numCache>
                <c:formatCode>0.000</c:formatCode>
                <c:ptCount val="5"/>
                <c:pt idx="0">
                  <c:v>23726.602355146584</c:v>
                </c:pt>
                <c:pt idx="1">
                  <c:v>25271.633000000002</c:v>
                </c:pt>
                <c:pt idx="2">
                  <c:v>26565.9</c:v>
                </c:pt>
                <c:pt idx="3">
                  <c:v>28032.043000000001</c:v>
                </c:pt>
                <c:pt idx="4">
                  <c:v>29596.368999999999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0-4980-9070-9D7F5413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2200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mil. eur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2008424256036628E-2"/>
              <c:y val="3.6286677204234737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658954112715945"/>
          <c:y val="6.1086266047812955E-2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37028822101466E-2"/>
          <c:y val="0.12996228412624891"/>
          <c:w val="0.90496297117789859"/>
          <c:h val="0.825919407132931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'G54,G55'!$A$22</c:f>
              <c:strCache>
                <c:ptCount val="1"/>
                <c:pt idx="0">
                  <c:v>obce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'G54,G55'!$B$21:$J$21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'G54,G55'!$B$22:$J$22</c:f>
              <c:numCache>
                <c:formatCode>General</c:formatCode>
                <c:ptCount val="9"/>
                <c:pt idx="0">
                  <c:v>4.1159999999999997</c:v>
                </c:pt>
                <c:pt idx="1">
                  <c:v>-282.83800000000002</c:v>
                </c:pt>
                <c:pt idx="2">
                  <c:v>-541.95399999999995</c:v>
                </c:pt>
                <c:pt idx="3">
                  <c:v>29.529</c:v>
                </c:pt>
                <c:pt idx="4">
                  <c:v>82.281999999999996</c:v>
                </c:pt>
                <c:pt idx="5">
                  <c:v>115.95099999999999</c:v>
                </c:pt>
                <c:pt idx="6">
                  <c:v>-11.099</c:v>
                </c:pt>
                <c:pt idx="7">
                  <c:v>64.558000000000007</c:v>
                </c:pt>
                <c:pt idx="8">
                  <c:v>348.27399026999802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142-9029-C6BB07060457}"/>
            </c:ext>
          </c:extLst>
        </c:ser>
        <c:ser>
          <c:idx val="1"/>
          <c:order val="1"/>
          <c:tx>
            <c:strRef>
              <c:f>'G54,G55'!$A$23</c:f>
              <c:strCache>
                <c:ptCount val="1"/>
                <c:pt idx="0">
                  <c:v>verejná správa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'G54,G55'!$B$21:$J$21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'G54,G55'!$B$23:$J$23</c:f>
              <c:numCache>
                <c:formatCode>General</c:formatCode>
                <c:ptCount val="9"/>
                <c:pt idx="0">
                  <c:v>-1662.8050000000003</c:v>
                </c:pt>
                <c:pt idx="1">
                  <c:v>-4996.4929999999986</c:v>
                </c:pt>
                <c:pt idx="2">
                  <c:v>-5058.107</c:v>
                </c:pt>
                <c:pt idx="3">
                  <c:v>-3020.6909999999989</c:v>
                </c:pt>
                <c:pt idx="4">
                  <c:v>-3158.8849999999984</c:v>
                </c:pt>
                <c:pt idx="5">
                  <c:v>-2017.4120000000003</c:v>
                </c:pt>
                <c:pt idx="6">
                  <c:v>-2056.1159999999982</c:v>
                </c:pt>
                <c:pt idx="7">
                  <c:v>-2159.5899999999965</c:v>
                </c:pt>
                <c:pt idx="8">
                  <c:v>-1773.9130000000005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142-9029-C6BB0706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1077608"/>
        <c:axId val="631125824"/>
      </c:barChart>
      <c:catAx>
        <c:axId val="63107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31125824"/>
        <c:crosses val="autoZero"/>
        <c:auto val="1"/>
        <c:lblAlgn val="ctr"/>
        <c:lblOffset val="100"/>
        <c:noMultiLvlLbl val="0"/>
      </c:catAx>
      <c:valAx>
        <c:axId val="631125824"/>
        <c:scaling>
          <c:orientation val="minMax"/>
          <c:min val="-5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3107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559901590027467"/>
          <c:y val="0.81745447203714916"/>
          <c:w val="0.37440100060748116"/>
          <c:h val="8.789124015748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37140767328318E-2"/>
          <c:y val="0.14037893700787402"/>
          <c:w val="0.90496297117789859"/>
          <c:h val="0.82591940713293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'G54,G55'!$A$30</c:f>
              <c:strCache>
                <c:ptCount val="1"/>
                <c:pt idx="0">
                  <c:v>rozpočet 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'G54,G55'!$B$21:$J$21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'G54,G55'!$B$30:$J$30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-75.858999999999995</c:v>
                </c:pt>
                <c:pt idx="4">
                  <c:v>-25.218</c:v>
                </c:pt>
                <c:pt idx="5">
                  <c:v>136.17500000000001</c:v>
                </c:pt>
                <c:pt idx="6">
                  <c:v>22.356999999999999</c:v>
                </c:pt>
                <c:pt idx="7">
                  <c:v>145.03700000000001</c:v>
                </c:pt>
                <c:pt idx="8">
                  <c:v>109.88200000000001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5-43D6-AAB9-D2A98881F615}"/>
            </c:ext>
          </c:extLst>
        </c:ser>
        <c:ser>
          <c:idx val="0"/>
          <c:order val="1"/>
          <c:tx>
            <c:strRef>
              <c:f>'G54,G55'!$A$29</c:f>
              <c:strCache>
                <c:ptCount val="1"/>
                <c:pt idx="0">
                  <c:v>skutočnosť 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'G54,G55'!$B$21:$J$21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'G54,G55'!$B$22:$J$22</c:f>
              <c:numCache>
                <c:formatCode>General</c:formatCode>
                <c:ptCount val="9"/>
                <c:pt idx="0">
                  <c:v>4.1159999999999997</c:v>
                </c:pt>
                <c:pt idx="1">
                  <c:v>-282.83800000000002</c:v>
                </c:pt>
                <c:pt idx="2">
                  <c:v>-541.95399999999995</c:v>
                </c:pt>
                <c:pt idx="3">
                  <c:v>29.529</c:v>
                </c:pt>
                <c:pt idx="4">
                  <c:v>82.281999999999996</c:v>
                </c:pt>
                <c:pt idx="5">
                  <c:v>115.95099999999999</c:v>
                </c:pt>
                <c:pt idx="6">
                  <c:v>-11.099</c:v>
                </c:pt>
                <c:pt idx="7">
                  <c:v>64.558000000000007</c:v>
                </c:pt>
                <c:pt idx="8">
                  <c:v>348.27399026999802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5-43D6-AAB9-D2A98881F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1077608"/>
        <c:axId val="631125824"/>
      </c:barChart>
      <c:catAx>
        <c:axId val="63107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31125824"/>
        <c:crosses val="autoZero"/>
        <c:auto val="1"/>
        <c:lblAlgn val="ctr"/>
        <c:lblOffset val="100"/>
        <c:noMultiLvlLbl val="0"/>
      </c:catAx>
      <c:valAx>
        <c:axId val="6311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3107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810113252225426"/>
          <c:y val="0.77578781167979005"/>
          <c:w val="0.37440100060748116"/>
          <c:h val="8.789124015748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144356955376E-2"/>
          <c:y val="5.0925925925925923E-2"/>
          <c:w val="0.88859930008748911"/>
          <c:h val="0.84688247302420527"/>
        </c:manualLayout>
      </c:layout>
      <c:barChart>
        <c:barDir val="col"/>
        <c:grouping val="stacked"/>
        <c:varyColors val="0"/>
        <c:ser>
          <c:idx val="11"/>
          <c:order val="1"/>
          <c:tx>
            <c:strRef>
              <c:f>'G56'!$A$3</c:f>
              <c:strCache>
                <c:ptCount val="1"/>
                <c:pt idx="0">
                  <c:v>Kapitálové výdavky (bez obrany)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9-4D03-BD03-76EAEAC1102D}"/>
              </c:ext>
            </c:extLst>
          </c:dPt>
          <c:dPt>
            <c:idx val="9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A9-4D03-BD03-76EAEAC1102D}"/>
              </c:ext>
            </c:extLst>
          </c:dPt>
          <c:dPt>
            <c:idx val="1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A9-4D03-BD03-76EAEAC1102D}"/>
              </c:ext>
            </c:extLst>
          </c:dPt>
          <c:dPt>
            <c:idx val="11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9-4D03-BD03-76EAEAC1102D}"/>
              </c:ext>
            </c:extLst>
          </c:dPt>
          <c:cat>
            <c:numRef>
              <c:f>'G56'!$B$2:$N$2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'G56'!$B$3:$N$3</c:f>
              <c:numCache>
                <c:formatCode>#\ ##0.0</c:formatCode>
                <c:ptCount val="13"/>
                <c:pt idx="0">
                  <c:v>0.66380110845709539</c:v>
                </c:pt>
                <c:pt idx="1">
                  <c:v>0.67599998906644643</c:v>
                </c:pt>
                <c:pt idx="2">
                  <c:v>0.55682969281104755</c:v>
                </c:pt>
                <c:pt idx="3">
                  <c:v>0.58560921429704138</c:v>
                </c:pt>
                <c:pt idx="4">
                  <c:v>0.44049164620685388</c:v>
                </c:pt>
                <c:pt idx="5">
                  <c:v>0.32324493763642664</c:v>
                </c:pt>
                <c:pt idx="6">
                  <c:v>0.30248476102607769</c:v>
                </c:pt>
                <c:pt idx="7">
                  <c:v>0.37997050215219019</c:v>
                </c:pt>
                <c:pt idx="8">
                  <c:v>0.49512422027532149</c:v>
                </c:pt>
                <c:pt idx="9">
                  <c:v>0.48903134014402044</c:v>
                </c:pt>
                <c:pt idx="10">
                  <c:v>0.32472297810527112</c:v>
                </c:pt>
                <c:pt idx="11">
                  <c:v>0.2421278317173349</c:v>
                </c:pt>
                <c:pt idx="12">
                  <c:v>0.23013357883401148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9-4D03-BD03-76EAEAC1102D}"/>
            </c:ext>
          </c:extLst>
        </c:ser>
        <c:ser>
          <c:idx val="2"/>
          <c:order val="2"/>
          <c:tx>
            <c:strRef>
              <c:f>'G56'!$A$6</c:f>
              <c:strCache>
                <c:ptCount val="1"/>
                <c:pt idx="0">
                  <c:v>Riziká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'G56'!$B$2:$N$2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'G56'!$B$6:$N$6</c:f>
              <c:numCache>
                <c:formatCode>General</c:formatCode>
                <c:ptCount val="13"/>
                <c:pt idx="9" formatCode="#\ ##0.0">
                  <c:v>0</c:v>
                </c:pt>
                <c:pt idx="10" formatCode="#\ ##0.0">
                  <c:v>6.6783252109006652E-2</c:v>
                </c:pt>
                <c:pt idx="11" formatCode="#\ ##0.0">
                  <c:v>0.14937839849694295</c:v>
                </c:pt>
                <c:pt idx="12" formatCode="#\ ##0.0">
                  <c:v>0.16137265138026627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9-4D03-BD03-76EAEAC1102D}"/>
            </c:ext>
          </c:extLst>
        </c:ser>
        <c:ser>
          <c:idx val="0"/>
          <c:order val="3"/>
          <c:tx>
            <c:strRef>
              <c:f>'G56'!$A$4</c:f>
              <c:strCache>
                <c:ptCount val="1"/>
                <c:pt idx="0">
                  <c:v>Obrana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'G56'!$B$2:$N$2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'G56'!$B$4:$N$4</c:f>
              <c:numCache>
                <c:formatCode>#\ ##0.0</c:formatCode>
                <c:ptCount val="13"/>
                <c:pt idx="0">
                  <c:v>3.9648657645609091E-2</c:v>
                </c:pt>
                <c:pt idx="1">
                  <c:v>6.5559149744389145E-2</c:v>
                </c:pt>
                <c:pt idx="2">
                  <c:v>4.3268967537915835E-2</c:v>
                </c:pt>
                <c:pt idx="3">
                  <c:v>6.3190951927869152E-3</c:v>
                </c:pt>
                <c:pt idx="4">
                  <c:v>5.8690434435756189E-3</c:v>
                </c:pt>
                <c:pt idx="5">
                  <c:v>6.0428826248923083E-3</c:v>
                </c:pt>
                <c:pt idx="6">
                  <c:v>1.1343474249485463E-2</c:v>
                </c:pt>
                <c:pt idx="7">
                  <c:v>0.2278621077767807</c:v>
                </c:pt>
                <c:pt idx="8">
                  <c:v>0.21627901709695865</c:v>
                </c:pt>
                <c:pt idx="9">
                  <c:v>0.21340760732042022</c:v>
                </c:pt>
                <c:pt idx="10">
                  <c:v>0.27511362363018904</c:v>
                </c:pt>
                <c:pt idx="11">
                  <c:v>0.3333088011829568</c:v>
                </c:pt>
                <c:pt idx="12">
                  <c:v>0.42936319851254101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9-4D03-BD03-76EAEAC1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531488"/>
        <c:axId val="530667328"/>
      </c:barChart>
      <c:lineChart>
        <c:grouping val="standard"/>
        <c:varyColors val="0"/>
        <c:ser>
          <c:idx val="1"/>
          <c:order val="0"/>
          <c:tx>
            <c:v>Priemer 2008-2016 (bez obrany)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'G56'!$B$2:$N$2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'G56'!$B$5:$N$5</c:f>
              <c:numCache>
                <c:formatCode>#\ ##0.0</c:formatCode>
                <c:ptCount val="13"/>
                <c:pt idx="0">
                  <c:v>0.49150623021427781</c:v>
                </c:pt>
                <c:pt idx="1">
                  <c:v>0.49150623021427781</c:v>
                </c:pt>
                <c:pt idx="2">
                  <c:v>0.49150623021427781</c:v>
                </c:pt>
                <c:pt idx="3">
                  <c:v>0.49150623021427781</c:v>
                </c:pt>
                <c:pt idx="4">
                  <c:v>0.49150623021427781</c:v>
                </c:pt>
                <c:pt idx="5">
                  <c:v>0.49150623021427781</c:v>
                </c:pt>
                <c:pt idx="6">
                  <c:v>0.49150623021427781</c:v>
                </c:pt>
                <c:pt idx="7">
                  <c:v>0.49150623021427781</c:v>
                </c:pt>
                <c:pt idx="8">
                  <c:v>0.49150623021427781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A9-4D03-BD03-76EAEAC1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31488"/>
        <c:axId val="530667328"/>
      </c:lineChart>
      <c:catAx>
        <c:axId val="5315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67328"/>
        <c:crosses val="autoZero"/>
        <c:auto val="1"/>
        <c:lblAlgn val="ctr"/>
        <c:lblOffset val="100"/>
        <c:noMultiLvlLbl val="0"/>
      </c:catAx>
      <c:valAx>
        <c:axId val="530667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153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490376202974634E-2"/>
          <c:y val="4.4393444721848793E-2"/>
          <c:w val="0.429253280839895"/>
          <c:h val="0.19207413097753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90224335165649E-2"/>
          <c:y val="0.1553994750656168"/>
          <c:w val="0.90742361214282174"/>
          <c:h val="0.81530708661417328"/>
        </c:manualLayout>
      </c:layout>
      <c:lineChart>
        <c:grouping val="standard"/>
        <c:varyColors val="0"/>
        <c:ser>
          <c:idx val="0"/>
          <c:order val="0"/>
          <c:tx>
            <c:strRef>
              <c:f>'G05, G06'!$A$2</c:f>
              <c:strCache>
                <c:ptCount val="1"/>
                <c:pt idx="0">
                  <c:v>NRVS 2018-2020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8301886792452859E-2"/>
                  <c:y val="5.46448087431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8-4D47-A262-C52224DA1B27}"/>
                </c:ext>
              </c:extLst>
            </c:dLbl>
            <c:dLbl>
              <c:idx val="1"/>
              <c:layout>
                <c:manualLayout>
                  <c:x val="-6.2893081761006865E-3"/>
                  <c:y val="3.2786885245901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8-4D47-A262-C52224DA1B27}"/>
                </c:ext>
              </c:extLst>
            </c:dLbl>
            <c:dLbl>
              <c:idx val="2"/>
              <c:layout>
                <c:manualLayout>
                  <c:x val="-1.2578616352201259E-2"/>
                  <c:y val="-3.825136612021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8-4D47-A262-C52224DA1B27}"/>
                </c:ext>
              </c:extLst>
            </c:dLbl>
            <c:dLbl>
              <c:idx val="3"/>
              <c:layout>
                <c:manualLayout>
                  <c:x val="-1.572314663497263E-2"/>
                  <c:y val="-1.09287466115915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>
                          <a:lumMod val="7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638488585153252E-2"/>
                      <c:h val="0.125601308033217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AC8-4D47-A262-C52224DA1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G06'!$B$1:$E$1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'G05, G06'!$B$2:$E$2</c:f>
              <c:numCache>
                <c:formatCode>0.00</c:formatCode>
                <c:ptCount val="4"/>
                <c:pt idx="0">
                  <c:v>-1.63</c:v>
                </c:pt>
                <c:pt idx="1">
                  <c:v>-0.82999969762914805</c:v>
                </c:pt>
                <c:pt idx="2">
                  <c:v>-0.32484167369140921</c:v>
                </c:pt>
                <c:pt idx="3">
                  <c:v>-0.2703050705834002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C8-4D47-A262-C52224DA1B27}"/>
            </c:ext>
          </c:extLst>
        </c:ser>
        <c:ser>
          <c:idx val="1"/>
          <c:order val="1"/>
          <c:tx>
            <c:strRef>
              <c:f>'G05, G06'!$A$3</c:f>
              <c:strCache>
                <c:ptCount val="1"/>
                <c:pt idx="0">
                  <c:v>Fiškálny rámec (cieľ)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  <a:prstDash val="sysDash"/>
              </a:ln>
              <a:effectLst/>
            </c:spPr>
          </c:marker>
          <c:dLbls>
            <c:dLbl>
              <c:idx val="1"/>
              <c:layout>
                <c:manualLayout>
                  <c:x val="-0.11006289308176101"/>
                  <c:y val="-5.46448087431693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8-4D47-A262-C52224DA1B27}"/>
                </c:ext>
              </c:extLst>
            </c:dLbl>
            <c:dLbl>
              <c:idx val="2"/>
              <c:layout>
                <c:manualLayout>
                  <c:x val="-0.10377358490566038"/>
                  <c:y val="-5.46448087431693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8-4D47-A262-C52224DA1B27}"/>
                </c:ext>
              </c:extLst>
            </c:dLbl>
            <c:dLbl>
              <c:idx val="3"/>
              <c:layout>
                <c:manualLayout>
                  <c:x val="0"/>
                  <c:y val="-1.639344262295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8-4D47-A262-C52224DA1B2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G06'!$B$1:$E$1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'G05, G06'!$B$3:$E$3</c:f>
              <c:numCache>
                <c:formatCode>0.00</c:formatCode>
                <c:ptCount val="4"/>
                <c:pt idx="0">
                  <c:v>-1.63</c:v>
                </c:pt>
                <c:pt idx="1">
                  <c:v>-0.82999969585006994</c:v>
                </c:pt>
                <c:pt idx="2">
                  <c:v>-0.10000013751712089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8-4D47-A262-C52224DA1B27}"/>
            </c:ext>
          </c:extLst>
        </c:ser>
        <c:ser>
          <c:idx val="2"/>
          <c:order val="2"/>
          <c:tx>
            <c:strRef>
              <c:f>'G05, G06'!$A$4</c:f>
              <c:strCache>
                <c:ptCount val="1"/>
                <c:pt idx="0">
                  <c:v>NPC (MF SR)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7484276729559796E-2"/>
                  <c:y val="6.0109289617486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8-4D47-A262-C52224DA1B27}"/>
                </c:ext>
              </c:extLst>
            </c:dLbl>
            <c:dLbl>
              <c:idx val="1"/>
              <c:layout>
                <c:manualLayout>
                  <c:x val="-2.20125786163522E-2"/>
                  <c:y val="4.9180327868852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8-4D47-A262-C52224DA1B27}"/>
                </c:ext>
              </c:extLst>
            </c:dLbl>
            <c:dLbl>
              <c:idx val="2"/>
              <c:layout>
                <c:manualLayout>
                  <c:x val="-9.433962264150943E-3"/>
                  <c:y val="1.09289617486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8-4D47-A262-C52224DA1B27}"/>
                </c:ext>
              </c:extLst>
            </c:dLbl>
            <c:dLbl>
              <c:idx val="3"/>
              <c:layout>
                <c:manualLayout>
                  <c:x val="-2.20125786163522E-2"/>
                  <c:y val="5.464480874316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8-4D47-A262-C52224DA1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G06'!$B$1:$E$1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'G05, G06'!$B$4:$E$4</c:f>
              <c:numCache>
                <c:formatCode>0.00</c:formatCode>
                <c:ptCount val="4"/>
                <c:pt idx="0">
                  <c:v>-1.63</c:v>
                </c:pt>
                <c:pt idx="1">
                  <c:v>5.4411951800744873E-2</c:v>
                </c:pt>
                <c:pt idx="2">
                  <c:v>0.17178007014191365</c:v>
                </c:pt>
                <c:pt idx="3">
                  <c:v>0.56249490254067069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C8-4D47-A262-C52224DA1B27}"/>
            </c:ext>
          </c:extLst>
        </c:ser>
        <c:ser>
          <c:idx val="4"/>
          <c:order val="3"/>
          <c:tx>
            <c:strRef>
              <c:f>'G05, G06'!$A$5</c:f>
              <c:strCache>
                <c:ptCount val="1"/>
                <c:pt idx="0">
                  <c:v>NPC (príjmové opatrenia)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CB47B"/>
              </a:solidFill>
              <a:ln w="9525">
                <a:solidFill>
                  <a:srgbClr val="DCB47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9182389937106945E-2"/>
                  <c:y val="-7.6502732240437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8-4D47-A262-C52224DA1B27}"/>
                </c:ext>
              </c:extLst>
            </c:dLbl>
            <c:dLbl>
              <c:idx val="1"/>
              <c:layout>
                <c:manualLayout>
                  <c:x val="-0.1069182389937107"/>
                  <c:y val="-3.2786885245901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8-4D47-A262-C52224DA1B27}"/>
                </c:ext>
              </c:extLst>
            </c:dLbl>
            <c:dLbl>
              <c:idx val="2"/>
              <c:layout>
                <c:manualLayout>
                  <c:x val="-6.6037735849056603E-2"/>
                  <c:y val="-6.5573770491803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8-4D47-A262-C52224DA1B27}"/>
                </c:ext>
              </c:extLst>
            </c:dLbl>
            <c:dLbl>
              <c:idx val="3"/>
              <c:layout>
                <c:manualLayout>
                  <c:x val="-9.4339622641510593E-3"/>
                  <c:y val="-5.4644808743169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8-4D47-A262-C52224DA1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G06'!$B$1:$E$1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'G05, G06'!$B$5:$E$5</c:f>
              <c:numCache>
                <c:formatCode>0.00</c:formatCode>
                <c:ptCount val="4"/>
                <c:pt idx="0">
                  <c:v>-1.63</c:v>
                </c:pt>
                <c:pt idx="1">
                  <c:v>0.22036071400101953</c:v>
                </c:pt>
                <c:pt idx="2">
                  <c:v>0.2931259996798774</c:v>
                </c:pt>
                <c:pt idx="3">
                  <c:v>0.66020836190830501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C8-4D47-A262-C52224DA1B27}"/>
            </c:ext>
          </c:extLst>
        </c:ser>
        <c:ser>
          <c:idx val="3"/>
          <c:order val="4"/>
          <c:tx>
            <c:strRef>
              <c:f>'G05, G06'!$A$6</c:f>
              <c:strCache>
                <c:ptCount val="1"/>
                <c:pt idx="0">
                  <c:v>NPC (výdavková opatrenia)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377358490566042"/>
                  <c:y val="-2.185792349726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8-4D47-A262-C52224DA1B27}"/>
                </c:ext>
              </c:extLst>
            </c:dLbl>
            <c:dLbl>
              <c:idx val="1"/>
              <c:layout>
                <c:manualLayout>
                  <c:x val="-4.0880503144654086E-2"/>
                  <c:y val="6.5573770491803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8-4D47-A262-C52224DA1B27}"/>
                </c:ext>
              </c:extLst>
            </c:dLbl>
            <c:dLbl>
              <c:idx val="2"/>
              <c:layout>
                <c:manualLayout>
                  <c:x val="-2.8301886792452831E-2"/>
                  <c:y val="5.464480874316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8-4D47-A262-C52224DA1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G06'!$B$1:$E$1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'G05, G06'!$B$6:$E$6</c:f>
              <c:numCache>
                <c:formatCode>0.00</c:formatCode>
                <c:ptCount val="4"/>
                <c:pt idx="0">
                  <c:v>-1.63</c:v>
                </c:pt>
                <c:pt idx="1">
                  <c:v>-0.99594845805034393</c:v>
                </c:pt>
                <c:pt idx="2">
                  <c:v>-0.44599234862533965</c:v>
                </c:pt>
                <c:pt idx="3">
                  <c:v>-0.36799080966828884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C8-4D47-A262-C52224DA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10808"/>
        <c:axId val="457811200"/>
      </c:lineChart>
      <c:catAx>
        <c:axId val="45781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1200"/>
        <c:crosses val="autoZero"/>
        <c:auto val="1"/>
        <c:lblAlgn val="ctr"/>
        <c:lblOffset val="100"/>
        <c:noMultiLvlLbl val="0"/>
      </c:catAx>
      <c:valAx>
        <c:axId val="45781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78591591145443"/>
          <c:y val="0.70286820704788944"/>
          <c:w val="0.44089709305204777"/>
          <c:h val="0.2971317929521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89807524059492E-2"/>
          <c:y val="5.0925925925925923E-2"/>
          <c:w val="0.92271019247594055"/>
          <c:h val="0.9126151939340914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'G05, G06'!$A$8</c:f>
              <c:strCache>
                <c:ptCount val="1"/>
                <c:pt idx="0">
                  <c:v>vplyv príjmových opatrení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3.1225604996096799E-3"/>
                  <c:y val="-5.772005772005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D-4FF6-88F7-91F398F81FAC}"/>
                </c:ext>
              </c:extLst>
            </c:dLbl>
            <c:dLbl>
              <c:idx val="1"/>
              <c:layout>
                <c:manualLayout>
                  <c:x val="6.2451209992193599E-3"/>
                  <c:y val="-5.772005772005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D-4FF6-88F7-91F398F81FAC}"/>
                </c:ext>
              </c:extLst>
            </c:dLbl>
            <c:dLbl>
              <c:idx val="2"/>
              <c:layout>
                <c:manualLayout>
                  <c:x val="6.2451209992192454E-3"/>
                  <c:y val="-5.772005772005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D-4FF6-88F7-91F398F8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'G05, G06'!$C$1:$E$1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'G05, G06'!$C$8:$E$8</c:f>
              <c:numCache>
                <c:formatCode>0.00</c:formatCode>
                <c:ptCount val="3"/>
                <c:pt idx="0">
                  <c:v>0.16594876220027466</c:v>
                </c:pt>
                <c:pt idx="1">
                  <c:v>0.12134592953796375</c:v>
                </c:pt>
                <c:pt idx="2">
                  <c:v>9.7713459367634314E-2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2D-4FF6-88F7-91F398F81FAC}"/>
            </c:ext>
          </c:extLst>
        </c:ser>
        <c:ser>
          <c:idx val="2"/>
          <c:order val="2"/>
          <c:tx>
            <c:strRef>
              <c:f>'G05, G06'!$A$9</c:f>
              <c:strCache>
                <c:ptCount val="1"/>
                <c:pt idx="0">
                  <c:v>vplyv výdavkových opatrení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2450826740182951E-3"/>
                  <c:y val="2.8650308921618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F6-88F7-91F398F81FAC}"/>
                </c:ext>
              </c:extLst>
            </c:dLbl>
            <c:dLbl>
              <c:idx val="1"/>
              <c:layout>
                <c:manualLayout>
                  <c:x val="6.1703078482096213E-3"/>
                  <c:y val="5.927104143096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F6-88F7-91F398F81FAC}"/>
                </c:ext>
              </c:extLst>
            </c:dLbl>
            <c:dLbl>
              <c:idx val="2"/>
              <c:layout>
                <c:manualLayout>
                  <c:x val="7.4774825808644421E-5"/>
                  <c:y val="0.1095985704719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2D-4FF6-88F7-91F398F8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G06'!$C$1:$E$1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'G05, G06'!$C$9:$E$9</c:f>
              <c:numCache>
                <c:formatCode>0.00</c:formatCode>
                <c:ptCount val="3"/>
                <c:pt idx="0">
                  <c:v>-1.0503604098510888</c:v>
                </c:pt>
                <c:pt idx="1">
                  <c:v>-0.61777241876725331</c:v>
                </c:pt>
                <c:pt idx="2">
                  <c:v>-0.93048571220895959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2D-4FF6-88F7-91F398F8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overlap val="100"/>
        <c:axId val="457811984"/>
        <c:axId val="457812376"/>
      </c:barChart>
      <c:lineChart>
        <c:grouping val="standard"/>
        <c:varyColors val="0"/>
        <c:ser>
          <c:idx val="3"/>
          <c:order val="0"/>
          <c:tx>
            <c:strRef>
              <c:f>'G05, G06'!$A$10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0899123221108154E-2"/>
                  <c:y val="5.698907155364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D-4FF6-88F7-91F398F81FAC}"/>
                </c:ext>
              </c:extLst>
            </c:dLbl>
            <c:dLbl>
              <c:idx val="1"/>
              <c:layout>
                <c:manualLayout>
                  <c:x val="-5.8395110683107175E-2"/>
                  <c:y val="5.2976526054018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D-4FF6-88F7-91F398F81FAC}"/>
                </c:ext>
              </c:extLst>
            </c:dLbl>
            <c:dLbl>
              <c:idx val="2"/>
              <c:layout>
                <c:manualLayout>
                  <c:x val="-5.6566526306513841E-2"/>
                  <c:y val="4.11512104853677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730556221455922E-2"/>
                      <c:h val="7.49497221938166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92D-4FF6-88F7-91F398F81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'G05, G06'!$C$1:$E$1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'G05, G06'!$C$10:$E$10</c:f>
              <c:numCache>
                <c:formatCode>0.00</c:formatCode>
                <c:ptCount val="3"/>
                <c:pt idx="0">
                  <c:v>-0.88441164765081415</c:v>
                </c:pt>
                <c:pt idx="1">
                  <c:v>-0.49642648922928956</c:v>
                </c:pt>
                <c:pt idx="2">
                  <c:v>-0.83277225284132528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2D-4FF6-88F7-91F398F8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11984"/>
        <c:axId val="457812376"/>
      </c:lineChart>
      <c:catAx>
        <c:axId val="45781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2376"/>
        <c:crosses val="autoZero"/>
        <c:auto val="1"/>
        <c:lblAlgn val="ctr"/>
        <c:lblOffset val="100"/>
        <c:noMultiLvlLbl val="0"/>
      </c:catAx>
      <c:valAx>
        <c:axId val="4578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671355828722845"/>
          <c:y val="0.7675574472153095"/>
          <c:w val="0.55300666553371491"/>
          <c:h val="0.223244255278469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201</a:t>
            </a:r>
            <a:r>
              <a:rPr lang="sk-SK" b="1"/>
              <a:t>8</a:t>
            </a:r>
            <a:endParaRPr lang="en-US" b="1"/>
          </a:p>
        </c:rich>
      </c:tx>
      <c:layout>
        <c:manualLayout>
          <c:xMode val="edge"/>
          <c:yMode val="edge"/>
          <c:x val="0.6846537338585547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8955337731141138"/>
          <c:y val="9.1709140999183508E-2"/>
          <c:w val="0.56902142435383796"/>
          <c:h val="0.8324647677546294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'G07'!$B$23</c:f>
              <c:strCache>
                <c:ptCount val="1"/>
                <c:pt idx="0">
                  <c:v>vysvetlené</c:v>
                </c:pt>
              </c:strCache>
            </c:strRef>
          </c:tx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2.368264804079233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E9-4BE2-9E9F-5B45F2EF8285}"/>
                </c:ext>
              </c:extLst>
            </c:dLbl>
            <c:dLbl>
              <c:idx val="1"/>
              <c:layout>
                <c:manualLayout>
                  <c:x val="-5.4920311023990073E-2"/>
                  <c:y val="-2.9905840760479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E9-4BE2-9E9F-5B45F2EF8285}"/>
                </c:ext>
              </c:extLst>
            </c:dLbl>
            <c:dLbl>
              <c:idx val="2"/>
              <c:layout>
                <c:manualLayout>
                  <c:x val="-4.7365296081585536E-3"/>
                  <c:y val="-5.416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9-4BE2-9E9F-5B45F2EF8285}"/>
                </c:ext>
              </c:extLst>
            </c:dLbl>
            <c:dLbl>
              <c:idx val="3"/>
              <c:layout>
                <c:manualLayout>
                  <c:x val="2.2721304899055196E-2"/>
                  <c:y val="-4.147159162031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9-4BE2-9E9F-5B45F2EF8285}"/>
                </c:ext>
              </c:extLst>
            </c:dLbl>
            <c:dLbl>
              <c:idx val="4"/>
              <c:layout>
                <c:manualLayout>
                  <c:x val="9.5204005563595817E-2"/>
                  <c:y val="-4.56762053369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9-4BE2-9E9F-5B45F2EF8285}"/>
                </c:ext>
              </c:extLst>
            </c:dLbl>
            <c:dLbl>
              <c:idx val="5"/>
              <c:layout>
                <c:manualLayout>
                  <c:x val="-5.4323271980642969E-2"/>
                  <c:y val="-4.9882474804439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'G07'!$B$24:$B$29</c:f>
              <c:numCache>
                <c:formatCode>0.00</c:formatCode>
                <c:ptCount val="6"/>
                <c:pt idx="0">
                  <c:v>0.21000000000000002</c:v>
                </c:pt>
                <c:pt idx="1">
                  <c:v>0</c:v>
                </c:pt>
                <c:pt idx="2">
                  <c:v>-0.25</c:v>
                </c:pt>
                <c:pt idx="3">
                  <c:v>-0.16</c:v>
                </c:pt>
                <c:pt idx="4">
                  <c:v>-0.25</c:v>
                </c:pt>
                <c:pt idx="5">
                  <c:v>-0.48000000000000004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E9-4BE2-9E9F-5B45F2EF8285}"/>
            </c:ext>
          </c:extLst>
        </c:ser>
        <c:ser>
          <c:idx val="1"/>
          <c:order val="1"/>
          <c:tx>
            <c:strRef>
              <c:f>'G07'!$C$23</c:f>
              <c:strCache>
                <c:ptCount val="1"/>
                <c:pt idx="0">
                  <c:v>nevysvetlené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6413171686539E-2"/>
                  <c:y val="5.0567293357326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9-4BE2-9E9F-5B45F2EF8285}"/>
                </c:ext>
              </c:extLst>
            </c:dLbl>
            <c:dLbl>
              <c:idx val="1"/>
              <c:layout>
                <c:manualLayout>
                  <c:x val="7.871731962821038E-2"/>
                  <c:y val="-2.157211556611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9-4BE2-9E9F-5B45F2EF8285}"/>
                </c:ext>
              </c:extLst>
            </c:dLbl>
            <c:dLbl>
              <c:idx val="2"/>
              <c:layout>
                <c:manualLayout>
                  <c:x val="4.0629682195378464E-2"/>
                  <c:y val="4.518842113559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9-4BE2-9E9F-5B45F2EF8285}"/>
                </c:ext>
              </c:extLst>
            </c:dLbl>
            <c:dLbl>
              <c:idx val="3"/>
              <c:layout>
                <c:manualLayout>
                  <c:x val="-3.1582238017999482E-2"/>
                  <c:y val="-4.988181250409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9-4BE2-9E9F-5B45F2EF8285}"/>
                </c:ext>
              </c:extLst>
            </c:dLbl>
            <c:dLbl>
              <c:idx val="4"/>
              <c:layout>
                <c:manualLayout>
                  <c:x val="-1.4199054038374853E-2"/>
                  <c:y val="-4.935296568158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E9-4BE2-9E9F-5B45F2EF8285}"/>
                </c:ext>
              </c:extLst>
            </c:dLbl>
            <c:dLbl>
              <c:idx val="5"/>
              <c:layout>
                <c:manualLayout>
                  <c:x val="-2.6474605816868928E-2"/>
                  <c:y val="5.8334089459556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'G07'!$C$24:$C$29</c:f>
              <c:numCache>
                <c:formatCode>0.00</c:formatCode>
                <c:ptCount val="6"/>
                <c:pt idx="0">
                  <c:v>-3.3087774162626205E-3</c:v>
                </c:pt>
                <c:pt idx="1">
                  <c:v>-4.0742460383462742E-2</c:v>
                </c:pt>
                <c:pt idx="2">
                  <c:v>5.2833355535607751E-2</c:v>
                </c:pt>
                <c:pt idx="3">
                  <c:v>-2.3703092275178111E-2</c:v>
                </c:pt>
                <c:pt idx="4">
                  <c:v>-0.1048719377928703</c:v>
                </c:pt>
                <c:pt idx="5">
                  <c:v>0.16538126468135195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E9-4BE2-9E9F-5B45F2EF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457820216"/>
        <c:axId val="457820608"/>
      </c:barChart>
      <c:barChart>
        <c:barDir val="bar"/>
        <c:grouping val="stacked"/>
        <c:varyColors val="0"/>
        <c:ser>
          <c:idx val="2"/>
          <c:order val="2"/>
          <c:tx>
            <c:strRef>
              <c:f>'G07'!$D$23</c:f>
              <c:strCache>
                <c:ptCount val="1"/>
                <c:pt idx="0">
                  <c:v>celkovo</c:v>
                </c:pt>
              </c:strCache>
            </c:strRef>
          </c:tx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3.6400122320193154E-3"/>
                  <c:y val="-4.20305731083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9-4BE2-9E9F-5B45F2EF8285}"/>
                </c:ext>
              </c:extLst>
            </c:dLbl>
            <c:dLbl>
              <c:idx val="1"/>
              <c:layout>
                <c:manualLayout>
                  <c:x val="-5.635700961885798E-3"/>
                  <c:y val="4.63014168591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E9-4BE2-9E9F-5B45F2EF8285}"/>
                </c:ext>
              </c:extLst>
            </c:dLbl>
            <c:dLbl>
              <c:idx val="2"/>
              <c:layout>
                <c:manualLayout>
                  <c:x val="4.7216816302219085E-2"/>
                  <c:y val="4.2017658251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E9-4BE2-9E9F-5B45F2EF8285}"/>
                </c:ext>
              </c:extLst>
            </c:dLbl>
            <c:dLbl>
              <c:idx val="3"/>
              <c:layout>
                <c:manualLayout>
                  <c:x val="-1.4702380029678148E-2"/>
                  <c:y val="3.7890533674992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E9-4BE2-9E9F-5B45F2EF8285}"/>
                </c:ext>
              </c:extLst>
            </c:dLbl>
            <c:dLbl>
              <c:idx val="4"/>
              <c:layout>
                <c:manualLayout>
                  <c:x val="3.2138409715342493E-2"/>
                  <c:y val="4.6262341138984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E9-4BE2-9E9F-5B45F2EF8285}"/>
                </c:ext>
              </c:extLst>
            </c:dLbl>
            <c:dLbl>
              <c:idx val="5"/>
              <c:layout>
                <c:manualLayout>
                  <c:x val="4.4591911365772612E-2"/>
                  <c:y val="4.83267313027646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512998869336764E-2"/>
                      <c:h val="5.46099746405199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6E9-4BE2-9E9F-5B45F2EF8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'G07'!$A$24:$A$29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'G07'!$D$24:$D$29</c:f>
              <c:numCache>
                <c:formatCode>0.00</c:formatCode>
                <c:ptCount val="6"/>
                <c:pt idx="0">
                  <c:v>0.2066912225837374</c:v>
                </c:pt>
                <c:pt idx="1">
                  <c:v>-4.0742460383462742E-2</c:v>
                </c:pt>
                <c:pt idx="2">
                  <c:v>-0.19716664446439225</c:v>
                </c:pt>
                <c:pt idx="3">
                  <c:v>-0.18370309227517811</c:v>
                </c:pt>
                <c:pt idx="4">
                  <c:v>-0.3548719377928703</c:v>
                </c:pt>
                <c:pt idx="5">
                  <c:v>-0.31461873531864809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E9-4BE2-9E9F-5B45F2EF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0"/>
        <c:overlap val="46"/>
        <c:axId val="457821392"/>
        <c:axId val="457821000"/>
      </c:barChart>
      <c:catAx>
        <c:axId val="457820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0608"/>
        <c:crosses val="autoZero"/>
        <c:auto val="1"/>
        <c:lblAlgn val="ctr"/>
        <c:lblOffset val="100"/>
        <c:noMultiLvlLbl val="0"/>
      </c:catAx>
      <c:valAx>
        <c:axId val="457820608"/>
        <c:scaling>
          <c:orientation val="minMax"/>
          <c:max val="0.30000000000000004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0216"/>
        <c:crosses val="autoZero"/>
        <c:crossBetween val="between"/>
      </c:valAx>
      <c:valAx>
        <c:axId val="457821000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457821392"/>
        <c:crosses val="max"/>
        <c:crossBetween val="between"/>
      </c:valAx>
      <c:catAx>
        <c:axId val="457821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7821000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1066149201513125E-5"/>
          <c:y val="4.4208547780664673E-4"/>
          <c:w val="0.48798828845206249"/>
          <c:h val="5.698266561316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hyperlink" Target="#Obsah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2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3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4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hyperlink" Target="#Obsah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0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4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8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0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2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hyperlink" Target="#Obsah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7" Type="http://schemas.openxmlformats.org/officeDocument/2006/relationships/hyperlink" Target="#Obsah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image" Target="../media/image2.jpg"/><Relationship Id="rId5" Type="http://schemas.openxmlformats.org/officeDocument/2006/relationships/image" Target="../media/image1.jpeg"/><Relationship Id="rId4" Type="http://schemas.openxmlformats.org/officeDocument/2006/relationships/chart" Target="../charts/chart41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2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4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7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0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E3DC15-8C8A-42D3-B27B-080E7FE15D5D}"/>
            </a:ext>
          </a:extLst>
        </xdr:cNvPr>
        <xdr:cNvSpPr/>
      </xdr:nvSpPr>
      <xdr:spPr>
        <a:xfrm>
          <a:off x="6877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E460B7-3A51-4314-AB37-FA1577980FBD}"/>
            </a:ext>
          </a:extLst>
        </xdr:cNvPr>
        <xdr:cNvSpPr/>
      </xdr:nvSpPr>
      <xdr:spPr>
        <a:xfrm>
          <a:off x="55435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66682</xdr:colOff>
      <xdr:row>3</xdr:row>
      <xdr:rowOff>133350</xdr:rowOff>
    </xdr:from>
    <xdr:to>
      <xdr:col>23</xdr:col>
      <xdr:colOff>276226</xdr:colOff>
      <xdr:row>17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ECB646E-017E-45D3-9C73-B4552939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561975</xdr:colOff>
      <xdr:row>20</xdr:row>
      <xdr:rowOff>76200</xdr:rowOff>
    </xdr:from>
    <xdr:to>
      <xdr:col>23</xdr:col>
      <xdr:colOff>285750</xdr:colOff>
      <xdr:row>35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D34BA00-041E-46C6-9961-221FB9280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571500</xdr:colOff>
      <xdr:row>3</xdr:row>
      <xdr:rowOff>28575</xdr:rowOff>
    </xdr:from>
    <xdr:to>
      <xdr:col>32</xdr:col>
      <xdr:colOff>409575</xdr:colOff>
      <xdr:row>17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A747278-B1DC-4E8E-897A-4B66EB061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104776</xdr:colOff>
      <xdr:row>37</xdr:row>
      <xdr:rowOff>95250</xdr:rowOff>
    </xdr:from>
    <xdr:to>
      <xdr:col>23</xdr:col>
      <xdr:colOff>466726</xdr:colOff>
      <xdr:row>53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75837C5-590A-4804-9139-9C5DE90CF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552451</xdr:colOff>
      <xdr:row>20</xdr:row>
      <xdr:rowOff>66675</xdr:rowOff>
    </xdr:from>
    <xdr:to>
      <xdr:col>32</xdr:col>
      <xdr:colOff>457201</xdr:colOff>
      <xdr:row>35</xdr:row>
      <xdr:rowOff>95250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2EDD6B2D-61CC-4DD6-8159-71D94791D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9525</xdr:colOff>
      <xdr:row>37</xdr:row>
      <xdr:rowOff>28576</xdr:rowOff>
    </xdr:from>
    <xdr:to>
      <xdr:col>33</xdr:col>
      <xdr:colOff>485775</xdr:colOff>
      <xdr:row>52</xdr:row>
      <xdr:rowOff>180976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53EE974-364A-42D7-BC46-C217E3B31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0</xdr:colOff>
      <xdr:row>1</xdr:row>
      <xdr:rowOff>0</xdr:rowOff>
    </xdr:from>
    <xdr:to>
      <xdr:col>33</xdr:col>
      <xdr:colOff>514350</xdr:colOff>
      <xdr:row>2</xdr:row>
      <xdr:rowOff>57150</xdr:rowOff>
    </xdr:to>
    <xdr:sp macro="" textlink="">
      <xdr:nvSpPr>
        <xdr:cNvPr id="8" name="Šípka doľava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0A465C-7640-48F6-AD61-8D796F4A1270}"/>
            </a:ext>
          </a:extLst>
        </xdr:cNvPr>
        <xdr:cNvSpPr/>
      </xdr:nvSpPr>
      <xdr:spPr>
        <a:xfrm>
          <a:off x="231552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8</xdr:row>
      <xdr:rowOff>114299</xdr:rowOff>
    </xdr:from>
    <xdr:to>
      <xdr:col>8</xdr:col>
      <xdr:colOff>771525</xdr:colOff>
      <xdr:row>23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DE5AB4-E707-4BFF-B573-DED50661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5888D0-487E-4656-A9F7-4C8CE24CB2EB}"/>
            </a:ext>
          </a:extLst>
        </xdr:cNvPr>
        <xdr:cNvSpPr/>
      </xdr:nvSpPr>
      <xdr:spPr>
        <a:xfrm>
          <a:off x="66389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8</xdr:row>
      <xdr:rowOff>114299</xdr:rowOff>
    </xdr:from>
    <xdr:to>
      <xdr:col>8</xdr:col>
      <xdr:colOff>771525</xdr:colOff>
      <xdr:row>23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5AAB6-B5A8-4555-8708-64C845EF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437EAC-1582-4E50-8B82-76D855F57205}"/>
            </a:ext>
          </a:extLst>
        </xdr:cNvPr>
        <xdr:cNvSpPr/>
      </xdr:nvSpPr>
      <xdr:spPr>
        <a:xfrm>
          <a:off x="66389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590548</xdr:colOff>
      <xdr:row>8</xdr:row>
      <xdr:rowOff>114299</xdr:rowOff>
    </xdr:from>
    <xdr:to>
      <xdr:col>8</xdr:col>
      <xdr:colOff>28574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053DD-A90F-4A20-AFE1-3CC71D5FB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F5C070-2E60-49B4-8137-0EA53E011756}"/>
            </a:ext>
          </a:extLst>
        </xdr:cNvPr>
        <xdr:cNvSpPr/>
      </xdr:nvSpPr>
      <xdr:spPr>
        <a:xfrm>
          <a:off x="6029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590548</xdr:colOff>
      <xdr:row>8</xdr:row>
      <xdr:rowOff>114299</xdr:rowOff>
    </xdr:from>
    <xdr:to>
      <xdr:col>8</xdr:col>
      <xdr:colOff>28574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8714-9532-40AF-A3FA-B1F205E3F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42E34E-15BD-482A-9A75-3E5FF2EFABB4}"/>
            </a:ext>
          </a:extLst>
        </xdr:cNvPr>
        <xdr:cNvSpPr/>
      </xdr:nvSpPr>
      <xdr:spPr>
        <a:xfrm>
          <a:off x="6029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114300</xdr:rowOff>
    </xdr:from>
    <xdr:to>
      <xdr:col>14</xdr:col>
      <xdr:colOff>590550</xdr:colOff>
      <xdr:row>16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390D26F-FFA8-43FA-9384-21632FC779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1</xdr:row>
      <xdr:rowOff>57150</xdr:rowOff>
    </xdr:from>
    <xdr:to>
      <xdr:col>6</xdr:col>
      <xdr:colOff>142876</xdr:colOff>
      <xdr:row>16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C71A619-EC89-45AD-8067-7A7640532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514350</xdr:colOff>
      <xdr:row>3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60390A-D020-4F44-A0C1-B87F39445DDA}"/>
            </a:ext>
          </a:extLst>
        </xdr:cNvPr>
        <xdr:cNvSpPr/>
      </xdr:nvSpPr>
      <xdr:spPr>
        <a:xfrm>
          <a:off x="18383250" y="4857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0.1883</cdr:x>
      <cdr:y>0.13462</cdr:y>
    </cdr:from>
    <cdr:to>
      <cdr:x>0.43766</cdr:x>
      <cdr:y>1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02389E34-BA9F-4159-9E49-D9E8B2B2EC9E}"/>
            </a:ext>
          </a:extLst>
        </cdr:cNvPr>
        <cdr:cNvSpPr/>
      </cdr:nvSpPr>
      <cdr:spPr>
        <a:xfrm xmlns:a="http://schemas.openxmlformats.org/drawingml/2006/main">
          <a:off x="704850" y="328246"/>
          <a:ext cx="933450" cy="211015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chemeClr val="accent2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0.18329</cdr:x>
      <cdr:y>0.36923</cdr:y>
    </cdr:from>
    <cdr:to>
      <cdr:x>0.27842</cdr:x>
      <cdr:y>0.47308</cdr:y>
    </cdr:to>
    <cdr:sp macro="" textlink="">
      <cdr:nvSpPr>
        <cdr:cNvPr id="3" name="BlokTextu 2">
          <a:extLst xmlns:a="http://schemas.openxmlformats.org/drawingml/2006/main">
            <a:ext uri="{FF2B5EF4-FFF2-40B4-BE49-F238E27FC236}">
              <a16:creationId xmlns:a16="http://schemas.microsoft.com/office/drawing/2014/main" id="{A39FF64D-2F31-4B48-9DAA-E2E970153328}"/>
            </a:ext>
          </a:extLst>
        </cdr:cNvPr>
        <cdr:cNvSpPr txBox="1"/>
      </cdr:nvSpPr>
      <cdr:spPr>
        <a:xfrm xmlns:a="http://schemas.openxmlformats.org/drawingml/2006/main">
          <a:off x="752476" y="914400"/>
          <a:ext cx="3905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chemeClr val="accent2"/>
              </a:solidFill>
              <a:latin typeface="Constantia" panose="02030602050306030303" pitchFamily="18" charset="0"/>
            </a:rPr>
            <a:t>5,7%</a:t>
          </a:r>
        </a:p>
      </cdr:txBody>
    </cdr:sp>
  </cdr:relSizeAnchor>
  <cdr:relSizeAnchor xmlns:cdr="http://schemas.openxmlformats.org/drawingml/2006/chartDrawing">
    <cdr:from>
      <cdr:x>0.28384</cdr:x>
      <cdr:y>0.47051</cdr:y>
    </cdr:from>
    <cdr:to>
      <cdr:x>0.37896</cdr:x>
      <cdr:y>0.57436</cdr:y>
    </cdr:to>
    <cdr:sp macro="" textlink="">
      <cdr:nvSpPr>
        <cdr:cNvPr id="4" name="BlokTextu 1">
          <a:extLst xmlns:a="http://schemas.openxmlformats.org/drawingml/2006/main">
            <a:ext uri="{FF2B5EF4-FFF2-40B4-BE49-F238E27FC236}">
              <a16:creationId xmlns:a16="http://schemas.microsoft.com/office/drawing/2014/main" id="{1143D00D-1987-4BA7-B477-AB117D134A82}"/>
            </a:ext>
          </a:extLst>
        </cdr:cNvPr>
        <cdr:cNvSpPr txBox="1"/>
      </cdr:nvSpPr>
      <cdr:spPr>
        <a:xfrm xmlns:a="http://schemas.openxmlformats.org/drawingml/2006/main">
          <a:off x="1165225" y="1165225"/>
          <a:ext cx="3905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chemeClr val="accent2"/>
              </a:solidFill>
              <a:latin typeface="Constantia" panose="02030602050306030303" pitchFamily="18" charset="0"/>
            </a:rPr>
            <a:t>10,7%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0.19847</cdr:x>
      <cdr:y>0.13462</cdr:y>
    </cdr:from>
    <cdr:to>
      <cdr:x>0.4173</cdr:x>
      <cdr:y>1</cdr:y>
    </cdr:to>
    <cdr:sp macro="" textlink="">
      <cdr:nvSpPr>
        <cdr:cNvPr id="5" name="Ovál 4">
          <a:extLst xmlns:a="http://schemas.openxmlformats.org/drawingml/2006/main">
            <a:ext uri="{FF2B5EF4-FFF2-40B4-BE49-F238E27FC236}">
              <a16:creationId xmlns:a16="http://schemas.microsoft.com/office/drawing/2014/main" id="{3A0EBBC9-32E3-485A-891A-BE25ABF49402}"/>
            </a:ext>
          </a:extLst>
        </cdr:cNvPr>
        <cdr:cNvSpPr/>
      </cdr:nvSpPr>
      <cdr:spPr>
        <a:xfrm xmlns:a="http://schemas.openxmlformats.org/drawingml/2006/main">
          <a:off x="742950" y="328246"/>
          <a:ext cx="819150" cy="211015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chemeClr val="accent2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0.79135</cdr:x>
      <cdr:y>0.09766</cdr:y>
    </cdr:from>
    <cdr:to>
      <cdr:x>1</cdr:x>
      <cdr:y>0.67969</cdr:y>
    </cdr:to>
    <cdr:sp macro="" textlink="">
      <cdr:nvSpPr>
        <cdr:cNvPr id="6" name="Ovál 5">
          <a:extLst xmlns:a="http://schemas.openxmlformats.org/drawingml/2006/main">
            <a:ext uri="{FF2B5EF4-FFF2-40B4-BE49-F238E27FC236}">
              <a16:creationId xmlns:a16="http://schemas.microsoft.com/office/drawing/2014/main" id="{3369EA68-A6C2-4DFF-B029-B8BFF08D3907}"/>
            </a:ext>
          </a:extLst>
        </cdr:cNvPr>
        <cdr:cNvSpPr/>
      </cdr:nvSpPr>
      <cdr:spPr>
        <a:xfrm xmlns:a="http://schemas.openxmlformats.org/drawingml/2006/main">
          <a:off x="2962275" y="238125"/>
          <a:ext cx="781051" cy="141922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chemeClr val="accent2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1</xdr:row>
      <xdr:rowOff>14287</xdr:rowOff>
    </xdr:from>
    <xdr:to>
      <xdr:col>22</xdr:col>
      <xdr:colOff>295275</xdr:colOff>
      <xdr:row>17</xdr:row>
      <xdr:rowOff>90487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89A9FB2-8643-4692-96C3-7DBDAB89B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23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2D3D0A-1A9B-41F0-ABA8-F31D8FD33E80}"/>
            </a:ext>
          </a:extLst>
        </xdr:cNvPr>
        <xdr:cNvSpPr/>
      </xdr:nvSpPr>
      <xdr:spPr>
        <a:xfrm>
          <a:off x="158972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0.47152</cdr:x>
      <cdr:y>0.07165</cdr:y>
    </cdr:from>
    <cdr:to>
      <cdr:x>0.94791</cdr:x>
      <cdr:y>0.96494</cdr:y>
    </cdr:to>
    <cdr:grpSp>
      <cdr:nvGrpSpPr>
        <cdr:cNvPr id="12" name="Skupina 11">
          <a:extLst xmlns:a="http://schemas.openxmlformats.org/drawingml/2006/main">
            <a:ext uri="{FF2B5EF4-FFF2-40B4-BE49-F238E27FC236}">
              <a16:creationId xmlns:a16="http://schemas.microsoft.com/office/drawing/2014/main" id="{B74AE37B-A8C0-4879-BA7C-BA9AAB14EFC8}"/>
            </a:ext>
          </a:extLst>
        </cdr:cNvPr>
        <cdr:cNvGrpSpPr/>
      </cdr:nvGrpSpPr>
      <cdr:grpSpPr>
        <a:xfrm xmlns:a="http://schemas.openxmlformats.org/drawingml/2006/main">
          <a:off x="2137825" y="223849"/>
          <a:ext cx="2159904" cy="2790817"/>
          <a:chOff x="2260600" y="109538"/>
          <a:chExt cx="2178050" cy="2790825"/>
        </a:xfrm>
      </cdr:grpSpPr>
      <cdr:cxnSp macro="">
        <cdr:nvCxnSpPr>
          <cdr:cNvPr id="4" name="Rovná spojnica 3">
            <a:extLst xmlns:a="http://schemas.openxmlformats.org/drawingml/2006/main">
              <a:ext uri="{FF2B5EF4-FFF2-40B4-BE49-F238E27FC236}">
                <a16:creationId xmlns:a16="http://schemas.microsoft.com/office/drawing/2014/main" id="{F0174EC2-0132-45FA-A998-90A001F26D98}"/>
              </a:ext>
            </a:extLst>
          </cdr:cNvPr>
          <cdr:cNvCxnSpPr/>
        </cdr:nvCxnSpPr>
        <cdr:spPr>
          <a:xfrm xmlns:a="http://schemas.openxmlformats.org/drawingml/2006/main" flipH="1" flipV="1">
            <a:off x="3286125" y="109538"/>
            <a:ext cx="0" cy="2790825"/>
          </a:xfrm>
          <a:prstGeom xmlns:a="http://schemas.openxmlformats.org/drawingml/2006/main" prst="line">
            <a:avLst/>
          </a:prstGeom>
          <a:ln xmlns:a="http://schemas.openxmlformats.org/drawingml/2006/main" w="25400">
            <a:solidFill>
              <a:srgbClr val="58595B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Rovná spojovacia šípka 6">
            <a:extLst xmlns:a="http://schemas.openxmlformats.org/drawingml/2006/main">
              <a:ext uri="{FF2B5EF4-FFF2-40B4-BE49-F238E27FC236}">
                <a16:creationId xmlns:a16="http://schemas.microsoft.com/office/drawing/2014/main" id="{F9EA7DF3-1DE8-454A-96D8-11B191D575D5}"/>
              </a:ext>
            </a:extLst>
          </cdr:cNvPr>
          <cdr:cNvCxnSpPr/>
        </cdr:nvCxnSpPr>
        <cdr:spPr>
          <a:xfrm xmlns:a="http://schemas.openxmlformats.org/drawingml/2006/main" flipV="1">
            <a:off x="3352800" y="214313"/>
            <a:ext cx="93345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Rovná spojovacia šípka 7">
            <a:extLst xmlns:a="http://schemas.openxmlformats.org/drawingml/2006/main">
              <a:ext uri="{FF2B5EF4-FFF2-40B4-BE49-F238E27FC236}">
                <a16:creationId xmlns:a16="http://schemas.microsoft.com/office/drawing/2014/main" id="{98208CDD-CE6A-45EA-A2E3-6FB66FE42B1C}"/>
              </a:ext>
            </a:extLst>
          </cdr:cNvPr>
          <cdr:cNvCxnSpPr/>
        </cdr:nvCxnSpPr>
        <cdr:spPr>
          <a:xfrm xmlns:a="http://schemas.openxmlformats.org/drawingml/2006/main" flipH="1" flipV="1">
            <a:off x="2305050" y="204788"/>
            <a:ext cx="93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BlokTextu 9"/>
          <cdr:cNvSpPr txBox="1"/>
        </cdr:nvSpPr>
        <cdr:spPr>
          <a:xfrm xmlns:a="http://schemas.openxmlformats.org/drawingml/2006/main">
            <a:off x="3333750" y="271463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návrh rozpočtu</a:t>
            </a:r>
          </a:p>
        </cdr:txBody>
      </cdr:sp>
      <cdr:sp macro="" textlink="">
        <cdr:nvSpPr>
          <cdr:cNvPr id="11" name="BlokTextu 1"/>
          <cdr:cNvSpPr txBox="1"/>
        </cdr:nvSpPr>
        <cdr:spPr>
          <a:xfrm xmlns:a="http://schemas.openxmlformats.org/drawingml/2006/main">
            <a:off x="2260600" y="279400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skutočnosť</a:t>
            </a:r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D8F919-1B0F-428A-B17A-9D950E875E88}"/>
            </a:ext>
          </a:extLst>
        </xdr:cNvPr>
        <xdr:cNvSpPr/>
      </xdr:nvSpPr>
      <xdr:spPr>
        <a:xfrm>
          <a:off x="89630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</xdr:row>
      <xdr:rowOff>0</xdr:rowOff>
    </xdr:from>
    <xdr:to>
      <xdr:col>27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B6C8EA-70AC-4960-96F8-10395C13B3B1}"/>
            </a:ext>
          </a:extLst>
        </xdr:cNvPr>
        <xdr:cNvSpPr/>
      </xdr:nvSpPr>
      <xdr:spPr>
        <a:xfrm>
          <a:off x="1878330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12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3763F3-38D2-48AF-B65B-71DD59B58DF9}"/>
            </a:ext>
          </a:extLst>
        </xdr:cNvPr>
        <xdr:cNvSpPr/>
      </xdr:nvSpPr>
      <xdr:spPr>
        <a:xfrm>
          <a:off x="8705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134720-DD91-4582-AD8C-7A1362709970}"/>
            </a:ext>
          </a:extLst>
        </xdr:cNvPr>
        <xdr:cNvSpPr/>
      </xdr:nvSpPr>
      <xdr:spPr>
        <a:xfrm>
          <a:off x="744855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66675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A90BD6-D681-4ACA-9275-FE90ADB7DE30}"/>
            </a:ext>
          </a:extLst>
        </xdr:cNvPr>
        <xdr:cNvSpPr/>
      </xdr:nvSpPr>
      <xdr:spPr>
        <a:xfrm>
          <a:off x="7600950" y="1809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D6AC45-1825-4DDA-853D-00D240D51759}"/>
            </a:ext>
          </a:extLst>
        </xdr:cNvPr>
        <xdr:cNvSpPr/>
      </xdr:nvSpPr>
      <xdr:spPr>
        <a:xfrm>
          <a:off x="6619875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45A2B6-0CA8-4827-95EC-C3AF108B14C7}"/>
            </a:ext>
          </a:extLst>
        </xdr:cNvPr>
        <xdr:cNvSpPr/>
      </xdr:nvSpPr>
      <xdr:spPr>
        <a:xfrm>
          <a:off x="6457950" y="152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7CA4DA-06E5-4A8E-8C95-7E560EFD0A31}"/>
            </a:ext>
          </a:extLst>
        </xdr:cNvPr>
        <xdr:cNvSpPr/>
      </xdr:nvSpPr>
      <xdr:spPr>
        <a:xfrm>
          <a:off x="63246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5F4974-FED2-4CFC-B297-4586103CAEF2}"/>
            </a:ext>
          </a:extLst>
        </xdr:cNvPr>
        <xdr:cNvSpPr/>
      </xdr:nvSpPr>
      <xdr:spPr>
        <a:xfrm>
          <a:off x="62007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AA7F2A-7AEE-4C47-BCA0-0B691E0C1E72}"/>
            </a:ext>
          </a:extLst>
        </xdr:cNvPr>
        <xdr:cNvSpPr/>
      </xdr:nvSpPr>
      <xdr:spPr>
        <a:xfrm>
          <a:off x="7858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10F13-9986-4722-85ED-E3B989FD428B}"/>
            </a:ext>
          </a:extLst>
        </xdr:cNvPr>
        <xdr:cNvSpPr/>
      </xdr:nvSpPr>
      <xdr:spPr>
        <a:xfrm>
          <a:off x="8077200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15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833BF6-5EBA-4437-B9DC-658AF908D020}"/>
            </a:ext>
          </a:extLst>
        </xdr:cNvPr>
        <xdr:cNvSpPr/>
      </xdr:nvSpPr>
      <xdr:spPr>
        <a:xfrm>
          <a:off x="7038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A8DCB9-BB9D-4DBC-8354-1E39241150B2}"/>
            </a:ext>
          </a:extLst>
        </xdr:cNvPr>
        <xdr:cNvSpPr/>
      </xdr:nvSpPr>
      <xdr:spPr>
        <a:xfrm>
          <a:off x="6038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1AD081-8BF4-456E-A9C7-79CDDAACFA92}"/>
            </a:ext>
          </a:extLst>
        </xdr:cNvPr>
        <xdr:cNvSpPr/>
      </xdr:nvSpPr>
      <xdr:spPr>
        <a:xfrm>
          <a:off x="7743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161B79-101A-441D-A2C0-DCE022615B36}"/>
            </a:ext>
          </a:extLst>
        </xdr:cNvPr>
        <xdr:cNvSpPr/>
      </xdr:nvSpPr>
      <xdr:spPr>
        <a:xfrm>
          <a:off x="78486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315E2-7D4E-4C3B-8A4E-C2A779AB38FB}"/>
            </a:ext>
          </a:extLst>
        </xdr:cNvPr>
        <xdr:cNvSpPr/>
      </xdr:nvSpPr>
      <xdr:spPr>
        <a:xfrm>
          <a:off x="5867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9F783-C59D-4A46-AA82-DB1C75ED3ED7}"/>
            </a:ext>
          </a:extLst>
        </xdr:cNvPr>
        <xdr:cNvSpPr/>
      </xdr:nvSpPr>
      <xdr:spPr>
        <a:xfrm>
          <a:off x="539115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7FF28B-D8D3-45A6-AF17-0AEB8CC1ADC6}"/>
            </a:ext>
          </a:extLst>
        </xdr:cNvPr>
        <xdr:cNvSpPr/>
      </xdr:nvSpPr>
      <xdr:spPr>
        <a:xfrm>
          <a:off x="6334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B010EF-C33F-4FAC-B3C4-EDDFF922C2E1}"/>
            </a:ext>
          </a:extLst>
        </xdr:cNvPr>
        <xdr:cNvSpPr/>
      </xdr:nvSpPr>
      <xdr:spPr>
        <a:xfrm>
          <a:off x="7324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DA971-3A9F-41F5-A409-D369BBFBE3FF}"/>
            </a:ext>
          </a:extLst>
        </xdr:cNvPr>
        <xdr:cNvSpPr/>
      </xdr:nvSpPr>
      <xdr:spPr>
        <a:xfrm>
          <a:off x="60198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F78EA0-F0B9-42D2-88C8-3D79366B7B6E}"/>
            </a:ext>
          </a:extLst>
        </xdr:cNvPr>
        <xdr:cNvSpPr/>
      </xdr:nvSpPr>
      <xdr:spPr>
        <a:xfrm>
          <a:off x="69532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EDBD8-6B7C-4B4F-B2B6-096E0442AC2C}"/>
            </a:ext>
          </a:extLst>
        </xdr:cNvPr>
        <xdr:cNvSpPr/>
      </xdr:nvSpPr>
      <xdr:spPr>
        <a:xfrm>
          <a:off x="6115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09471E-6EB5-48BD-B2D2-09425E530D81}"/>
            </a:ext>
          </a:extLst>
        </xdr:cNvPr>
        <xdr:cNvSpPr/>
      </xdr:nvSpPr>
      <xdr:spPr>
        <a:xfrm>
          <a:off x="61436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FD73CF-ADEA-46CF-9A0A-8203AA3D729B}"/>
            </a:ext>
          </a:extLst>
        </xdr:cNvPr>
        <xdr:cNvSpPr/>
      </xdr:nvSpPr>
      <xdr:spPr>
        <a:xfrm>
          <a:off x="5867400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37BEF6-C4DE-44E1-824A-115DBA1ACEC9}"/>
            </a:ext>
          </a:extLst>
        </xdr:cNvPr>
        <xdr:cNvSpPr/>
      </xdr:nvSpPr>
      <xdr:spPr>
        <a:xfrm>
          <a:off x="6248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1</xdr:row>
      <xdr:rowOff>38100</xdr:rowOff>
    </xdr:from>
    <xdr:to>
      <xdr:col>7</xdr:col>
      <xdr:colOff>0</xdr:colOff>
      <xdr:row>15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093452A-4F0E-4CE7-AADA-90B594B40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F7E390-99AD-4974-877C-880A36F04D56}"/>
            </a:ext>
          </a:extLst>
        </xdr:cNvPr>
        <xdr:cNvSpPr/>
      </xdr:nvSpPr>
      <xdr:spPr>
        <a:xfrm>
          <a:off x="57435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13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4BB5B-FBD3-4A6E-9E5A-2501303B6A77}"/>
            </a:ext>
          </a:extLst>
        </xdr:cNvPr>
        <xdr:cNvSpPr/>
      </xdr:nvSpPr>
      <xdr:spPr>
        <a:xfrm>
          <a:off x="105346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189563-FABF-4457-B412-D5BF403C0FC1}"/>
            </a:ext>
          </a:extLst>
        </xdr:cNvPr>
        <xdr:cNvSpPr/>
      </xdr:nvSpPr>
      <xdr:spPr>
        <a:xfrm>
          <a:off x="8705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8A6EDB-CF24-45FE-8BF6-41C4F8E84A30}"/>
            </a:ext>
          </a:extLst>
        </xdr:cNvPr>
        <xdr:cNvSpPr/>
      </xdr:nvSpPr>
      <xdr:spPr>
        <a:xfrm>
          <a:off x="7258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2</xdr:row>
      <xdr:rowOff>161924</xdr:rowOff>
    </xdr:from>
    <xdr:to>
      <xdr:col>16</xdr:col>
      <xdr:colOff>38100</xdr:colOff>
      <xdr:row>16</xdr:row>
      <xdr:rowOff>142874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856E4B-E868-4AC9-8A2F-3F43289141F8}"/>
            </a:ext>
          </a:extLst>
        </xdr:cNvPr>
        <xdr:cNvSpPr/>
      </xdr:nvSpPr>
      <xdr:spPr>
        <a:xfrm>
          <a:off x="582930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95250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C2F106-89D7-4F10-939C-1A9BA843FAD5}"/>
            </a:ext>
          </a:extLst>
        </xdr:cNvPr>
        <xdr:cNvSpPr/>
      </xdr:nvSpPr>
      <xdr:spPr>
        <a:xfrm>
          <a:off x="145827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4F043-3C68-432B-AACA-287B4DEEE684}"/>
            </a:ext>
          </a:extLst>
        </xdr:cNvPr>
        <xdr:cNvSpPr/>
      </xdr:nvSpPr>
      <xdr:spPr>
        <a:xfrm>
          <a:off x="594360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E6EB38-A06E-4685-BFD1-6B998D3CD28A}"/>
            </a:ext>
          </a:extLst>
        </xdr:cNvPr>
        <xdr:cNvSpPr/>
      </xdr:nvSpPr>
      <xdr:spPr>
        <a:xfrm>
          <a:off x="68865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A022D3-0060-449D-8391-EF67A2DB3900}"/>
            </a:ext>
          </a:extLst>
        </xdr:cNvPr>
        <xdr:cNvSpPr/>
      </xdr:nvSpPr>
      <xdr:spPr>
        <a:xfrm>
          <a:off x="6981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8CFAAA-A25E-40B8-ADDC-5978EF64D648}"/>
            </a:ext>
          </a:extLst>
        </xdr:cNvPr>
        <xdr:cNvSpPr/>
      </xdr:nvSpPr>
      <xdr:spPr>
        <a:xfrm>
          <a:off x="69818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2</xdr:row>
      <xdr:rowOff>19051</xdr:rowOff>
    </xdr:from>
    <xdr:to>
      <xdr:col>14</xdr:col>
      <xdr:colOff>123825</xdr:colOff>
      <xdr:row>15</xdr:row>
      <xdr:rowOff>38101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D537E31-88FF-45C1-A52D-504514163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E3D750-E94F-4D99-A0A4-FD2C36A79EF7}"/>
            </a:ext>
          </a:extLst>
        </xdr:cNvPr>
        <xdr:cNvSpPr/>
      </xdr:nvSpPr>
      <xdr:spPr>
        <a:xfrm>
          <a:off x="10906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1</xdr:row>
      <xdr:rowOff>171450</xdr:rowOff>
    </xdr:from>
    <xdr:to>
      <xdr:col>15</xdr:col>
      <xdr:colOff>266700</xdr:colOff>
      <xdr:row>16</xdr:row>
      <xdr:rowOff>57150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80A11B43-ED6F-4A85-B19F-8EDC3BFB9454}"/>
            </a:ext>
          </a:extLst>
        </xdr:cNvPr>
        <xdr:cNvGrpSpPr/>
      </xdr:nvGrpSpPr>
      <xdr:grpSpPr>
        <a:xfrm>
          <a:off x="7448550" y="361950"/>
          <a:ext cx="4572000" cy="2743200"/>
          <a:chOff x="7429500" y="1181100"/>
          <a:chExt cx="4572000" cy="2743200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20A4871F-587B-44AC-9DC1-44F73215B799}"/>
              </a:ext>
            </a:extLst>
          </xdr:cNvPr>
          <xdr:cNvGraphicFramePr>
            <a:graphicFrameLocks/>
          </xdr:cNvGraphicFramePr>
        </xdr:nvGraphicFramePr>
        <xdr:xfrm>
          <a:off x="7429500" y="1181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Rovná spojovacia šípka 3">
            <a:extLst>
              <a:ext uri="{FF2B5EF4-FFF2-40B4-BE49-F238E27FC236}">
                <a16:creationId xmlns:a16="http://schemas.microsoft.com/office/drawing/2014/main" id="{52BC6727-AD10-4149-A11A-ADA6893A0D58}"/>
              </a:ext>
            </a:extLst>
          </xdr:cNvPr>
          <xdr:cNvCxnSpPr/>
        </xdr:nvCxnSpPr>
        <xdr:spPr>
          <a:xfrm>
            <a:off x="11172825" y="2219325"/>
            <a:ext cx="152401" cy="70485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BlokTextu 4">
            <a:extLst>
              <a:ext uri="{FF2B5EF4-FFF2-40B4-BE49-F238E27FC236}">
                <a16:creationId xmlns:a16="http://schemas.microsoft.com/office/drawing/2014/main" id="{6665238B-4C3F-42B7-AD05-9C22454A440D}"/>
              </a:ext>
            </a:extLst>
          </xdr:cNvPr>
          <xdr:cNvSpPr txBox="1"/>
        </xdr:nvSpPr>
        <xdr:spPr>
          <a:xfrm>
            <a:off x="10782301" y="1819275"/>
            <a:ext cx="800099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900" b="1">
                <a:solidFill>
                  <a:srgbClr val="DCB47B"/>
                </a:solidFill>
                <a:latin typeface="Constantia" panose="02030602050306030303" pitchFamily="18" charset="0"/>
              </a:rPr>
              <a:t>chýbajúce opatrenia</a:t>
            </a:r>
          </a:p>
        </xdr:txBody>
      </xdr:sp>
    </xdr:grpSp>
    <xdr:clientData/>
  </xdr:twoCellAnchor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6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B3A1C5-56D8-42C3-8847-F0E14FA80DA2}"/>
            </a:ext>
          </a:extLst>
        </xdr:cNvPr>
        <xdr:cNvSpPr/>
      </xdr:nvSpPr>
      <xdr:spPr>
        <a:xfrm>
          <a:off x="123634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95249</xdr:colOff>
      <xdr:row>2</xdr:row>
      <xdr:rowOff>142875</xdr:rowOff>
    </xdr:from>
    <xdr:to>
      <xdr:col>14</xdr:col>
      <xdr:colOff>314324</xdr:colOff>
      <xdr:row>17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FE90A69-9F95-4C50-AA4D-3986A0FD2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161925</xdr:colOff>
      <xdr:row>3</xdr:row>
      <xdr:rowOff>76200</xdr:rowOff>
    </xdr:from>
    <xdr:to>
      <xdr:col>22</xdr:col>
      <xdr:colOff>57151</xdr:colOff>
      <xdr:row>16</xdr:row>
      <xdr:rowOff>152401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843AE36-C817-4193-A4D2-BC2F8C2F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2</xdr:row>
      <xdr:rowOff>0</xdr:rowOff>
    </xdr:from>
    <xdr:to>
      <xdr:col>23</xdr:col>
      <xdr:colOff>514350</xdr:colOff>
      <xdr:row>3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C55075-CD2D-42AA-B5EE-D86DA511144D}"/>
            </a:ext>
          </a:extLst>
        </xdr:cNvPr>
        <xdr:cNvSpPr/>
      </xdr:nvSpPr>
      <xdr:spPr>
        <a:xfrm>
          <a:off x="15011400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3</xdr:row>
      <xdr:rowOff>133350</xdr:rowOff>
    </xdr:from>
    <xdr:to>
      <xdr:col>13</xdr:col>
      <xdr:colOff>257175</xdr:colOff>
      <xdr:row>18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BAE2AFD-83E0-41EE-9ECA-6CDD3B94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3</xdr:row>
      <xdr:rowOff>123824</xdr:rowOff>
    </xdr:from>
    <xdr:to>
      <xdr:col>19</xdr:col>
      <xdr:colOff>142875</xdr:colOff>
      <xdr:row>18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E6E12D9-E0EF-496E-9F72-55B54CBC7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1</xdr:row>
      <xdr:rowOff>9525</xdr:rowOff>
    </xdr:from>
    <xdr:to>
      <xdr:col>21</xdr:col>
      <xdr:colOff>514350</xdr:colOff>
      <xdr:row>2</xdr:row>
      <xdr:rowOff>95250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1BA512-5982-40E4-A092-A9CA3927B3BE}"/>
            </a:ext>
          </a:extLst>
        </xdr:cNvPr>
        <xdr:cNvSpPr/>
      </xdr:nvSpPr>
      <xdr:spPr>
        <a:xfrm>
          <a:off x="16154400" y="1714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15</xdr:col>
      <xdr:colOff>561974</xdr:colOff>
      <xdr:row>18</xdr:row>
      <xdr:rowOff>28575</xdr:rowOff>
    </xdr:to>
    <xdr:grpSp>
      <xdr:nvGrpSpPr>
        <xdr:cNvPr id="32" name="Skupina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0" y="409575"/>
          <a:ext cx="9705974" cy="3048000"/>
          <a:chOff x="23679147" y="3838575"/>
          <a:chExt cx="9734552" cy="3066872"/>
        </a:xfrm>
      </xdr:grpSpPr>
      <xdr:grpSp>
        <xdr:nvGrpSpPr>
          <xdr:cNvPr id="28" name="Skupina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GrpSpPr/>
        </xdr:nvGrpSpPr>
        <xdr:grpSpPr>
          <a:xfrm>
            <a:off x="23679147" y="3838575"/>
            <a:ext cx="9734552" cy="3066872"/>
            <a:chOff x="24809557" y="3505141"/>
            <a:chExt cx="10268868" cy="3085687"/>
          </a:xfrm>
        </xdr:grpSpPr>
        <xdr:graphicFrame macro="">
          <xdr:nvGraphicFramePr>
            <xdr:cNvPr id="24" name="Graf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GraphicFramePr/>
          </xdr:nvGraphicFramePr>
          <xdr:xfrm>
            <a:off x="24809557" y="3505141"/>
            <a:ext cx="4491376" cy="305711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6" name="Graf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GraphicFramePr>
              <a:graphicFrameLocks/>
            </xdr:cNvGraphicFramePr>
          </xdr:nvGraphicFramePr>
          <xdr:xfrm>
            <a:off x="29180358" y="3514492"/>
            <a:ext cx="3087592" cy="304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7" name="Graf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GraphicFramePr>
              <a:graphicFrameLocks/>
            </xdr:cNvGraphicFramePr>
          </xdr:nvGraphicFramePr>
          <xdr:xfrm>
            <a:off x="32154511" y="3514785"/>
            <a:ext cx="2923914" cy="307604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pSp>
        <xdr:nvGrpSpPr>
          <xdr:cNvPr id="31" name="Skupina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GrpSpPr/>
        </xdr:nvGrpSpPr>
        <xdr:grpSpPr>
          <a:xfrm>
            <a:off x="27251025" y="3894369"/>
            <a:ext cx="6048374" cy="289229"/>
            <a:chOff x="27251025" y="3894369"/>
            <a:chExt cx="6048374" cy="289229"/>
          </a:xfrm>
        </xdr:grpSpPr>
        <xdr:sp macro="" textlink="">
          <xdr:nvSpPr>
            <xdr:cNvPr id="25" name="Obdĺžnik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/>
          </xdr:nvSpPr>
          <xdr:spPr>
            <a:xfrm>
              <a:off x="27251025" y="3913597"/>
              <a:ext cx="571500" cy="270001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sk-SK" sz="1100" b="1">
                  <a:solidFill>
                    <a:sysClr val="windowText" lastClr="000000"/>
                  </a:solidFill>
                  <a:latin typeface="Constantia" panose="02030602050306030303" pitchFamily="18" charset="0"/>
                </a:rPr>
                <a:t>-0,88</a:t>
              </a:r>
            </a:p>
          </xdr:txBody>
        </xdr:sp>
        <xdr:sp macro="" textlink="">
          <xdr:nvSpPr>
            <xdr:cNvPr id="29" name="Obdĺžnik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29994224" y="3894369"/>
              <a:ext cx="542925" cy="276225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sk-SK" sz="1100" b="1">
                  <a:solidFill>
                    <a:sysClr val="windowText" lastClr="000000"/>
                  </a:solidFill>
                  <a:latin typeface="Constantia" panose="02030602050306030303" pitchFamily="18" charset="0"/>
                </a:rPr>
                <a:t>-0,27</a:t>
              </a:r>
            </a:p>
          </xdr:txBody>
        </xdr:sp>
        <xdr:sp macro="" textlink="">
          <xdr:nvSpPr>
            <xdr:cNvPr id="30" name="Obdĺžnik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SpPr/>
          </xdr:nvSpPr>
          <xdr:spPr>
            <a:xfrm>
              <a:off x="32756474" y="3904071"/>
              <a:ext cx="542925" cy="276225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sk-SK" sz="1100" b="1">
                  <a:solidFill>
                    <a:sysClr val="windowText" lastClr="000000"/>
                  </a:solidFill>
                  <a:latin typeface="Constantia" panose="02030602050306030303" pitchFamily="18" charset="0"/>
                </a:rPr>
                <a:t>-0,56</a:t>
              </a:r>
            </a:p>
          </xdr:txBody>
        </xdr:sp>
      </xdr:grpSp>
    </xdr:grpSp>
    <xdr:clientData/>
  </xdr:twoCellAnchor>
  <xdr:twoCellAnchor>
    <xdr:from>
      <xdr:col>16</xdr:col>
      <xdr:colOff>0</xdr:colOff>
      <xdr:row>2</xdr:row>
      <xdr:rowOff>0</xdr:rowOff>
    </xdr:from>
    <xdr:to>
      <xdr:col>16</xdr:col>
      <xdr:colOff>514350</xdr:colOff>
      <xdr:row>3</xdr:row>
      <xdr:rowOff>57150</xdr:rowOff>
    </xdr:to>
    <xdr:sp macro="" textlink="">
      <xdr:nvSpPr>
        <xdr:cNvPr id="11" name="Šípka doľava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EB80DE-5AB9-486D-AFA7-B1E06D3343C1}"/>
            </a:ext>
          </a:extLst>
        </xdr:cNvPr>
        <xdr:cNvSpPr/>
      </xdr:nvSpPr>
      <xdr:spPr>
        <a:xfrm>
          <a:off x="19802475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0.80769</cdr:x>
      <cdr:y>0.41614</cdr:y>
    </cdr:from>
    <cdr:to>
      <cdr:x>0.9667</cdr:x>
      <cdr:y>0.58856</cdr:y>
    </cdr:to>
    <cdr:sp macro="" textlink="">
      <cdr:nvSpPr>
        <cdr:cNvPr id="2" name="Oval 22">
          <a:extLst xmlns:a="http://schemas.openxmlformats.org/drawingml/2006/main">
            <a:ext uri="{FF2B5EF4-FFF2-40B4-BE49-F238E27FC236}">
              <a16:creationId xmlns:a16="http://schemas.microsoft.com/office/drawing/2014/main" id="{684B1F8B-AC21-4866-8D19-7165E328B8FE}"/>
            </a:ext>
          </a:extLst>
        </cdr:cNvPr>
        <cdr:cNvSpPr/>
      </cdr:nvSpPr>
      <cdr:spPr>
        <a:xfrm xmlns:a="http://schemas.openxmlformats.org/drawingml/2006/main">
          <a:off x="3438866" y="1256665"/>
          <a:ext cx="677013" cy="52067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0,05</a:t>
          </a:r>
        </a:p>
      </cdr:txBody>
    </cdr:sp>
  </cdr:relSizeAnchor>
  <cdr:relSizeAnchor xmlns:cdr="http://schemas.openxmlformats.org/drawingml/2006/chartDrawing">
    <cdr:from>
      <cdr:x>0.39455</cdr:x>
      <cdr:y>0.64031</cdr:y>
    </cdr:from>
    <cdr:to>
      <cdr:x>0.55793</cdr:x>
      <cdr:y>0.80905</cdr:y>
    </cdr:to>
    <cdr:sp macro="" textlink="">
      <cdr:nvSpPr>
        <cdr:cNvPr id="3" name="Oval 22">
          <a:extLst xmlns:a="http://schemas.openxmlformats.org/drawingml/2006/main">
            <a:ext uri="{FF2B5EF4-FFF2-40B4-BE49-F238E27FC236}">
              <a16:creationId xmlns:a16="http://schemas.microsoft.com/office/drawing/2014/main" id="{57805997-B11A-4BB6-B261-C35F777A7282}"/>
            </a:ext>
          </a:extLst>
        </cdr:cNvPr>
        <cdr:cNvSpPr/>
      </cdr:nvSpPr>
      <cdr:spPr>
        <a:xfrm xmlns:a="http://schemas.openxmlformats.org/drawingml/2006/main">
          <a:off x="1679867" y="1933594"/>
          <a:ext cx="695619" cy="509557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-0,93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0.10088</cdr:x>
      <cdr:y>0.75137</cdr:y>
    </cdr:from>
    <cdr:to>
      <cdr:x>0.33844</cdr:x>
      <cdr:y>0.88971</cdr:y>
    </cdr:to>
    <cdr:sp macro="" textlink="">
      <cdr:nvSpPr>
        <cdr:cNvPr id="2" name="Oval 22">
          <a:extLst xmlns:a="http://schemas.openxmlformats.org/drawingml/2006/main">
            <a:ext uri="{FF2B5EF4-FFF2-40B4-BE49-F238E27FC236}">
              <a16:creationId xmlns:a16="http://schemas.microsoft.com/office/drawing/2014/main" id="{874DE961-1585-41BB-A6FE-649B5B8ED5FB}"/>
            </a:ext>
          </a:extLst>
        </cdr:cNvPr>
        <cdr:cNvSpPr/>
      </cdr:nvSpPr>
      <cdr:spPr>
        <a:xfrm xmlns:a="http://schemas.openxmlformats.org/drawingml/2006/main">
          <a:off x="295281" y="2262203"/>
          <a:ext cx="695324" cy="416510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-0,62</a:t>
          </a:r>
        </a:p>
      </cdr:txBody>
    </cdr:sp>
  </cdr:relSizeAnchor>
  <cdr:relSizeAnchor xmlns:cdr="http://schemas.openxmlformats.org/drawingml/2006/chartDrawing">
    <cdr:from>
      <cdr:x>0.64435</cdr:x>
      <cdr:y>0.60304</cdr:y>
    </cdr:from>
    <cdr:to>
      <cdr:x>0.90143</cdr:x>
      <cdr:y>0.77597</cdr:y>
    </cdr:to>
    <cdr:sp macro="" textlink="">
      <cdr:nvSpPr>
        <cdr:cNvPr id="3" name="Oval 22">
          <a:extLst xmlns:a="http://schemas.openxmlformats.org/drawingml/2006/main">
            <a:ext uri="{FF2B5EF4-FFF2-40B4-BE49-F238E27FC236}">
              <a16:creationId xmlns:a16="http://schemas.microsoft.com/office/drawing/2014/main" id="{2A3FC0F3-42EC-4078-BFB0-EA07EA6DB466}"/>
            </a:ext>
          </a:extLst>
        </cdr:cNvPr>
        <cdr:cNvSpPr/>
      </cdr:nvSpPr>
      <cdr:spPr>
        <a:xfrm xmlns:a="http://schemas.openxmlformats.org/drawingml/2006/main">
          <a:off x="1885972" y="1838312"/>
          <a:ext cx="752457" cy="52716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0,12</a:t>
          </a:r>
        </a:p>
      </cdr:txBody>
    </cdr:sp>
  </cdr:relSizeAnchor>
  <cdr:relSizeAnchor xmlns:cdr="http://schemas.openxmlformats.org/drawingml/2006/chartDrawing">
    <cdr:from>
      <cdr:x>0.47187</cdr:x>
      <cdr:y>0.23581</cdr:y>
    </cdr:from>
    <cdr:to>
      <cdr:x>1</cdr:x>
      <cdr:y>0.37188</cdr:y>
    </cdr:to>
    <cdr:sp macro="" textlink="">
      <cdr:nvSpPr>
        <cdr:cNvPr id="4" name="Oval 22">
          <a:extLst xmlns:a="http://schemas.openxmlformats.org/drawingml/2006/main">
            <a:ext uri="{FF2B5EF4-FFF2-40B4-BE49-F238E27FC236}">
              <a16:creationId xmlns:a16="http://schemas.microsoft.com/office/drawing/2014/main" id="{F1B4393A-D9F7-4383-958D-92AC0465667F}"/>
            </a:ext>
          </a:extLst>
        </cdr:cNvPr>
        <cdr:cNvSpPr/>
      </cdr:nvSpPr>
      <cdr:spPr>
        <a:xfrm xmlns:a="http://schemas.openxmlformats.org/drawingml/2006/main">
          <a:off x="1381134" y="718845"/>
          <a:ext cx="1545803" cy="41479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accent2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0">
              <a:solidFill>
                <a:schemeClr val="accent2"/>
              </a:solidFill>
              <a:latin typeface="Constantia" panose="02030602050306030303" pitchFamily="18" charset="0"/>
            </a:rPr>
            <a:t>+</a:t>
          </a:r>
          <a:r>
            <a:rPr lang="sk-SK" sz="900" b="0">
              <a:solidFill>
                <a:schemeClr val="accent2"/>
              </a:solidFill>
              <a:latin typeface="Constantia" panose="02030602050306030303" pitchFamily="18" charset="0"/>
            </a:rPr>
            <a:t> nešpecifikované </a:t>
          </a:r>
          <a:r>
            <a:rPr lang="sk-SK" sz="1000" b="0">
              <a:solidFill>
                <a:schemeClr val="accent2"/>
              </a:solidFill>
              <a:latin typeface="Constantia" panose="02030602050306030303" pitchFamily="18" charset="0"/>
            </a:rPr>
            <a:t>0,22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0.10898</cdr:x>
      <cdr:y>0.73744</cdr:y>
    </cdr:from>
    <cdr:to>
      <cdr:x>0.34614</cdr:x>
      <cdr:y>0.8825</cdr:y>
    </cdr:to>
    <cdr:sp macro="" textlink="">
      <cdr:nvSpPr>
        <cdr:cNvPr id="2" name="Oval 22">
          <a:extLst xmlns:a="http://schemas.openxmlformats.org/drawingml/2006/main">
            <a:ext uri="{FF2B5EF4-FFF2-40B4-BE49-F238E27FC236}">
              <a16:creationId xmlns:a16="http://schemas.microsoft.com/office/drawing/2014/main" id="{53E1F2C1-D6B8-4241-9337-C395C3B091EB}"/>
            </a:ext>
          </a:extLst>
        </cdr:cNvPr>
        <cdr:cNvSpPr/>
      </cdr:nvSpPr>
      <cdr:spPr>
        <a:xfrm xmlns:a="http://schemas.openxmlformats.org/drawingml/2006/main">
          <a:off x="307979" y="2261893"/>
          <a:ext cx="670229" cy="444932"/>
        </a:xfrm>
        <a:prstGeom xmlns:a="http://schemas.openxmlformats.org/drawingml/2006/main" prst="ellipse">
          <a:avLst/>
        </a:prstGeom>
        <a:solidFill xmlns:a="http://schemas.openxmlformats.org/drawingml/2006/main">
          <a:srgbClr val="B2E4F8"/>
        </a:solidFill>
        <a:ln xmlns:a="http://schemas.openxmlformats.org/drawingml/2006/main">
          <a:solidFill>
            <a:srgbClr val="B2E4F8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-1,02</a:t>
          </a:r>
        </a:p>
      </cdr:txBody>
    </cdr:sp>
  </cdr:relSizeAnchor>
  <cdr:relSizeAnchor xmlns:cdr="http://schemas.openxmlformats.org/drawingml/2006/chartDrawing">
    <cdr:from>
      <cdr:x>0.66172</cdr:x>
      <cdr:y>0.40551</cdr:y>
    </cdr:from>
    <cdr:to>
      <cdr:x>0.90563</cdr:x>
      <cdr:y>0.56394</cdr:y>
    </cdr:to>
    <cdr:sp macro="" textlink="">
      <cdr:nvSpPr>
        <cdr:cNvPr id="3" name="Oval 22">
          <a:extLst xmlns:a="http://schemas.openxmlformats.org/drawingml/2006/main">
            <a:ext uri="{FF2B5EF4-FFF2-40B4-BE49-F238E27FC236}">
              <a16:creationId xmlns:a16="http://schemas.microsoft.com/office/drawing/2014/main" id="{9CD9A230-DFDA-4364-981D-1639BB23214B}"/>
            </a:ext>
          </a:extLst>
        </cdr:cNvPr>
        <cdr:cNvSpPr/>
      </cdr:nvSpPr>
      <cdr:spPr>
        <a:xfrm xmlns:a="http://schemas.openxmlformats.org/drawingml/2006/main">
          <a:off x="1870059" y="1243804"/>
          <a:ext cx="689304" cy="48594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0,19</a:t>
          </a:r>
        </a:p>
      </cdr:txBody>
    </cdr:sp>
  </cdr:relSizeAnchor>
  <cdr:relSizeAnchor xmlns:cdr="http://schemas.openxmlformats.org/drawingml/2006/chartDrawing">
    <cdr:from>
      <cdr:x>0.43986</cdr:x>
      <cdr:y>0.24564</cdr:y>
    </cdr:from>
    <cdr:to>
      <cdr:x>1</cdr:x>
      <cdr:y>0.38078</cdr:y>
    </cdr:to>
    <cdr:sp macro="" textlink="">
      <cdr:nvSpPr>
        <cdr:cNvPr id="4" name="Oval 22">
          <a:extLst xmlns:a="http://schemas.openxmlformats.org/drawingml/2006/main">
            <a:ext uri="{FF2B5EF4-FFF2-40B4-BE49-F238E27FC236}">
              <a16:creationId xmlns:a16="http://schemas.microsoft.com/office/drawing/2014/main" id="{A5B974F6-2327-4D53-88D4-B8716FD8486F}"/>
            </a:ext>
          </a:extLst>
        </cdr:cNvPr>
        <cdr:cNvSpPr/>
      </cdr:nvSpPr>
      <cdr:spPr>
        <a:xfrm xmlns:a="http://schemas.openxmlformats.org/drawingml/2006/main">
          <a:off x="1219202" y="755690"/>
          <a:ext cx="1552573" cy="41576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accent2"/>
          </a:solidFill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1000" b="1">
              <a:solidFill>
                <a:schemeClr val="accent2"/>
              </a:solidFill>
              <a:latin typeface="Constantia" panose="02030602050306030303" pitchFamily="18" charset="0"/>
            </a:rPr>
            <a:t>+ </a:t>
          </a:r>
          <a:r>
            <a:rPr lang="sk-SK" sz="900" b="0">
              <a:solidFill>
                <a:schemeClr val="accent2"/>
              </a:solidFill>
              <a:latin typeface="Constantia" panose="02030602050306030303" pitchFamily="18" charset="0"/>
            </a:rPr>
            <a:t>nešpecifikované </a:t>
          </a:r>
          <a:r>
            <a:rPr lang="sk-SK" sz="1000" b="1">
              <a:solidFill>
                <a:schemeClr val="accent2"/>
              </a:solidFill>
              <a:latin typeface="Constantia" panose="02030602050306030303" pitchFamily="18" charset="0"/>
            </a:rPr>
            <a:t>0,27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200025</xdr:colOff>
      <xdr:row>2</xdr:row>
      <xdr:rowOff>66675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815D4-023A-4D08-823E-B08CF664F719}"/>
            </a:ext>
          </a:extLst>
        </xdr:cNvPr>
        <xdr:cNvSpPr/>
      </xdr:nvSpPr>
      <xdr:spPr>
        <a:xfrm>
          <a:off x="6581775" y="1809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595992</xdr:colOff>
      <xdr:row>1</xdr:row>
      <xdr:rowOff>112939</xdr:rowOff>
    </xdr:from>
    <xdr:to>
      <xdr:col>16</xdr:col>
      <xdr:colOff>377421</xdr:colOff>
      <xdr:row>18</xdr:row>
      <xdr:rowOff>114439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7FE9DF-22EC-4E90-84C4-C04736E4A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514350</xdr:colOff>
      <xdr:row>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E66035-958E-47BA-A6DD-B4C08D225B07}"/>
            </a:ext>
          </a:extLst>
        </xdr:cNvPr>
        <xdr:cNvSpPr/>
      </xdr:nvSpPr>
      <xdr:spPr>
        <a:xfrm>
          <a:off x="11058525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0.60767</cdr:x>
      <cdr:y>0.021</cdr:y>
    </cdr:from>
    <cdr:to>
      <cdr:x>0.74432</cdr:x>
      <cdr:y>0.41157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95AACCA9-2BE5-49C3-BE2D-54D8923F3ECE}"/>
            </a:ext>
          </a:extLst>
        </cdr:cNvPr>
        <cdr:cNvSpPr/>
      </cdr:nvSpPr>
      <cdr:spPr>
        <a:xfrm xmlns:a="http://schemas.openxmlformats.org/drawingml/2006/main">
          <a:off x="2843893" y="68036"/>
          <a:ext cx="639536" cy="126546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34925">
          <a:solidFill>
            <a:srgbClr val="00B0F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114300</xdr:rowOff>
    </xdr:from>
    <xdr:to>
      <xdr:col>15</xdr:col>
      <xdr:colOff>489000</xdr:colOff>
      <xdr:row>25</xdr:row>
      <xdr:rowOff>1500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241C10-76B5-4E5E-9D5A-79F826336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EBF382-E15C-41AD-8FE3-15AE8E81958E}"/>
            </a:ext>
          </a:extLst>
        </xdr:cNvPr>
        <xdr:cNvSpPr/>
      </xdr:nvSpPr>
      <xdr:spPr>
        <a:xfrm>
          <a:off x="112109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309791</xdr:colOff>
      <xdr:row>10</xdr:row>
      <xdr:rowOff>172509</xdr:rowOff>
    </xdr:from>
    <xdr:to>
      <xdr:col>17</xdr:col>
      <xdr:colOff>511175</xdr:colOff>
      <xdr:row>28</xdr:row>
      <xdr:rowOff>96308</xdr:rowOff>
    </xdr:to>
    <xdr:graphicFrame macro="">
      <xdr:nvGraphicFramePr>
        <xdr:cNvPr id="2" name="Graf 3">
          <a:extLst>
            <a:ext uri="{FF2B5EF4-FFF2-40B4-BE49-F238E27FC236}">
              <a16:creationId xmlns:a16="http://schemas.microsoft.com/office/drawing/2014/main" id="{410F2C99-8E3D-4464-A4F7-1F64771B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67277</xdr:colOff>
      <xdr:row>11</xdr:row>
      <xdr:rowOff>17994</xdr:rowOff>
    </xdr:from>
    <xdr:to>
      <xdr:col>9</xdr:col>
      <xdr:colOff>150283</xdr:colOff>
      <xdr:row>27</xdr:row>
      <xdr:rowOff>56092</xdr:rowOff>
    </xdr:to>
    <xdr:graphicFrame macro="">
      <xdr:nvGraphicFramePr>
        <xdr:cNvPr id="3" name="Graf 3">
          <a:extLst>
            <a:ext uri="{FF2B5EF4-FFF2-40B4-BE49-F238E27FC236}">
              <a16:creationId xmlns:a16="http://schemas.microsoft.com/office/drawing/2014/main" id="{EEE90A76-3674-42FF-B222-C5E4FECF4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19</xdr:col>
      <xdr:colOff>514350</xdr:colOff>
      <xdr:row>4</xdr:row>
      <xdr:rowOff>57150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9AD6F6-9902-433C-B553-18AECDC5260B}"/>
            </a:ext>
          </a:extLst>
        </xdr:cNvPr>
        <xdr:cNvSpPr/>
      </xdr:nvSpPr>
      <xdr:spPr>
        <a:xfrm>
          <a:off x="13102167" y="571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0.78537</cdr:x>
      <cdr:y>0.07743</cdr:y>
    </cdr:from>
    <cdr:to>
      <cdr:x>0.78537</cdr:x>
      <cdr:y>0.1619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0F5C4EBD-9BB2-4E17-A5F7-91577E520E24}"/>
            </a:ext>
          </a:extLst>
        </cdr:cNvPr>
        <cdr:cNvCxnSpPr/>
      </cdr:nvCxnSpPr>
      <cdr:spPr>
        <a:xfrm xmlns:a="http://schemas.openxmlformats.org/drawingml/2006/main" flipV="1">
          <a:off x="4381501" y="299357"/>
          <a:ext cx="0" cy="32657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6</xdr:row>
      <xdr:rowOff>95250</xdr:rowOff>
    </xdr:from>
    <xdr:to>
      <xdr:col>6</xdr:col>
      <xdr:colOff>460425</xdr:colOff>
      <xdr:row>27</xdr:row>
      <xdr:rowOff>134850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567A2F-DBD7-4380-A0CA-7E9F0B851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23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D5AF9B-E292-4024-9666-877A803DAF99}"/>
            </a:ext>
          </a:extLst>
        </xdr:cNvPr>
        <xdr:cNvSpPr/>
      </xdr:nvSpPr>
      <xdr:spPr>
        <a:xfrm>
          <a:off x="148685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64558</xdr:colOff>
      <xdr:row>8</xdr:row>
      <xdr:rowOff>22226</xdr:rowOff>
    </xdr:from>
    <xdr:to>
      <xdr:col>60</xdr:col>
      <xdr:colOff>96307</xdr:colOff>
      <xdr:row>27</xdr:row>
      <xdr:rowOff>110067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57E969-BBB6-4BEB-9E13-50DD1CF0E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0</xdr:colOff>
      <xdr:row>1</xdr:row>
      <xdr:rowOff>0</xdr:rowOff>
    </xdr:from>
    <xdr:to>
      <xdr:col>61</xdr:col>
      <xdr:colOff>514350</xdr:colOff>
      <xdr:row>2</xdr:row>
      <xdr:rowOff>85725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ED3507-65C7-440F-8AC6-B4E24B3F2574}"/>
            </a:ext>
          </a:extLst>
        </xdr:cNvPr>
        <xdr:cNvSpPr/>
      </xdr:nvSpPr>
      <xdr:spPr>
        <a:xfrm>
          <a:off x="337470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2</xdr:row>
      <xdr:rowOff>47625</xdr:rowOff>
    </xdr:from>
    <xdr:to>
      <xdr:col>14</xdr:col>
      <xdr:colOff>317550</xdr:colOff>
      <xdr:row>22</xdr:row>
      <xdr:rowOff>39600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3A0C14-A91D-48D9-B8C1-85B5E7605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102594-237A-485C-8D42-DAE2DC0D8012}"/>
            </a:ext>
          </a:extLst>
        </xdr:cNvPr>
        <xdr:cNvSpPr/>
      </xdr:nvSpPr>
      <xdr:spPr>
        <a:xfrm>
          <a:off x="109251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0.02604</cdr:x>
      <cdr:y>0.04718</cdr:y>
    </cdr:from>
    <cdr:to>
      <cdr:x>0.09218</cdr:x>
      <cdr:y>0.13537</cdr:y>
    </cdr:to>
    <cdr:sp macro="" textlink="">
      <cdr:nvSpPr>
        <cdr:cNvPr id="5" name="BlokTextu 4"/>
        <cdr:cNvSpPr txBox="1"/>
      </cdr:nvSpPr>
      <cdr:spPr>
        <a:xfrm xmlns:a="http://schemas.openxmlformats.org/drawingml/2006/main">
          <a:off x="121853" y="152400"/>
          <a:ext cx="309535" cy="284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rgbClr val="58595B"/>
              </a:solidFill>
              <a:latin typeface="Constantia" panose="02030602050306030303" pitchFamily="18" charset="0"/>
            </a:rPr>
            <a:t>%</a:t>
          </a:r>
          <a:endParaRPr lang="sk-SK" sz="1000">
            <a:solidFill>
              <a:srgbClr val="58595B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0.67083</cdr:x>
      <cdr:y>0.57986</cdr:y>
    </cdr:from>
    <cdr:to>
      <cdr:x>0.99792</cdr:x>
      <cdr:y>0.78472</cdr:y>
    </cdr:to>
    <cdr:sp macro="" textlink="">
      <cdr:nvSpPr>
        <cdr:cNvPr id="8" name="Oval 7">
          <a:extLst xmlns:a="http://schemas.openxmlformats.org/drawingml/2006/main">
            <a:ext uri="{FF2B5EF4-FFF2-40B4-BE49-F238E27FC236}">
              <a16:creationId xmlns:a16="http://schemas.microsoft.com/office/drawing/2014/main" id="{E64DB2DF-D322-4253-A0C6-317218482A8E}"/>
            </a:ext>
          </a:extLst>
        </cdr:cNvPr>
        <cdr:cNvSpPr/>
      </cdr:nvSpPr>
      <cdr:spPr>
        <a:xfrm xmlns:a="http://schemas.openxmlformats.org/drawingml/2006/main">
          <a:off x="3067050" y="1590675"/>
          <a:ext cx="1495425" cy="56197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5400">
          <a:solidFill>
            <a:srgbClr val="00B0F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4</xdr:row>
      <xdr:rowOff>114300</xdr:rowOff>
    </xdr:from>
    <xdr:to>
      <xdr:col>14</xdr:col>
      <xdr:colOff>420737</xdr:colOff>
      <xdr:row>26</xdr:row>
      <xdr:rowOff>72937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C9570C-807E-4D7E-A36F-D01DDE3D3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96F797-EB8C-41F9-80E3-E7FB810D4EB6}"/>
            </a:ext>
          </a:extLst>
        </xdr:cNvPr>
        <xdr:cNvSpPr/>
      </xdr:nvSpPr>
      <xdr:spPr>
        <a:xfrm>
          <a:off x="102774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CFA2D0-D546-4C49-AAC6-3ABAEAF64069}"/>
            </a:ext>
          </a:extLst>
        </xdr:cNvPr>
        <xdr:cNvSpPr/>
      </xdr:nvSpPr>
      <xdr:spPr>
        <a:xfrm>
          <a:off x="68199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167490</xdr:colOff>
      <xdr:row>6</xdr:row>
      <xdr:rowOff>18256</xdr:rowOff>
    </xdr:from>
    <xdr:to>
      <xdr:col>8</xdr:col>
      <xdr:colOff>392905</xdr:colOff>
      <xdr:row>23</xdr:row>
      <xdr:rowOff>19756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28E8BD-2153-4FF1-920A-12BD89F1B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</xdr:row>
      <xdr:rowOff>0</xdr:rowOff>
    </xdr:from>
    <xdr:to>
      <xdr:col>10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530258-96FE-4FA8-85FC-80CBE1B408E1}"/>
            </a:ext>
          </a:extLst>
        </xdr:cNvPr>
        <xdr:cNvSpPr/>
      </xdr:nvSpPr>
      <xdr:spPr>
        <a:xfrm>
          <a:off x="7534275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0.22472</cdr:x>
      <cdr:y>0.19354</cdr:y>
    </cdr:from>
    <cdr:to>
      <cdr:x>0.87601</cdr:x>
      <cdr:y>0.58306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DA151582-6C15-4433-B273-074BE6C0BC91}"/>
            </a:ext>
          </a:extLst>
        </cdr:cNvPr>
        <cdr:cNvCxnSpPr/>
      </cdr:nvCxnSpPr>
      <cdr:spPr>
        <a:xfrm xmlns:a="http://schemas.openxmlformats.org/drawingml/2006/main">
          <a:off x="1051708" y="627062"/>
          <a:ext cx="3048000" cy="12620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prstDash val="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16</xdr:row>
      <xdr:rowOff>76200</xdr:rowOff>
    </xdr:from>
    <xdr:to>
      <xdr:col>8</xdr:col>
      <xdr:colOff>590550</xdr:colOff>
      <xdr:row>31</xdr:row>
      <xdr:rowOff>98700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2703D1-E4D1-4BF8-BD85-9F6C9D118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16</xdr:row>
      <xdr:rowOff>66675</xdr:rowOff>
    </xdr:from>
    <xdr:to>
      <xdr:col>8</xdr:col>
      <xdr:colOff>590550</xdr:colOff>
      <xdr:row>31</xdr:row>
      <xdr:rowOff>89175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D05205-DF2A-4434-8A79-43F58F6ED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12</xdr:col>
      <xdr:colOff>514350</xdr:colOff>
      <xdr:row>1</xdr:row>
      <xdr:rowOff>247650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A801B9-CE13-4EDD-A6C3-B2EB65A2FB20}"/>
            </a:ext>
          </a:extLst>
        </xdr:cNvPr>
        <xdr:cNvSpPr/>
      </xdr:nvSpPr>
      <xdr:spPr>
        <a:xfrm>
          <a:off x="7858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433389</xdr:colOff>
      <xdr:row>9</xdr:row>
      <xdr:rowOff>91280</xdr:rowOff>
    </xdr:from>
    <xdr:to>
      <xdr:col>9</xdr:col>
      <xdr:colOff>141339</xdr:colOff>
      <xdr:row>25</xdr:row>
      <xdr:rowOff>123736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E12DF3A2-1CCD-49E4-9540-1AE90298E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</xdr:row>
      <xdr:rowOff>0</xdr:rowOff>
    </xdr:from>
    <xdr:to>
      <xdr:col>11</xdr:col>
      <xdr:colOff>514350</xdr:colOff>
      <xdr:row>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656253-15AF-4A39-9E78-A51AAC40AFC8}"/>
            </a:ext>
          </a:extLst>
        </xdr:cNvPr>
        <xdr:cNvSpPr/>
      </xdr:nvSpPr>
      <xdr:spPr>
        <a:xfrm>
          <a:off x="8143875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0.76764</cdr:x>
      <cdr:y>0.64376</cdr:y>
    </cdr:from>
    <cdr:to>
      <cdr:x>0.91518</cdr:x>
      <cdr:y>0.75716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8AEC45D-06F8-4E48-B873-2D3969D38B42}"/>
            </a:ext>
          </a:extLst>
        </cdr:cNvPr>
        <cdr:cNvSpPr txBox="1"/>
      </cdr:nvSpPr>
      <cdr:spPr>
        <a:xfrm xmlns:a="http://schemas.openxmlformats.org/drawingml/2006/main">
          <a:off x="4274342" y="2230437"/>
          <a:ext cx="821531" cy="3929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200">
              <a:latin typeface="Constantia" panose="02030602050306030303" pitchFamily="18" charset="0"/>
            </a:rPr>
            <a:t>t+1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433389</xdr:colOff>
      <xdr:row>9</xdr:row>
      <xdr:rowOff>91280</xdr:rowOff>
    </xdr:from>
    <xdr:to>
      <xdr:col>9</xdr:col>
      <xdr:colOff>141339</xdr:colOff>
      <xdr:row>25</xdr:row>
      <xdr:rowOff>123736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1C887313-3EB1-4842-8B01-1560553EF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</xdr:row>
      <xdr:rowOff>0</xdr:rowOff>
    </xdr:from>
    <xdr:to>
      <xdr:col>11</xdr:col>
      <xdr:colOff>514350</xdr:colOff>
      <xdr:row>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9533DD-0BF3-41BC-8AE8-466241B10A18}"/>
            </a:ext>
          </a:extLst>
        </xdr:cNvPr>
        <xdr:cNvSpPr/>
      </xdr:nvSpPr>
      <xdr:spPr>
        <a:xfrm>
          <a:off x="8143875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0.76764</cdr:x>
      <cdr:y>0.64376</cdr:y>
    </cdr:from>
    <cdr:to>
      <cdr:x>0.91518</cdr:x>
      <cdr:y>0.75716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8AEC45D-06F8-4E48-B873-2D3969D38B42}"/>
            </a:ext>
          </a:extLst>
        </cdr:cNvPr>
        <cdr:cNvSpPr txBox="1"/>
      </cdr:nvSpPr>
      <cdr:spPr>
        <a:xfrm xmlns:a="http://schemas.openxmlformats.org/drawingml/2006/main">
          <a:off x="4274342" y="2230437"/>
          <a:ext cx="821531" cy="3929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200">
              <a:latin typeface="Constantia" panose="02030602050306030303" pitchFamily="18" charset="0"/>
            </a:rPr>
            <a:t>t+1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263978</xdr:colOff>
      <xdr:row>1</xdr:row>
      <xdr:rowOff>321129</xdr:rowOff>
    </xdr:from>
    <xdr:to>
      <xdr:col>6</xdr:col>
      <xdr:colOff>5698671</xdr:colOff>
      <xdr:row>22</xdr:row>
      <xdr:rowOff>92529</xdr:rowOff>
    </xdr:to>
    <xdr:graphicFrame macro="">
      <xdr:nvGraphicFramePr>
        <xdr:cNvPr id="2" name="Graf 3">
          <a:extLst>
            <a:ext uri="{FF2B5EF4-FFF2-40B4-BE49-F238E27FC236}">
              <a16:creationId xmlns:a16="http://schemas.microsoft.com/office/drawing/2014/main" id="{FCD88A1F-94B0-48EC-AFF8-A96634542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1</xdr:row>
      <xdr:rowOff>247650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1B8CAD-ECE6-43B2-A106-1109EF4163D2}"/>
            </a:ext>
          </a:extLst>
        </xdr:cNvPr>
        <xdr:cNvSpPr/>
      </xdr:nvSpPr>
      <xdr:spPr>
        <a:xfrm>
          <a:off x="15363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0.55623</cdr:x>
      <cdr:y>0.10304</cdr:y>
    </cdr:from>
    <cdr:to>
      <cdr:x>0.77052</cdr:x>
      <cdr:y>0.22482</cdr:y>
    </cdr:to>
    <cdr:sp macro="" textlink="">
      <cdr:nvSpPr>
        <cdr:cNvPr id="2" name="Bublina: čiara bez orámovania 1">
          <a:extLst xmlns:a="http://schemas.openxmlformats.org/drawingml/2006/main">
            <a:ext uri="{FF2B5EF4-FFF2-40B4-BE49-F238E27FC236}">
              <a16:creationId xmlns:a16="http://schemas.microsoft.com/office/drawing/2014/main" id="{8EA5A774-4AFA-453C-961C-746F63A86B8E}"/>
            </a:ext>
          </a:extLst>
        </cdr:cNvPr>
        <cdr:cNvSpPr/>
      </cdr:nvSpPr>
      <cdr:spPr>
        <a:xfrm xmlns:a="http://schemas.openxmlformats.org/drawingml/2006/main">
          <a:off x="3486150" y="419100"/>
          <a:ext cx="1343025" cy="495300"/>
        </a:xfrm>
        <a:prstGeom xmlns:a="http://schemas.openxmlformats.org/drawingml/2006/main" prst="callout1">
          <a:avLst>
            <a:gd name="adj1" fmla="val 93771"/>
            <a:gd name="adj2" fmla="val 22874"/>
            <a:gd name="adj3" fmla="val 234156"/>
            <a:gd name="adj4" fmla="val -2164"/>
          </a:avLst>
        </a:prstGeom>
        <a:noFill xmlns:a="http://schemas.openxmlformats.org/drawingml/2006/main"/>
        <a:ln xmlns:a="http://schemas.openxmlformats.org/drawingml/2006/main">
          <a:solidFill>
            <a:srgbClr val="00B0F0"/>
          </a:solidFill>
          <a:tailEnd type="stealth" w="lg" len="me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sk-SK" b="1">
              <a:solidFill>
                <a:srgbClr val="00B0F0"/>
              </a:solidFill>
              <a:latin typeface="Constantia" panose="02030602050306030303" pitchFamily="18" charset="0"/>
            </a:rPr>
            <a:t>nadhodnotenie prognózy</a:t>
          </a:r>
          <a:endParaRPr lang="en-US" b="1">
            <a:solidFill>
              <a:srgbClr val="00B0F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3714749</xdr:colOff>
      <xdr:row>12</xdr:row>
      <xdr:rowOff>123824</xdr:rowOff>
    </xdr:from>
    <xdr:to>
      <xdr:col>4</xdr:col>
      <xdr:colOff>309974</xdr:colOff>
      <xdr:row>29</xdr:row>
      <xdr:rowOff>89174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DA61922C-1A1C-46BC-8437-D372DB202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66675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5436DD-34E8-4B25-B53B-4DF35A394EFD}"/>
            </a:ext>
          </a:extLst>
        </xdr:cNvPr>
        <xdr:cNvSpPr/>
      </xdr:nvSpPr>
      <xdr:spPr>
        <a:xfrm>
          <a:off x="8334375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D65322-8C65-4A6E-881C-06266A8DB864}"/>
            </a:ext>
          </a:extLst>
        </xdr:cNvPr>
        <xdr:cNvSpPr/>
      </xdr:nvSpPr>
      <xdr:spPr>
        <a:xfrm>
          <a:off x="62293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1</xdr:row>
      <xdr:rowOff>38100</xdr:rowOff>
    </xdr:from>
    <xdr:to>
      <xdr:col>14</xdr:col>
      <xdr:colOff>295275</xdr:colOff>
      <xdr:row>15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7BB159A-8976-48F7-B829-D958C95B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A01D32-B5FB-41F3-9BFF-53434B12A7DA}"/>
            </a:ext>
          </a:extLst>
        </xdr:cNvPr>
        <xdr:cNvSpPr/>
      </xdr:nvSpPr>
      <xdr:spPr>
        <a:xfrm>
          <a:off x="106203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152400</xdr:rowOff>
    </xdr:from>
    <xdr:to>
      <xdr:col>12</xdr:col>
      <xdr:colOff>466725</xdr:colOff>
      <xdr:row>16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65B02B2-31E8-4160-AB74-0FDCABE45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7533AE-F999-47DB-9C87-6A02B612F2D6}"/>
            </a:ext>
          </a:extLst>
        </xdr:cNvPr>
        <xdr:cNvSpPr/>
      </xdr:nvSpPr>
      <xdr:spPr>
        <a:xfrm>
          <a:off x="96012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1</xdr:row>
      <xdr:rowOff>38100</xdr:rowOff>
    </xdr:from>
    <xdr:to>
      <xdr:col>14</xdr:col>
      <xdr:colOff>352425</xdr:colOff>
      <xdr:row>18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1D97943-B942-4D79-8445-A6E0C1A6F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5A3780-0C53-4ABC-912A-BCB582C1B7F9}"/>
            </a:ext>
          </a:extLst>
        </xdr:cNvPr>
        <xdr:cNvSpPr/>
      </xdr:nvSpPr>
      <xdr:spPr>
        <a:xfrm>
          <a:off x="111537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1</xdr:row>
      <xdr:rowOff>57150</xdr:rowOff>
    </xdr:from>
    <xdr:to>
      <xdr:col>13</xdr:col>
      <xdr:colOff>571500</xdr:colOff>
      <xdr:row>16</xdr:row>
      <xdr:rowOff>152400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E528360F-B95A-4394-AA7B-C409A4F1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936EBF-0F25-41C2-83A2-EA4C992DFD84}"/>
            </a:ext>
          </a:extLst>
        </xdr:cNvPr>
        <xdr:cNvSpPr/>
      </xdr:nvSpPr>
      <xdr:spPr>
        <a:xfrm>
          <a:off x="105441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</xdr:row>
      <xdr:rowOff>80961</xdr:rowOff>
    </xdr:from>
    <xdr:to>
      <xdr:col>21</xdr:col>
      <xdr:colOff>114300</xdr:colOff>
      <xdr:row>21</xdr:row>
      <xdr:rowOff>9525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7656671B-A514-4B87-8B12-DE10C29FB6B3}"/>
            </a:ext>
          </a:extLst>
        </xdr:cNvPr>
        <xdr:cNvGrpSpPr/>
      </xdr:nvGrpSpPr>
      <xdr:grpSpPr>
        <a:xfrm>
          <a:off x="10639424" y="404811"/>
          <a:ext cx="4810126" cy="3005139"/>
          <a:chOff x="4886324" y="5214936"/>
          <a:chExt cx="4810126" cy="3005139"/>
        </a:xfrm>
      </xdr:grpSpPr>
      <xdr:grpSp>
        <xdr:nvGrpSpPr>
          <xdr:cNvPr id="4" name="Skupina 3">
            <a:extLst>
              <a:ext uri="{FF2B5EF4-FFF2-40B4-BE49-F238E27FC236}">
                <a16:creationId xmlns:a16="http://schemas.microsoft.com/office/drawing/2014/main" id="{AC10F371-DC91-496F-B3F0-4AB1F8E1F2EA}"/>
              </a:ext>
            </a:extLst>
          </xdr:cNvPr>
          <xdr:cNvGrpSpPr/>
        </xdr:nvGrpSpPr>
        <xdr:grpSpPr>
          <a:xfrm>
            <a:off x="4886324" y="5214936"/>
            <a:ext cx="4810126" cy="3005139"/>
            <a:chOff x="4914899" y="4881561"/>
            <a:chExt cx="4733925" cy="2843213"/>
          </a:xfrm>
        </xdr:grpSpPr>
        <xdr:graphicFrame macro="">
          <xdr:nvGraphicFramePr>
            <xdr:cNvPr id="6" name="Graf 5">
              <a:extLst>
                <a:ext uri="{FF2B5EF4-FFF2-40B4-BE49-F238E27FC236}">
                  <a16:creationId xmlns:a16="http://schemas.microsoft.com/office/drawing/2014/main" id="{A496D843-09C0-427A-9799-F3D73E0CCA87}"/>
                </a:ext>
              </a:extLst>
            </xdr:cNvPr>
            <xdr:cNvGraphicFramePr>
              <a:graphicFrameLocks/>
            </xdr:cNvGraphicFramePr>
          </xdr:nvGraphicFramePr>
          <xdr:xfrm>
            <a:off x="4914899" y="4881561"/>
            <a:ext cx="4733925" cy="284321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Obdĺžnik 6">
              <a:extLst>
                <a:ext uri="{FF2B5EF4-FFF2-40B4-BE49-F238E27FC236}">
                  <a16:creationId xmlns:a16="http://schemas.microsoft.com/office/drawing/2014/main" id="{7720C27B-E3FF-4316-9522-28E41A82084F}"/>
                </a:ext>
              </a:extLst>
            </xdr:cNvPr>
            <xdr:cNvSpPr/>
          </xdr:nvSpPr>
          <xdr:spPr>
            <a:xfrm>
              <a:off x="5372250" y="5181598"/>
              <a:ext cx="721635" cy="2514601"/>
            </a:xfrm>
            <a:prstGeom prst="rect">
              <a:avLst/>
            </a:prstGeom>
            <a:solidFill>
              <a:schemeClr val="accent1">
                <a:lumMod val="40000"/>
                <a:lumOff val="60000"/>
                <a:alpha val="37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/>
            </a:p>
          </xdr:txBody>
        </xdr:sp>
        <xdr:sp macro="" textlink="">
          <xdr:nvSpPr>
            <xdr:cNvPr id="8" name="Ovál 7">
              <a:extLst>
                <a:ext uri="{FF2B5EF4-FFF2-40B4-BE49-F238E27FC236}">
                  <a16:creationId xmlns:a16="http://schemas.microsoft.com/office/drawing/2014/main" id="{AC39B36D-3FA4-4AD6-B69E-D3E590D5F7FB}"/>
                </a:ext>
              </a:extLst>
            </xdr:cNvPr>
            <xdr:cNvSpPr/>
          </xdr:nvSpPr>
          <xdr:spPr>
            <a:xfrm>
              <a:off x="7192808" y="5111362"/>
              <a:ext cx="806173" cy="1201660"/>
            </a:xfrm>
            <a:prstGeom prst="ellipse">
              <a:avLst/>
            </a:prstGeom>
            <a:noFill/>
            <a:ln w="19050"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/>
            </a:p>
          </xdr:txBody>
        </xdr:sp>
        <xdr:sp macro="" textlink="">
          <xdr:nvSpPr>
            <xdr:cNvPr id="9" name="Ovál 8">
              <a:extLst>
                <a:ext uri="{FF2B5EF4-FFF2-40B4-BE49-F238E27FC236}">
                  <a16:creationId xmlns:a16="http://schemas.microsoft.com/office/drawing/2014/main" id="{7F6A302E-0EAC-493B-81E7-CA7A288D2D58}"/>
                </a:ext>
              </a:extLst>
            </xdr:cNvPr>
            <xdr:cNvSpPr/>
          </xdr:nvSpPr>
          <xdr:spPr>
            <a:xfrm>
              <a:off x="6191250" y="6038850"/>
              <a:ext cx="413737" cy="838200"/>
            </a:xfrm>
            <a:prstGeom prst="ellipse">
              <a:avLst/>
            </a:prstGeom>
            <a:noFill/>
            <a:ln w="19050"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/>
            </a:p>
          </xdr:txBody>
        </xdr:sp>
        <xdr:sp macro="" textlink="">
          <xdr:nvSpPr>
            <xdr:cNvPr id="10" name="BlokTextu 9">
              <a:extLst>
                <a:ext uri="{FF2B5EF4-FFF2-40B4-BE49-F238E27FC236}">
                  <a16:creationId xmlns:a16="http://schemas.microsoft.com/office/drawing/2014/main" id="{55FEB56A-5C1E-49DE-802C-19854BF56543}"/>
                </a:ext>
              </a:extLst>
            </xdr:cNvPr>
            <xdr:cNvSpPr txBox="1"/>
          </xdr:nvSpPr>
          <xdr:spPr>
            <a:xfrm>
              <a:off x="5676900" y="7324725"/>
              <a:ext cx="692770" cy="374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sk-SK" sz="900">
                  <a:solidFill>
                    <a:srgbClr val="0070C0"/>
                  </a:solidFill>
                  <a:latin typeface="Constantia" panose="02030602050306030303" pitchFamily="18" charset="0"/>
                </a:rPr>
                <a:t>vplyv krízy</a:t>
              </a:r>
            </a:p>
          </xdr:txBody>
        </xdr:sp>
        <xdr:sp macro="" textlink="">
          <xdr:nvSpPr>
            <xdr:cNvPr id="11" name="Ovál 10">
              <a:extLst>
                <a:ext uri="{FF2B5EF4-FFF2-40B4-BE49-F238E27FC236}">
                  <a16:creationId xmlns:a16="http://schemas.microsoft.com/office/drawing/2014/main" id="{73C04E7E-83B6-4107-BC73-B1DBE5615806}"/>
                </a:ext>
              </a:extLst>
            </xdr:cNvPr>
            <xdr:cNvSpPr/>
          </xdr:nvSpPr>
          <xdr:spPr>
            <a:xfrm>
              <a:off x="6648452" y="5829301"/>
              <a:ext cx="606172" cy="628650"/>
            </a:xfrm>
            <a:prstGeom prst="ellipse">
              <a:avLst/>
            </a:prstGeom>
            <a:noFill/>
            <a:ln w="1905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/>
            </a:p>
          </xdr:txBody>
        </xdr:sp>
      </xdr:grpSp>
      <xdr:sp macro="" textlink="">
        <xdr:nvSpPr>
          <xdr:cNvPr id="5" name="Arrow: Up 9">
            <a:extLst>
              <a:ext uri="{FF2B5EF4-FFF2-40B4-BE49-F238E27FC236}">
                <a16:creationId xmlns:a16="http://schemas.microsoft.com/office/drawing/2014/main" id="{E76037F3-8EAD-4F8B-B8F9-B2E91A62E4BB}"/>
              </a:ext>
            </a:extLst>
          </xdr:cNvPr>
          <xdr:cNvSpPr/>
        </xdr:nvSpPr>
        <xdr:spPr>
          <a:xfrm rot="19436680">
            <a:off x="8961271" y="5927995"/>
            <a:ext cx="385477" cy="1049004"/>
          </a:xfrm>
          <a:prstGeom prst="up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</xdr:grpSp>
    <xdr:clientData/>
  </xdr:twoCellAnchor>
  <xdr:twoCellAnchor>
    <xdr:from>
      <xdr:col>22</xdr:col>
      <xdr:colOff>0</xdr:colOff>
      <xdr:row>2</xdr:row>
      <xdr:rowOff>0</xdr:rowOff>
    </xdr:from>
    <xdr:to>
      <xdr:col>22</xdr:col>
      <xdr:colOff>514350</xdr:colOff>
      <xdr:row>3</xdr:row>
      <xdr:rowOff>85725</xdr:rowOff>
    </xdr:to>
    <xdr:sp macro="" textlink="">
      <xdr:nvSpPr>
        <xdr:cNvPr id="1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333669-13A1-4049-A0D2-59FC95BFFF94}"/>
            </a:ext>
          </a:extLst>
        </xdr:cNvPr>
        <xdr:cNvSpPr/>
      </xdr:nvSpPr>
      <xdr:spPr>
        <a:xfrm>
          <a:off x="15944850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9525</xdr:rowOff>
    </xdr:from>
    <xdr:to>
      <xdr:col>18</xdr:col>
      <xdr:colOff>266700</xdr:colOff>
      <xdr:row>15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DE531E7-1C05-4079-A8A2-A9C84F674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19</xdr:col>
      <xdr:colOff>514350</xdr:colOff>
      <xdr:row>1</xdr:row>
      <xdr:rowOff>247650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84D696-3F9A-4B90-8861-392EBD1C77F4}"/>
            </a:ext>
          </a:extLst>
        </xdr:cNvPr>
        <xdr:cNvSpPr/>
      </xdr:nvSpPr>
      <xdr:spPr>
        <a:xfrm>
          <a:off x="125730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41</xdr:row>
      <xdr:rowOff>28575</xdr:rowOff>
    </xdr:from>
    <xdr:to>
      <xdr:col>18</xdr:col>
      <xdr:colOff>218400</xdr:colOff>
      <xdr:row>57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97B0C5-046A-4012-8FD7-A7A7B23E5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1285875</xdr:colOff>
      <xdr:row>7</xdr:row>
      <xdr:rowOff>133350</xdr:rowOff>
    </xdr:from>
    <xdr:to>
      <xdr:col>6</xdr:col>
      <xdr:colOff>267150</xdr:colOff>
      <xdr:row>26</xdr:row>
      <xdr:rowOff>41850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5B8BD06-AEF3-45E7-942E-9A6B05B2AC27}"/>
            </a:ext>
          </a:extLst>
        </xdr:cNvPr>
        <xdr:cNvGrpSpPr/>
      </xdr:nvGrpSpPr>
      <xdr:grpSpPr>
        <a:xfrm>
          <a:off x="1285875" y="1466850"/>
          <a:ext cx="5544000" cy="3528000"/>
          <a:chOff x="16621125" y="3629025"/>
          <a:chExt cx="5544000" cy="3680399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11AA2345-C5F5-4D87-83BD-BEE13110AF0E}"/>
              </a:ext>
            </a:extLst>
          </xdr:cNvPr>
          <xdr:cNvGraphicFramePr>
            <a:graphicFrameLocks/>
          </xdr:cNvGraphicFramePr>
        </xdr:nvGraphicFramePr>
        <xdr:xfrm>
          <a:off x="16621125" y="3781424"/>
          <a:ext cx="5544000" cy="35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B5F6418-1401-4712-85E3-33B320137173}"/>
              </a:ext>
            </a:extLst>
          </xdr:cNvPr>
          <xdr:cNvSpPr txBox="1"/>
        </xdr:nvSpPr>
        <xdr:spPr>
          <a:xfrm>
            <a:off x="16897351" y="3629025"/>
            <a:ext cx="904874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200">
                <a:latin typeface="Constantia" panose="02030602050306030303" pitchFamily="18" charset="0"/>
              </a:rPr>
              <a:t>v % HDP</a:t>
            </a:r>
            <a:endParaRPr lang="en-US" sz="1200"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6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8EF2F5-6774-40C1-8A88-98EFED0BEE02}"/>
            </a:ext>
          </a:extLst>
        </xdr:cNvPr>
        <xdr:cNvSpPr/>
      </xdr:nvSpPr>
      <xdr:spPr>
        <a:xfrm>
          <a:off x="83915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0.27606</cdr:x>
      <cdr:y>0.27356</cdr:y>
    </cdr:from>
    <cdr:to>
      <cdr:x>0.94015</cdr:x>
      <cdr:y>0.49848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F8652971-5FFF-4524-B41E-3B5088479A8A}"/>
            </a:ext>
          </a:extLst>
        </cdr:cNvPr>
        <cdr:cNvCxnSpPr/>
      </cdr:nvCxnSpPr>
      <cdr:spPr>
        <a:xfrm xmlns:a="http://schemas.openxmlformats.org/drawingml/2006/main">
          <a:off x="1490724" y="857262"/>
          <a:ext cx="3586101" cy="704838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0.19756</cdr:x>
      <cdr:y>0.54407</cdr:y>
    </cdr:from>
    <cdr:to>
      <cdr:x>0.51329</cdr:x>
      <cdr:y>0.93313</cdr:y>
    </cdr:to>
    <cdr:sp macro="" textlink="">
      <cdr:nvSpPr>
        <cdr:cNvPr id="16" name="Up Arrow Callout 15">
          <a:extLst xmlns:a="http://schemas.openxmlformats.org/drawingml/2006/main">
            <a:ext uri="{FF2B5EF4-FFF2-40B4-BE49-F238E27FC236}">
              <a16:creationId xmlns:a16="http://schemas.microsoft.com/office/drawing/2014/main" id="{3EFD2409-14A9-4707-8939-7910FF74BBC2}"/>
            </a:ext>
          </a:extLst>
        </cdr:cNvPr>
        <cdr:cNvSpPr/>
      </cdr:nvSpPr>
      <cdr:spPr>
        <a:xfrm xmlns:a="http://schemas.openxmlformats.org/drawingml/2006/main">
          <a:off x="1066799" y="1704964"/>
          <a:ext cx="1704976" cy="1219207"/>
        </a:xfrm>
        <a:prstGeom xmlns:a="http://schemas.openxmlformats.org/drawingml/2006/main" prst="upArrowCallout">
          <a:avLst>
            <a:gd name="adj1" fmla="val 5373"/>
            <a:gd name="adj2" fmla="val 6879"/>
            <a:gd name="adj3" fmla="val 25000"/>
            <a:gd name="adj4" fmla="val 64977"/>
          </a:avLst>
        </a:prstGeom>
        <a:solidFill xmlns:a="http://schemas.openxmlformats.org/drawingml/2006/main">
          <a:srgbClr val="B2DCF8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i="1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V roku 2012 celú výšku neočakávaných vplyvov tvoria</a:t>
          </a:r>
          <a:r>
            <a:rPr lang="sk-SK" sz="1100" i="1" baseline="0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 legislatívne zmeny v daniach a odvodoch.</a:t>
          </a:r>
          <a:endParaRPr lang="sk-SK" i="1">
            <a:solidFill>
              <a:schemeClr val="tx1"/>
            </a:solidFill>
            <a:effectLst/>
            <a:latin typeface="Constantia" panose="02030602050306030303" pitchFamily="18" charset="0"/>
          </a:endParaRPr>
        </a:p>
        <a:p xmlns:a="http://schemas.openxmlformats.org/drawingml/2006/main">
          <a:endParaRPr lang="sk-SK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0.56092</cdr:x>
      <cdr:y>0.00608</cdr:y>
    </cdr:from>
    <cdr:to>
      <cdr:x>1</cdr:x>
      <cdr:y>0.94833</cdr:y>
    </cdr:to>
    <cdr:sp macro="" textlink="">
      <cdr:nvSpPr>
        <cdr:cNvPr id="17" name="Oval 16">
          <a:extLst xmlns:a="http://schemas.openxmlformats.org/drawingml/2006/main">
            <a:ext uri="{FF2B5EF4-FFF2-40B4-BE49-F238E27FC236}">
              <a16:creationId xmlns:a16="http://schemas.microsoft.com/office/drawing/2014/main" id="{D091B4DB-CDC5-43EB-A039-CDB4FB9012F6}"/>
            </a:ext>
          </a:extLst>
        </cdr:cNvPr>
        <cdr:cNvSpPr/>
      </cdr:nvSpPr>
      <cdr:spPr>
        <a:xfrm xmlns:a="http://schemas.openxmlformats.org/drawingml/2006/main">
          <a:off x="3028950" y="19053"/>
          <a:ext cx="2371050" cy="2952752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0.06628</cdr:x>
      <cdr:y>0.32219</cdr:y>
    </cdr:from>
    <cdr:to>
      <cdr:x>0.20463</cdr:x>
      <cdr:y>0.90375</cdr:y>
    </cdr:to>
    <cdr:sp macro="" textlink="">
      <cdr:nvSpPr>
        <cdr:cNvPr id="18" name="Oval 17">
          <a:extLst xmlns:a="http://schemas.openxmlformats.org/drawingml/2006/main">
            <a:ext uri="{FF2B5EF4-FFF2-40B4-BE49-F238E27FC236}">
              <a16:creationId xmlns:a16="http://schemas.microsoft.com/office/drawing/2014/main" id="{7AFC58FC-7D93-4021-AA94-CFF2C0C21618}"/>
            </a:ext>
          </a:extLst>
        </cdr:cNvPr>
        <cdr:cNvSpPr/>
      </cdr:nvSpPr>
      <cdr:spPr>
        <a:xfrm xmlns:a="http://schemas.openxmlformats.org/drawingml/2006/main">
          <a:off x="327025" y="1009650"/>
          <a:ext cx="682625" cy="18224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0.19139</cdr:x>
      <cdr:y>0.36475</cdr:y>
    </cdr:from>
    <cdr:to>
      <cdr:x>0.89253</cdr:x>
      <cdr:y>0.51976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F8652971-5FFF-4524-B41E-3B5088479A8A}"/>
            </a:ext>
          </a:extLst>
        </cdr:cNvPr>
        <cdr:cNvCxnSpPr/>
      </cdr:nvCxnSpPr>
      <cdr:spPr>
        <a:xfrm xmlns:a="http://schemas.openxmlformats.org/drawingml/2006/main">
          <a:off x="1033524" y="1143012"/>
          <a:ext cx="3786126" cy="485763"/>
        </a:xfrm>
        <a:prstGeom xmlns:a="http://schemas.openxmlformats.org/drawingml/2006/main" prst="straightConnector1">
          <a:avLst/>
        </a:prstGeom>
        <a:ln xmlns:a="http://schemas.openxmlformats.org/drawingml/2006/main" w="63500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0.17815</cdr:x>
      <cdr:y>0.00912</cdr:y>
    </cdr:from>
    <cdr:to>
      <cdr:x>0.84301</cdr:x>
      <cdr:y>0.95137</cdr:y>
    </cdr:to>
    <cdr:sp macro="" textlink="">
      <cdr:nvSpPr>
        <cdr:cNvPr id="17" name="Oval 16">
          <a:extLst xmlns:a="http://schemas.openxmlformats.org/drawingml/2006/main">
            <a:ext uri="{FF2B5EF4-FFF2-40B4-BE49-F238E27FC236}">
              <a16:creationId xmlns:a16="http://schemas.microsoft.com/office/drawing/2014/main" id="{D091B4DB-CDC5-43EB-A039-CDB4FB9012F6}"/>
            </a:ext>
          </a:extLst>
        </cdr:cNvPr>
        <cdr:cNvSpPr/>
      </cdr:nvSpPr>
      <cdr:spPr>
        <a:xfrm xmlns:a="http://schemas.openxmlformats.org/drawingml/2006/main">
          <a:off x="962025" y="28578"/>
          <a:ext cx="3590250" cy="2952752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41</xdr:row>
      <xdr:rowOff>28575</xdr:rowOff>
    </xdr:from>
    <xdr:to>
      <xdr:col>30</xdr:col>
      <xdr:colOff>218400</xdr:colOff>
      <xdr:row>57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39380A-C039-4560-A0CF-EF72945E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</xdr:colOff>
      <xdr:row>41</xdr:row>
      <xdr:rowOff>133350</xdr:rowOff>
    </xdr:from>
    <xdr:to>
      <xdr:col>19</xdr:col>
      <xdr:colOff>551775</xdr:colOff>
      <xdr:row>58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279D38-4E15-4024-A55D-3AD22428D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1619250</xdr:colOff>
      <xdr:row>6</xdr:row>
      <xdr:rowOff>142875</xdr:rowOff>
    </xdr:from>
    <xdr:to>
      <xdr:col>6</xdr:col>
      <xdr:colOff>600525</xdr:colOff>
      <xdr:row>25</xdr:row>
      <xdr:rowOff>51375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D041BBC-4BF3-4675-BE03-230F7C27EF66}"/>
            </a:ext>
          </a:extLst>
        </xdr:cNvPr>
        <xdr:cNvGrpSpPr/>
      </xdr:nvGrpSpPr>
      <xdr:grpSpPr>
        <a:xfrm>
          <a:off x="1619250" y="1285875"/>
          <a:ext cx="5544000" cy="3528000"/>
          <a:chOff x="9610725" y="3829050"/>
          <a:chExt cx="5688000" cy="3699449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8598F6A8-E135-4283-BD49-3820295E8F35}"/>
              </a:ext>
            </a:extLst>
          </xdr:cNvPr>
          <xdr:cNvGraphicFramePr>
            <a:graphicFrameLocks/>
          </xdr:cNvGraphicFramePr>
        </xdr:nvGraphicFramePr>
        <xdr:xfrm>
          <a:off x="9610725" y="4000499"/>
          <a:ext cx="5688000" cy="35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8CD3428-7705-4F5D-9727-0BE9FE5D48F3}"/>
              </a:ext>
            </a:extLst>
          </xdr:cNvPr>
          <xdr:cNvSpPr txBox="1"/>
        </xdr:nvSpPr>
        <xdr:spPr>
          <a:xfrm>
            <a:off x="9867900" y="3829050"/>
            <a:ext cx="904874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200">
                <a:latin typeface="Constantia" panose="02030602050306030303" pitchFamily="18" charset="0"/>
              </a:rPr>
              <a:t>v % HDP</a:t>
            </a:r>
            <a:endParaRPr lang="en-US" sz="1200"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7" name="Šípka doľava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7AA625-CA6B-4497-872E-1F6E09F0EC01}"/>
            </a:ext>
          </a:extLst>
        </xdr:cNvPr>
        <xdr:cNvSpPr/>
      </xdr:nvSpPr>
      <xdr:spPr>
        <a:xfrm>
          <a:off x="83915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0BE02C-5538-446B-9F9A-50A97748082E}"/>
            </a:ext>
          </a:extLst>
        </xdr:cNvPr>
        <xdr:cNvSpPr/>
      </xdr:nvSpPr>
      <xdr:spPr>
        <a:xfrm>
          <a:off x="61436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0.27606</cdr:x>
      <cdr:y>0.27356</cdr:y>
    </cdr:from>
    <cdr:to>
      <cdr:x>0.94015</cdr:x>
      <cdr:y>0.49848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F8652971-5FFF-4524-B41E-3B5088479A8A}"/>
            </a:ext>
          </a:extLst>
        </cdr:cNvPr>
        <cdr:cNvCxnSpPr/>
      </cdr:nvCxnSpPr>
      <cdr:spPr>
        <a:xfrm xmlns:a="http://schemas.openxmlformats.org/drawingml/2006/main">
          <a:off x="1490724" y="857262"/>
          <a:ext cx="3586101" cy="704838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0.19756</cdr:x>
      <cdr:y>0.54407</cdr:y>
    </cdr:from>
    <cdr:to>
      <cdr:x>0.51329</cdr:x>
      <cdr:y>0.93313</cdr:y>
    </cdr:to>
    <cdr:sp macro="" textlink="">
      <cdr:nvSpPr>
        <cdr:cNvPr id="16" name="Up Arrow Callout 15">
          <a:extLst xmlns:a="http://schemas.openxmlformats.org/drawingml/2006/main">
            <a:ext uri="{FF2B5EF4-FFF2-40B4-BE49-F238E27FC236}">
              <a16:creationId xmlns:a16="http://schemas.microsoft.com/office/drawing/2014/main" id="{3EFD2409-14A9-4707-8939-7910FF74BBC2}"/>
            </a:ext>
          </a:extLst>
        </cdr:cNvPr>
        <cdr:cNvSpPr/>
      </cdr:nvSpPr>
      <cdr:spPr>
        <a:xfrm xmlns:a="http://schemas.openxmlformats.org/drawingml/2006/main">
          <a:off x="1066799" y="1704964"/>
          <a:ext cx="1704976" cy="1219207"/>
        </a:xfrm>
        <a:prstGeom xmlns:a="http://schemas.openxmlformats.org/drawingml/2006/main" prst="upArrowCallout">
          <a:avLst>
            <a:gd name="adj1" fmla="val 5373"/>
            <a:gd name="adj2" fmla="val 6879"/>
            <a:gd name="adj3" fmla="val 25000"/>
            <a:gd name="adj4" fmla="val 64977"/>
          </a:avLst>
        </a:prstGeom>
        <a:solidFill xmlns:a="http://schemas.openxmlformats.org/drawingml/2006/main">
          <a:srgbClr val="B2DCF8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i="1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V roku 2012 celú výšku neočakávaných vplyvov tvoria</a:t>
          </a:r>
          <a:r>
            <a:rPr lang="sk-SK" sz="1100" i="1" baseline="0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 legislatívne zmeny v daniach a odvodoch.</a:t>
          </a:r>
          <a:endParaRPr lang="sk-SK" i="1">
            <a:solidFill>
              <a:schemeClr val="tx1"/>
            </a:solidFill>
            <a:effectLst/>
            <a:latin typeface="Constantia" panose="02030602050306030303" pitchFamily="18" charset="0"/>
          </a:endParaRPr>
        </a:p>
        <a:p xmlns:a="http://schemas.openxmlformats.org/drawingml/2006/main">
          <a:endParaRPr lang="sk-SK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0.56092</cdr:x>
      <cdr:y>0.00608</cdr:y>
    </cdr:from>
    <cdr:to>
      <cdr:x>1</cdr:x>
      <cdr:y>0.94833</cdr:y>
    </cdr:to>
    <cdr:sp macro="" textlink="">
      <cdr:nvSpPr>
        <cdr:cNvPr id="17" name="Oval 16">
          <a:extLst xmlns:a="http://schemas.openxmlformats.org/drawingml/2006/main">
            <a:ext uri="{FF2B5EF4-FFF2-40B4-BE49-F238E27FC236}">
              <a16:creationId xmlns:a16="http://schemas.microsoft.com/office/drawing/2014/main" id="{D091B4DB-CDC5-43EB-A039-CDB4FB9012F6}"/>
            </a:ext>
          </a:extLst>
        </cdr:cNvPr>
        <cdr:cNvSpPr/>
      </cdr:nvSpPr>
      <cdr:spPr>
        <a:xfrm xmlns:a="http://schemas.openxmlformats.org/drawingml/2006/main">
          <a:off x="3028950" y="19053"/>
          <a:ext cx="2371050" cy="2952752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0.06628</cdr:x>
      <cdr:y>0.32219</cdr:y>
    </cdr:from>
    <cdr:to>
      <cdr:x>0.20463</cdr:x>
      <cdr:y>0.90375</cdr:y>
    </cdr:to>
    <cdr:sp macro="" textlink="">
      <cdr:nvSpPr>
        <cdr:cNvPr id="18" name="Oval 17">
          <a:extLst xmlns:a="http://schemas.openxmlformats.org/drawingml/2006/main">
            <a:ext uri="{FF2B5EF4-FFF2-40B4-BE49-F238E27FC236}">
              <a16:creationId xmlns:a16="http://schemas.microsoft.com/office/drawing/2014/main" id="{7AFC58FC-7D93-4021-AA94-CFF2C0C21618}"/>
            </a:ext>
          </a:extLst>
        </cdr:cNvPr>
        <cdr:cNvSpPr/>
      </cdr:nvSpPr>
      <cdr:spPr>
        <a:xfrm xmlns:a="http://schemas.openxmlformats.org/drawingml/2006/main">
          <a:off x="327025" y="1009650"/>
          <a:ext cx="682625" cy="18224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0.07722</cdr:x>
      <cdr:y>0.48632</cdr:y>
    </cdr:from>
    <cdr:to>
      <cdr:x>0.22201</cdr:x>
      <cdr:y>0.95745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B3A8DD38-735F-4454-A330-33341C6BE6A5}"/>
            </a:ext>
          </a:extLst>
        </cdr:cNvPr>
        <cdr:cNvSpPr/>
      </cdr:nvSpPr>
      <cdr:spPr>
        <a:xfrm xmlns:a="http://schemas.openxmlformats.org/drawingml/2006/main">
          <a:off x="381000" y="1524000"/>
          <a:ext cx="714375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0.57014</cdr:x>
      <cdr:y>0.00709</cdr:y>
    </cdr:from>
    <cdr:to>
      <cdr:x>1</cdr:x>
      <cdr:y>0.47822</cdr:y>
    </cdr:to>
    <cdr:sp macro="" textlink="">
      <cdr:nvSpPr>
        <cdr:cNvPr id="3" name="Oval 2">
          <a:extLst xmlns:a="http://schemas.openxmlformats.org/drawingml/2006/main">
            <a:ext uri="{FF2B5EF4-FFF2-40B4-BE49-F238E27FC236}">
              <a16:creationId xmlns:a16="http://schemas.microsoft.com/office/drawing/2014/main" id="{93D7DA1E-21C2-4C28-AFBF-796CB08374B6}"/>
            </a:ext>
          </a:extLst>
        </cdr:cNvPr>
        <cdr:cNvSpPr/>
      </cdr:nvSpPr>
      <cdr:spPr>
        <a:xfrm xmlns:a="http://schemas.openxmlformats.org/drawingml/2006/main">
          <a:off x="2813050" y="22225"/>
          <a:ext cx="2120900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0.15346</cdr:x>
      <cdr:y>0.01216</cdr:y>
    </cdr:from>
    <cdr:to>
      <cdr:x>0.89064</cdr:x>
      <cdr:y>0.62918</cdr:y>
    </cdr:to>
    <cdr:sp macro="" textlink="">
      <cdr:nvSpPr>
        <cdr:cNvPr id="3" name="Oval 2">
          <a:extLst xmlns:a="http://schemas.openxmlformats.org/drawingml/2006/main">
            <a:ext uri="{FF2B5EF4-FFF2-40B4-BE49-F238E27FC236}">
              <a16:creationId xmlns:a16="http://schemas.microsoft.com/office/drawing/2014/main" id="{93D7DA1E-21C2-4C28-AFBF-796CB08374B6}"/>
            </a:ext>
          </a:extLst>
        </cdr:cNvPr>
        <cdr:cNvSpPr/>
      </cdr:nvSpPr>
      <cdr:spPr>
        <a:xfrm xmlns:a="http://schemas.openxmlformats.org/drawingml/2006/main">
          <a:off x="828675" y="38100"/>
          <a:ext cx="3980775" cy="1933574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3</xdr:row>
      <xdr:rowOff>95250</xdr:rowOff>
    </xdr:from>
    <xdr:to>
      <xdr:col>16</xdr:col>
      <xdr:colOff>530101</xdr:colOff>
      <xdr:row>28</xdr:row>
      <xdr:rowOff>122626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6FAA8319-9F52-4F8D-8648-FE6DDB7CC2C9}"/>
            </a:ext>
          </a:extLst>
        </xdr:cNvPr>
        <xdr:cNvGrpSpPr/>
      </xdr:nvGrpSpPr>
      <xdr:grpSpPr>
        <a:xfrm>
          <a:off x="4552950" y="666750"/>
          <a:ext cx="10245601" cy="4789876"/>
          <a:chOff x="10118482" y="10470173"/>
          <a:chExt cx="9896839" cy="4789876"/>
        </a:xfrm>
        <a:noFill/>
        <a:effectLst>
          <a:outerShdw blurRad="50800" dist="50800" dir="5400000" algn="ctr" rotWithShape="0">
            <a:schemeClr val="bg1"/>
          </a:outerShdw>
        </a:effectLst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425BC76A-904F-4B6B-9F58-165CEF3554FC}"/>
              </a:ext>
            </a:extLst>
          </xdr:cNvPr>
          <xdr:cNvGrpSpPr/>
        </xdr:nvGrpSpPr>
        <xdr:grpSpPr>
          <a:xfrm>
            <a:off x="10155115" y="12573000"/>
            <a:ext cx="9860206" cy="2687049"/>
            <a:chOff x="8668638" y="9380284"/>
            <a:chExt cx="9895794" cy="2687049"/>
          </a:xfrm>
          <a:grpFill/>
        </xdr:grpSpPr>
        <xdr:graphicFrame macro="">
          <xdr:nvGraphicFramePr>
            <xdr:cNvPr id="8" name="Chart 12">
              <a:extLst>
                <a:ext uri="{FF2B5EF4-FFF2-40B4-BE49-F238E27FC236}">
                  <a16:creationId xmlns:a16="http://schemas.microsoft.com/office/drawing/2014/main" id="{83204409-6CCB-4851-916C-E41A4FE8148F}"/>
                </a:ext>
              </a:extLst>
            </xdr:cNvPr>
            <xdr:cNvGraphicFramePr>
              <a:graphicFrameLocks/>
            </xdr:cNvGraphicFramePr>
          </xdr:nvGraphicFramePr>
          <xdr:xfrm>
            <a:off x="8668638" y="9380284"/>
            <a:ext cx="4584245" cy="267652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9" name="Chart 15">
              <a:extLst>
                <a:ext uri="{FF2B5EF4-FFF2-40B4-BE49-F238E27FC236}">
                  <a16:creationId xmlns:a16="http://schemas.microsoft.com/office/drawing/2014/main" id="{94EB45FD-45D7-4F8C-ADD6-229C681363AA}"/>
                </a:ext>
              </a:extLst>
            </xdr:cNvPr>
            <xdr:cNvGraphicFramePr>
              <a:graphicFrameLocks/>
            </xdr:cNvGraphicFramePr>
          </xdr:nvGraphicFramePr>
          <xdr:xfrm>
            <a:off x="14021006" y="9411871"/>
            <a:ext cx="4543426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0" name="Chart 10">
              <a:extLst>
                <a:ext uri="{FF2B5EF4-FFF2-40B4-BE49-F238E27FC236}">
                  <a16:creationId xmlns:a16="http://schemas.microsoft.com/office/drawing/2014/main" id="{13228564-DC61-453C-8835-B7D6BFCFD857}"/>
                </a:ext>
              </a:extLst>
            </xdr:cNvPr>
            <xdr:cNvGraphicFramePr>
              <a:graphicFrameLocks/>
            </xdr:cNvGraphicFramePr>
          </xdr:nvGraphicFramePr>
          <xdr:xfrm>
            <a:off x="11290734" y="9388929"/>
            <a:ext cx="4534374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578F41D1-1C1F-4416-916D-70053FB66CE1}"/>
              </a:ext>
            </a:extLst>
          </xdr:cNvPr>
          <xdr:cNvGraphicFramePr>
            <a:graphicFrameLocks/>
          </xdr:cNvGraphicFramePr>
        </xdr:nvGraphicFramePr>
        <xdr:xfrm>
          <a:off x="10118482" y="10470173"/>
          <a:ext cx="9655876" cy="20075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5" name="Obrázok 4">
            <a:extLst>
              <a:ext uri="{FF2B5EF4-FFF2-40B4-BE49-F238E27FC236}">
                <a16:creationId xmlns:a16="http://schemas.microsoft.com/office/drawing/2014/main" id="{C9DC575F-81F0-4B4F-9DD4-D312D1B662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2427875" y="11832248"/>
            <a:ext cx="266822" cy="866775"/>
          </a:xfrm>
          <a:prstGeom prst="rect">
            <a:avLst/>
          </a:prstGeom>
          <a:grpFill/>
          <a:ln>
            <a:solidFill>
              <a:schemeClr val="bg1"/>
            </a:solidFill>
          </a:ln>
          <a:effectLst>
            <a:outerShdw blurRad="50800" dist="50800" dir="5400000" algn="ctr" rotWithShape="0">
              <a:srgbClr val="000000">
                <a:alpha val="0"/>
              </a:srgbClr>
            </a:outerShdw>
          </a:effectLst>
        </xdr:spPr>
      </xdr:pic>
      <xdr:pic>
        <xdr:nvPicPr>
          <xdr:cNvPr id="6" name="Obrázok 5">
            <a:extLst>
              <a:ext uri="{FF2B5EF4-FFF2-40B4-BE49-F238E27FC236}">
                <a16:creationId xmlns:a16="http://schemas.microsoft.com/office/drawing/2014/main" id="{73CC59B3-A47D-4206-87E9-2D4E734A68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395615">
            <a:off x="14512343" y="11795189"/>
            <a:ext cx="209882" cy="1016011"/>
          </a:xfrm>
          <a:prstGeom prst="rect">
            <a:avLst/>
          </a:prstGeom>
          <a:grpFill/>
          <a:ln>
            <a:solidFill>
              <a:schemeClr val="bg1"/>
            </a:solidFill>
          </a:ln>
        </xdr:spPr>
      </xdr:pic>
      <xdr:pic>
        <xdr:nvPicPr>
          <xdr:cNvPr id="7" name="Obrázok 6">
            <a:extLst>
              <a:ext uri="{FF2B5EF4-FFF2-40B4-BE49-F238E27FC236}">
                <a16:creationId xmlns:a16="http://schemas.microsoft.com/office/drawing/2014/main" id="{3591493B-3797-4158-A81C-1ADDBD1321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710252">
            <a:off x="16455631" y="11735738"/>
            <a:ext cx="226926" cy="1116193"/>
          </a:xfrm>
          <a:prstGeom prst="rect">
            <a:avLst/>
          </a:prstGeom>
          <a:grpFill/>
          <a:ln>
            <a:solidFill>
              <a:schemeClr val="bg1"/>
            </a:solidFill>
          </a:ln>
          <a:effectLst>
            <a:outerShdw blurRad="50800" dist="50800" dir="5400000" algn="ctr" rotWithShape="0">
              <a:schemeClr val="bg1"/>
            </a:outerShdw>
          </a:effectLst>
        </xdr:spPr>
      </xdr:pic>
    </xdr:grpSp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57150</xdr:rowOff>
    </xdr:to>
    <xdr:sp macro="" textlink="">
      <xdr:nvSpPr>
        <xdr:cNvPr id="12" name="Šípka doľava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85B4CD5-EB19-47AD-B5C0-622E8ECB1E72}"/>
            </a:ext>
          </a:extLst>
        </xdr:cNvPr>
        <xdr:cNvSpPr/>
      </xdr:nvSpPr>
      <xdr:spPr>
        <a:xfrm>
          <a:off x="148780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0.26122</cdr:x>
      <cdr:y>0.50682</cdr:y>
    </cdr:from>
    <cdr:to>
      <cdr:x>0.38336</cdr:x>
      <cdr:y>0.63335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235238" y="1356508"/>
          <a:ext cx="577566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-302</a:t>
          </a:r>
        </a:p>
      </cdr:txBody>
    </cdr:sp>
  </cdr:relSizeAnchor>
  <cdr:relSizeAnchor xmlns:cdr="http://schemas.openxmlformats.org/drawingml/2006/chartDrawing">
    <cdr:from>
      <cdr:x>0.50233</cdr:x>
      <cdr:y>0.15737</cdr:y>
    </cdr:from>
    <cdr:to>
      <cdr:x>0.62446</cdr:x>
      <cdr:y>0.2839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2375387" y="421214"/>
          <a:ext cx="577519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-93</a:t>
          </a:r>
        </a:p>
      </cdr:txBody>
    </cdr:sp>
  </cdr:relSizeAnchor>
  <cdr:relSizeAnchor xmlns:cdr="http://schemas.openxmlformats.org/drawingml/2006/chartDrawing">
    <cdr:from>
      <cdr:x>0.62691</cdr:x>
      <cdr:y>0.40569</cdr:y>
    </cdr:from>
    <cdr:to>
      <cdr:x>0.74904</cdr:x>
      <cdr:y>0.53222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964471" y="1085834"/>
          <a:ext cx="577519" cy="338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-73</a:t>
          </a:r>
        </a:p>
      </cdr:txBody>
    </cdr:sp>
  </cdr:relSizeAnchor>
  <cdr:relSizeAnchor xmlns:cdr="http://schemas.openxmlformats.org/drawingml/2006/chartDrawing">
    <cdr:from>
      <cdr:x>0.61503</cdr:x>
      <cdr:y>0.62041</cdr:y>
    </cdr:from>
    <cdr:to>
      <cdr:x>0.73717</cdr:x>
      <cdr:y>0.74694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908301" y="1660535"/>
          <a:ext cx="577566" cy="338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-38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0.24167</cdr:x>
      <cdr:y>0.33957</cdr:y>
    </cdr:from>
    <cdr:to>
      <cdr:x>0.3649</cdr:x>
      <cdr:y>0.4671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132613" y="901707"/>
          <a:ext cx="577532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+381</a:t>
          </a:r>
        </a:p>
      </cdr:txBody>
    </cdr:sp>
  </cdr:relSizeAnchor>
  <cdr:relSizeAnchor xmlns:cdr="http://schemas.openxmlformats.org/drawingml/2006/chartDrawing">
    <cdr:from>
      <cdr:x>0.60085</cdr:x>
      <cdr:y>0.39895</cdr:y>
    </cdr:from>
    <cdr:to>
      <cdr:x>0.72407</cdr:x>
      <cdr:y>0.52649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2815938" y="1059389"/>
          <a:ext cx="577485" cy="338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+49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0.3434</cdr:x>
      <cdr:y>0.20724</cdr:y>
    </cdr:from>
    <cdr:to>
      <cdr:x>0.46688</cdr:x>
      <cdr:y>0.33477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606189" y="550325"/>
          <a:ext cx="577550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-14</a:t>
          </a:r>
        </a:p>
      </cdr:txBody>
    </cdr:sp>
  </cdr:relSizeAnchor>
  <cdr:relSizeAnchor xmlns:cdr="http://schemas.openxmlformats.org/drawingml/2006/chartDrawing">
    <cdr:from>
      <cdr:x>0.2736</cdr:x>
      <cdr:y>0.43522</cdr:y>
    </cdr:from>
    <cdr:to>
      <cdr:x>0.39708</cdr:x>
      <cdr:y>0.56275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279688" y="1155697"/>
          <a:ext cx="577551" cy="338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-27</a:t>
          </a:r>
        </a:p>
      </cdr:txBody>
    </cdr:sp>
  </cdr:relSizeAnchor>
  <cdr:relSizeAnchor xmlns:cdr="http://schemas.openxmlformats.org/drawingml/2006/chartDrawing">
    <cdr:from>
      <cdr:x>0.62362</cdr:x>
      <cdr:y>0.62533</cdr:y>
    </cdr:from>
    <cdr:to>
      <cdr:x>0.74709</cdr:x>
      <cdr:y>0.75286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916824" y="1660532"/>
          <a:ext cx="577504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-112</a:t>
          </a:r>
        </a:p>
      </cdr:txBody>
    </cdr:sp>
  </cdr:relSizeAnchor>
  <cdr:relSizeAnchor xmlns:cdr="http://schemas.openxmlformats.org/drawingml/2006/chartDrawing">
    <cdr:from>
      <cdr:x>0.42019</cdr:x>
      <cdr:y>0.15543</cdr:y>
    </cdr:from>
    <cdr:to>
      <cdr:x>0.54366</cdr:x>
      <cdr:y>0.28296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89090C4F-2556-471C-822C-5603F668D370}"/>
            </a:ext>
          </a:extLst>
        </cdr:cNvPr>
        <cdr:cNvSpPr txBox="1"/>
      </cdr:nvSpPr>
      <cdr:spPr>
        <a:xfrm xmlns:a="http://schemas.openxmlformats.org/drawingml/2006/main">
          <a:off x="1965325" y="412750"/>
          <a:ext cx="577550" cy="33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-10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0.16381</cdr:x>
      <cdr:y>0.72819</cdr:y>
    </cdr:from>
    <cdr:to>
      <cdr:x>0.2819</cdr:x>
      <cdr:y>0.78523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1" y="2066925"/>
          <a:ext cx="5905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k-SK" sz="1100"/>
        </a:p>
      </cdr:txBody>
    </cdr:sp>
  </cdr:relSizeAnchor>
  <cdr:relSizeAnchor xmlns:cdr="http://schemas.openxmlformats.org/drawingml/2006/chartDrawing">
    <cdr:from>
      <cdr:x>0.18762</cdr:x>
      <cdr:y>0.67371</cdr:y>
    </cdr:from>
    <cdr:to>
      <cdr:x>0.33619</cdr:x>
      <cdr:y>0.79484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75472" y="1352527"/>
          <a:ext cx="1485128" cy="243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-506</a:t>
          </a:r>
        </a:p>
      </cdr:txBody>
    </cdr:sp>
  </cdr:relSizeAnchor>
  <cdr:relSizeAnchor xmlns:cdr="http://schemas.openxmlformats.org/drawingml/2006/chartDrawing">
    <cdr:from>
      <cdr:x>0.45524</cdr:x>
      <cdr:y>0.64704</cdr:y>
    </cdr:from>
    <cdr:to>
      <cdr:x>0.60381</cdr:x>
      <cdr:y>0.72422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550649" y="1298977"/>
          <a:ext cx="14851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163</a:t>
          </a:r>
        </a:p>
      </cdr:txBody>
    </cdr:sp>
  </cdr:relSizeAnchor>
  <cdr:relSizeAnchor xmlns:cdr="http://schemas.openxmlformats.org/drawingml/2006/chartDrawing">
    <cdr:from>
      <cdr:x>0.59797</cdr:x>
      <cdr:y>0.64883</cdr:y>
    </cdr:from>
    <cdr:to>
      <cdr:x>0.74655</cdr:x>
      <cdr:y>0.72601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77380" y="1302567"/>
          <a:ext cx="1485227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430</a:t>
          </a:r>
        </a:p>
      </cdr:txBody>
    </cdr:sp>
  </cdr:relSizeAnchor>
  <cdr:relSizeAnchor xmlns:cdr="http://schemas.openxmlformats.org/drawingml/2006/chartDrawing">
    <cdr:from>
      <cdr:x>0.81834</cdr:x>
      <cdr:y>0.63244</cdr:y>
    </cdr:from>
    <cdr:to>
      <cdr:x>0.96691</cdr:x>
      <cdr:y>0.70962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8180207" y="1269665"/>
          <a:ext cx="14851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353</a:t>
          </a:r>
        </a:p>
      </cdr:txBody>
    </cdr:sp>
  </cdr:relSizeAnchor>
  <cdr:relSizeAnchor xmlns:cdr="http://schemas.openxmlformats.org/drawingml/2006/chartDrawing">
    <cdr:from>
      <cdr:x>0.36117</cdr:x>
      <cdr:y>0.66568</cdr:y>
    </cdr:from>
    <cdr:to>
      <cdr:x>0.50974</cdr:x>
      <cdr:y>0.80063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610324" y="1336399"/>
          <a:ext cx="1485128" cy="270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-198</a:t>
          </a:r>
        </a:p>
      </cdr:txBody>
    </cdr:sp>
  </cdr:relSizeAnchor>
  <cdr:relSizeAnchor xmlns:cdr="http://schemas.openxmlformats.org/drawingml/2006/chartDrawing">
    <cdr:from>
      <cdr:x>0.18714</cdr:x>
      <cdr:y>0.16793</cdr:y>
    </cdr:from>
    <cdr:to>
      <cdr:x>0.33571</cdr:x>
      <cdr:y>0.24512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870674" y="337130"/>
          <a:ext cx="1485128" cy="154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0,6</a:t>
          </a:r>
          <a:r>
            <a:rPr lang="sk-SK" sz="900" b="1">
              <a:solidFill>
                <a:srgbClr val="13B5EA"/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0.36165</cdr:x>
      <cdr:y>0.16486</cdr:y>
    </cdr:from>
    <cdr:to>
      <cdr:x>0.51022</cdr:x>
      <cdr:y>0.27831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615109" y="330965"/>
          <a:ext cx="1485127" cy="22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-0,2</a:t>
          </a:r>
        </a:p>
      </cdr:txBody>
    </cdr:sp>
  </cdr:relSizeAnchor>
  <cdr:relSizeAnchor xmlns:cdr="http://schemas.openxmlformats.org/drawingml/2006/chartDrawing">
    <cdr:from>
      <cdr:x>0.44783</cdr:x>
      <cdr:y>0.16319</cdr:y>
    </cdr:from>
    <cdr:to>
      <cdr:x>0.54428</cdr:x>
      <cdr:y>0.24037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476535" y="327607"/>
          <a:ext cx="9641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0,2</a:t>
          </a:r>
        </a:p>
      </cdr:txBody>
    </cdr:sp>
  </cdr:relSizeAnchor>
  <cdr:relSizeAnchor xmlns:cdr="http://schemas.openxmlformats.org/drawingml/2006/chartDrawing">
    <cdr:from>
      <cdr:x>0.59607</cdr:x>
      <cdr:y>0.17318</cdr:y>
    </cdr:from>
    <cdr:to>
      <cdr:x>0.74464</cdr:x>
      <cdr:y>0.25036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958387" y="347672"/>
          <a:ext cx="1485128" cy="154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0,5</a:t>
          </a:r>
        </a:p>
      </cdr:txBody>
    </cdr:sp>
  </cdr:relSizeAnchor>
  <cdr:relSizeAnchor xmlns:cdr="http://schemas.openxmlformats.org/drawingml/2006/chartDrawing">
    <cdr:from>
      <cdr:x>0.7094</cdr:x>
      <cdr:y>0.1559</cdr:y>
    </cdr:from>
    <cdr:to>
      <cdr:x>0.74896</cdr:x>
      <cdr:y>0.23723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091265" y="312981"/>
          <a:ext cx="395447" cy="163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0,1</a:t>
          </a:r>
        </a:p>
      </cdr:txBody>
    </cdr:sp>
  </cdr:relSizeAnchor>
  <cdr:relSizeAnchor xmlns:cdr="http://schemas.openxmlformats.org/drawingml/2006/chartDrawing">
    <cdr:from>
      <cdr:x>0.0265</cdr:x>
      <cdr:y>0.17562</cdr:y>
    </cdr:from>
    <cdr:to>
      <cdr:x>0.17507</cdr:x>
      <cdr:y>0.27356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05897" y="314482"/>
          <a:ext cx="1154341" cy="175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% HDP:</a:t>
          </a:r>
        </a:p>
      </cdr:txBody>
    </cdr:sp>
  </cdr:relSizeAnchor>
  <cdr:relSizeAnchor xmlns:cdr="http://schemas.openxmlformats.org/drawingml/2006/chartDrawing">
    <cdr:from>
      <cdr:x>0.02693</cdr:x>
      <cdr:y>0.68277</cdr:y>
    </cdr:from>
    <cdr:to>
      <cdr:x>0.1755</cdr:x>
      <cdr:y>0.80547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09237" y="1222636"/>
          <a:ext cx="1154342" cy="219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mil. eur:</a:t>
          </a:r>
        </a:p>
      </cdr:txBody>
    </cdr:sp>
  </cdr:relSizeAnchor>
  <cdr:relSizeAnchor xmlns:cdr="http://schemas.openxmlformats.org/drawingml/2006/chartDrawing">
    <cdr:from>
      <cdr:x>0.31119</cdr:x>
      <cdr:y>0.02469</cdr:y>
    </cdr:from>
    <cdr:to>
      <cdr:x>0.51533</cdr:x>
      <cdr:y>0.13993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417863" y="44212"/>
          <a:ext cx="1586103" cy="206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Financované</a:t>
          </a:r>
          <a:r>
            <a:rPr lang="sk-SK" sz="1100" b="1">
              <a:solidFill>
                <a:schemeClr val="bg2">
                  <a:lumMod val="25000"/>
                </a:schemeClr>
              </a:solidFill>
            </a:rPr>
            <a:t> </a:t>
          </a:r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oblasti</a:t>
          </a:r>
        </a:p>
      </cdr:txBody>
    </cdr:sp>
  </cdr:relSizeAnchor>
  <cdr:relSizeAnchor xmlns:cdr="http://schemas.openxmlformats.org/drawingml/2006/chartDrawing">
    <cdr:from>
      <cdr:x>0.5078</cdr:x>
      <cdr:y>0.02449</cdr:y>
    </cdr:from>
    <cdr:to>
      <cdr:x>0.71194</cdr:x>
      <cdr:y>0.13973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877734" y="44323"/>
          <a:ext cx="1960886" cy="208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Zdroje financovania</a:t>
          </a:r>
        </a:p>
      </cdr:txBody>
    </cdr:sp>
  </cdr:relSizeAnchor>
  <cdr:relSizeAnchor xmlns:cdr="http://schemas.openxmlformats.org/drawingml/2006/chartDrawing">
    <cdr:from>
      <cdr:x>0.71306</cdr:x>
      <cdr:y>0.65633</cdr:y>
    </cdr:from>
    <cdr:to>
      <cdr:x>0.76325</cdr:x>
      <cdr:y>0.75438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7127837" y="1317633"/>
          <a:ext cx="501706" cy="196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83</a:t>
          </a:r>
        </a:p>
      </cdr:txBody>
    </cdr:sp>
  </cdr:relSizeAnchor>
  <cdr:relSizeAnchor xmlns:cdr="http://schemas.openxmlformats.org/drawingml/2006/chartDrawing">
    <cdr:from>
      <cdr:x>0.81788</cdr:x>
      <cdr:y>0.14867</cdr:y>
    </cdr:from>
    <cdr:to>
      <cdr:x>0.85377</cdr:x>
      <cdr:y>0.23723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8175638" y="298468"/>
          <a:ext cx="358761" cy="177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0,4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1</xdr:row>
      <xdr:rowOff>19050</xdr:rowOff>
    </xdr:from>
    <xdr:to>
      <xdr:col>14</xdr:col>
      <xdr:colOff>352425</xdr:colOff>
      <xdr:row>15</xdr:row>
      <xdr:rowOff>95250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E609B74-12F2-4B60-8804-FE42100C8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12685B-A854-4B4B-BF80-8B594D7E6889}"/>
            </a:ext>
          </a:extLst>
        </xdr:cNvPr>
        <xdr:cNvSpPr/>
      </xdr:nvSpPr>
      <xdr:spPr>
        <a:xfrm>
          <a:off x="11401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8</xdr:row>
      <xdr:rowOff>0</xdr:rowOff>
    </xdr:from>
    <xdr:to>
      <xdr:col>26</xdr:col>
      <xdr:colOff>171450</xdr:colOff>
      <xdr:row>22</xdr:row>
      <xdr:rowOff>76200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116FDF7-3B69-489D-BD8E-F30463114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1</xdr:row>
      <xdr:rowOff>0</xdr:rowOff>
    </xdr:from>
    <xdr:to>
      <xdr:col>28</xdr:col>
      <xdr:colOff>514350</xdr:colOff>
      <xdr:row>2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6C4D14-C047-49E0-A62D-F562E4C70414}"/>
            </a:ext>
          </a:extLst>
        </xdr:cNvPr>
        <xdr:cNvSpPr/>
      </xdr:nvSpPr>
      <xdr:spPr>
        <a:xfrm>
          <a:off x="175260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5C97A3-4BF4-43C4-AF66-85E6FBBB4AEF}"/>
            </a:ext>
          </a:extLst>
        </xdr:cNvPr>
        <xdr:cNvSpPr/>
      </xdr:nvSpPr>
      <xdr:spPr>
        <a:xfrm>
          <a:off x="73818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1</xdr:row>
      <xdr:rowOff>176212</xdr:rowOff>
    </xdr:from>
    <xdr:to>
      <xdr:col>18</xdr:col>
      <xdr:colOff>161925</xdr:colOff>
      <xdr:row>17</xdr:row>
      <xdr:rowOff>8212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EECE86-0AEA-4BA1-A21D-C7A88F7659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19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46C123-2802-428A-9C19-18954117A6AD}"/>
            </a:ext>
          </a:extLst>
        </xdr:cNvPr>
        <xdr:cNvSpPr/>
      </xdr:nvSpPr>
      <xdr:spPr>
        <a:xfrm>
          <a:off x="141922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142874</xdr:colOff>
      <xdr:row>3</xdr:row>
      <xdr:rowOff>57151</xdr:rowOff>
    </xdr:from>
    <xdr:to>
      <xdr:col>23</xdr:col>
      <xdr:colOff>285749</xdr:colOff>
      <xdr:row>18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476250</xdr:colOff>
      <xdr:row>3</xdr:row>
      <xdr:rowOff>19050</xdr:rowOff>
    </xdr:from>
    <xdr:to>
      <xdr:col>15</xdr:col>
      <xdr:colOff>9525</xdr:colOff>
      <xdr:row>18</xdr:row>
      <xdr:rowOff>133349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25</xdr:col>
      <xdr:colOff>514350</xdr:colOff>
      <xdr:row>2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CB5E9-2F32-42D5-ADD4-92B456C6414A}"/>
            </a:ext>
          </a:extLst>
        </xdr:cNvPr>
        <xdr:cNvSpPr/>
      </xdr:nvSpPr>
      <xdr:spPr>
        <a:xfrm>
          <a:off x="155352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9</xdr:row>
      <xdr:rowOff>38100</xdr:rowOff>
    </xdr:from>
    <xdr:to>
      <xdr:col>16</xdr:col>
      <xdr:colOff>228599</xdr:colOff>
      <xdr:row>28</xdr:row>
      <xdr:rowOff>66674</xdr:rowOff>
    </xdr:to>
    <xdr:grpSp>
      <xdr:nvGrpSpPr>
        <xdr:cNvPr id="4" name="Skupina 3">
          <a:extLst>
            <a:ext uri="{FF2B5EF4-FFF2-40B4-BE49-F238E27FC236}">
              <a16:creationId xmlns:a16="http://schemas.microsoft.com/office/drawing/2014/main" id="{FAA6808C-6A63-44F8-A6EC-18411B00949D}"/>
            </a:ext>
          </a:extLst>
        </xdr:cNvPr>
        <xdr:cNvGrpSpPr/>
      </xdr:nvGrpSpPr>
      <xdr:grpSpPr>
        <a:xfrm>
          <a:off x="3914775" y="1495425"/>
          <a:ext cx="7562849" cy="3105149"/>
          <a:chOff x="4286249" y="1562100"/>
          <a:chExt cx="7439025" cy="2962274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6BBEA808-E7B7-497E-B16D-B7CBD1BF90B3}"/>
              </a:ext>
            </a:extLst>
          </xdr:cNvPr>
          <xdr:cNvGraphicFramePr/>
        </xdr:nvGraphicFramePr>
        <xdr:xfrm>
          <a:off x="4286249" y="1562100"/>
          <a:ext cx="7439025" cy="2952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Obdĺžnik 2">
            <a:extLst>
              <a:ext uri="{FF2B5EF4-FFF2-40B4-BE49-F238E27FC236}">
                <a16:creationId xmlns:a16="http://schemas.microsoft.com/office/drawing/2014/main" id="{2924F122-1FF6-4A3B-9B51-154D215F6707}"/>
              </a:ext>
            </a:extLst>
          </xdr:cNvPr>
          <xdr:cNvSpPr/>
        </xdr:nvSpPr>
        <xdr:spPr>
          <a:xfrm>
            <a:off x="10467975" y="1562100"/>
            <a:ext cx="1047750" cy="2962274"/>
          </a:xfrm>
          <a:prstGeom prst="rect">
            <a:avLst/>
          </a:prstGeom>
          <a:solidFill>
            <a:schemeClr val="accent1">
              <a:lumMod val="40000"/>
              <a:lumOff val="60000"/>
              <a:alpha val="58000"/>
            </a:schemeClr>
          </a:solid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</xdr:grpSp>
    <xdr:clientData/>
  </xdr:twoCellAnchor>
  <xdr:twoCellAnchor>
    <xdr:from>
      <xdr:col>24</xdr:col>
      <xdr:colOff>0</xdr:colOff>
      <xdr:row>1</xdr:row>
      <xdr:rowOff>0</xdr:rowOff>
    </xdr:from>
    <xdr:to>
      <xdr:col>24</xdr:col>
      <xdr:colOff>514350</xdr:colOff>
      <xdr:row>2</xdr:row>
      <xdr:rowOff>85725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54F0B7-4E53-4EE9-8D5C-73283A4F134C}"/>
            </a:ext>
          </a:extLst>
        </xdr:cNvPr>
        <xdr:cNvSpPr/>
      </xdr:nvSpPr>
      <xdr:spPr>
        <a:xfrm>
          <a:off x="161258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66676</xdr:colOff>
      <xdr:row>1</xdr:row>
      <xdr:rowOff>133350</xdr:rowOff>
    </xdr:from>
    <xdr:to>
      <xdr:col>14</xdr:col>
      <xdr:colOff>304800</xdr:colOff>
      <xdr:row>15</xdr:row>
      <xdr:rowOff>76200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371475</xdr:colOff>
      <xdr:row>1</xdr:row>
      <xdr:rowOff>85725</xdr:rowOff>
    </xdr:from>
    <xdr:to>
      <xdr:col>21</xdr:col>
      <xdr:colOff>285749</xdr:colOff>
      <xdr:row>17</xdr:row>
      <xdr:rowOff>19050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EBB45AEC-44F3-479C-A1F8-8E83ECCD9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23</xdr:col>
      <xdr:colOff>514350</xdr:colOff>
      <xdr:row>2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2212BC-2ECE-4FC8-84F2-860798E00F3D}"/>
            </a:ext>
          </a:extLst>
        </xdr:cNvPr>
        <xdr:cNvSpPr/>
      </xdr:nvSpPr>
      <xdr:spPr>
        <a:xfrm>
          <a:off x="15706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0.62025</cdr:x>
      <cdr:y>0.01664</cdr:y>
    </cdr:from>
    <cdr:to>
      <cdr:x>1</cdr:x>
      <cdr:y>0.08117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2A2C675-6778-48A6-84AE-89A62E123D60}"/>
            </a:ext>
          </a:extLst>
        </cdr:cNvPr>
        <cdr:cNvSpPr txBox="1"/>
      </cdr:nvSpPr>
      <cdr:spPr>
        <a:xfrm xmlns:a="http://schemas.openxmlformats.org/drawingml/2006/main">
          <a:off x="2333624" y="48818"/>
          <a:ext cx="1428750" cy="189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0.01039</cdr:x>
      <cdr:y>0.01519</cdr:y>
    </cdr:from>
    <cdr:to>
      <cdr:x>0.3434</cdr:x>
      <cdr:y>0.08927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F70F853-8F4A-44FA-915D-7623576FDF6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62877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0.62864</cdr:x>
      <cdr:y>0.92356</cdr:y>
    </cdr:from>
    <cdr:to>
      <cdr:x>1</cdr:x>
      <cdr:y>0.99259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BFB5FC5-5F00-48B2-BDFE-0CF2E4598433}"/>
            </a:ext>
          </a:extLst>
        </cdr:cNvPr>
        <cdr:cNvSpPr txBox="1"/>
      </cdr:nvSpPr>
      <cdr:spPr>
        <a:xfrm xmlns:a="http://schemas.openxmlformats.org/drawingml/2006/main">
          <a:off x="2449008" y="2040885"/>
          <a:ext cx="1446716" cy="1525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0.02674</cdr:x>
      <cdr:y>0.9227</cdr:y>
    </cdr:from>
    <cdr:to>
      <cdr:x>0.33833</cdr:x>
      <cdr:y>0.99677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D636C7F-554E-434D-BEF0-D3E13F58C83F}"/>
            </a:ext>
          </a:extLst>
        </cdr:cNvPr>
        <cdr:cNvSpPr txBox="1"/>
      </cdr:nvSpPr>
      <cdr:spPr>
        <a:xfrm xmlns:a="http://schemas.openxmlformats.org/drawingml/2006/main">
          <a:off x="104172" y="2724516"/>
          <a:ext cx="1213869" cy="218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0.36162</cdr:x>
      <cdr:y>0</cdr:y>
    </cdr:from>
    <cdr:to>
      <cdr:x>0.59613</cdr:x>
      <cdr:y>0.0742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B494CD97-A85E-463C-ABB1-A92A468C93CF}"/>
            </a:ext>
          </a:extLst>
        </cdr:cNvPr>
        <cdr:cNvSpPr txBox="1"/>
      </cdr:nvSpPr>
      <cdr:spPr>
        <a:xfrm xmlns:a="http://schemas.openxmlformats.org/drawingml/2006/main">
          <a:off x="1408772" y="0"/>
          <a:ext cx="913586" cy="200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>
              <a:latin typeface="Constantia" pitchFamily="18" charset="0"/>
            </a:rPr>
            <a:t>Fiškálny impulz</a:t>
          </a:r>
        </a:p>
      </cdr:txBody>
    </cdr:sp>
  </cdr:relSizeAnchor>
  <cdr:relSizeAnchor xmlns:cdr="http://schemas.openxmlformats.org/drawingml/2006/chartDrawing">
    <cdr:from>
      <cdr:x>0.71957</cdr:x>
      <cdr:y>0.61149</cdr:y>
    </cdr:from>
    <cdr:to>
      <cdr:x>1</cdr:x>
      <cdr:y>0.67132</cdr:y>
    </cdr:to>
    <cdr:sp macro="" textlink="">
      <cdr:nvSpPr>
        <cdr:cNvPr id="12" name="TextBox 7">
          <a:extLst xmlns:a="http://schemas.openxmlformats.org/drawingml/2006/main">
            <a:ext uri="{FF2B5EF4-FFF2-40B4-BE49-F238E27FC236}">
              <a16:creationId xmlns:a16="http://schemas.microsoft.com/office/drawing/2014/main" id="{9B9D0E28-2DC3-4158-811E-84E31AE9F414}"/>
            </a:ext>
          </a:extLst>
        </cdr:cNvPr>
        <cdr:cNvSpPr txBox="1"/>
      </cdr:nvSpPr>
      <cdr:spPr>
        <a:xfrm xmlns:a="http://schemas.openxmlformats.org/drawingml/2006/main">
          <a:off x="2803246" y="1654148"/>
          <a:ext cx="1092478" cy="161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b="1">
              <a:latin typeface="Constantia" pitchFamily="18" charset="0"/>
            </a:rPr>
            <a:t>Produkčná medzera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2743200" y="600074"/>
    <xdr:ext cx="4320000" cy="2880000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855E122-81E1-4D54-A134-A8604C304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B163FC-7859-4E84-B5A8-2406D770C852}"/>
            </a:ext>
          </a:extLst>
        </xdr:cNvPr>
        <xdr:cNvSpPr/>
      </xdr:nvSpPr>
      <xdr:spPr>
        <a:xfrm>
          <a:off x="74771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19</xdr:row>
      <xdr:rowOff>0</xdr:rowOff>
    </xdr:from>
    <xdr:to>
      <xdr:col>10</xdr:col>
      <xdr:colOff>76200</xdr:colOff>
      <xdr:row>35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635F9DC-0503-479C-96DF-162E4E62B1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38099</xdr:colOff>
      <xdr:row>18</xdr:row>
      <xdr:rowOff>104775</xdr:rowOff>
    </xdr:from>
    <xdr:to>
      <xdr:col>21</xdr:col>
      <xdr:colOff>142874</xdr:colOff>
      <xdr:row>37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9F9C994-84E0-4860-86C0-BAF254B37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24</xdr:col>
      <xdr:colOff>514350</xdr:colOff>
      <xdr:row>2</xdr:row>
      <xdr:rowOff>85725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A362F1-FEEF-415C-A4C7-7C0027C170E8}"/>
            </a:ext>
          </a:extLst>
        </xdr:cNvPr>
        <xdr:cNvSpPr/>
      </xdr:nvSpPr>
      <xdr:spPr>
        <a:xfrm>
          <a:off x="1564005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2</xdr:row>
      <xdr:rowOff>42863</xdr:rowOff>
    </xdr:from>
    <xdr:to>
      <xdr:col>13</xdr:col>
      <xdr:colOff>514350</xdr:colOff>
      <xdr:row>18</xdr:row>
      <xdr:rowOff>38101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B62DF2F-888F-4554-8A3F-6D5F4CD00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514350</xdr:colOff>
      <xdr:row>4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E80D-79D4-4C38-9BA4-D8EA5A5C33EF}"/>
            </a:ext>
          </a:extLst>
        </xdr:cNvPr>
        <xdr:cNvSpPr/>
      </xdr:nvSpPr>
      <xdr:spPr>
        <a:xfrm>
          <a:off x="11820525" y="4857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0.48262</cdr:x>
      <cdr:y>0.36804</cdr:y>
    </cdr:from>
    <cdr:to>
      <cdr:x>0.61963</cdr:x>
      <cdr:y>0.59425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D3A6B8A0-B5AD-48F6-99D3-9CF2B68DA9B6}"/>
            </a:ext>
          </a:extLst>
        </cdr:cNvPr>
        <cdr:cNvSpPr/>
      </cdr:nvSpPr>
      <cdr:spPr>
        <a:xfrm xmlns:a="http://schemas.openxmlformats.org/drawingml/2006/main">
          <a:off x="2247899" y="976312"/>
          <a:ext cx="638175" cy="60007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chemeClr val="accent2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0.78187</cdr:x>
      <cdr:y>0.37463</cdr:y>
    </cdr:from>
    <cdr:to>
      <cdr:x>0.87117</cdr:x>
      <cdr:y>0.5763</cdr:y>
    </cdr:to>
    <cdr:sp macro="" textlink="">
      <cdr:nvSpPr>
        <cdr:cNvPr id="3" name="Ovál 2">
          <a:extLst xmlns:a="http://schemas.openxmlformats.org/drawingml/2006/main">
            <a:ext uri="{FF2B5EF4-FFF2-40B4-BE49-F238E27FC236}">
              <a16:creationId xmlns:a16="http://schemas.microsoft.com/office/drawing/2014/main" id="{0B379F16-99B1-4AA4-B404-E119308E7C55}"/>
            </a:ext>
          </a:extLst>
        </cdr:cNvPr>
        <cdr:cNvSpPr/>
      </cdr:nvSpPr>
      <cdr:spPr>
        <a:xfrm xmlns:a="http://schemas.openxmlformats.org/drawingml/2006/main">
          <a:off x="3641725" y="993776"/>
          <a:ext cx="415925" cy="53498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chemeClr val="accent2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2</xdr:row>
      <xdr:rowOff>114300</xdr:rowOff>
    </xdr:from>
    <xdr:to>
      <xdr:col>16</xdr:col>
      <xdr:colOff>371476</xdr:colOff>
      <xdr:row>21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28316F-A749-4EFB-AFB7-365B9377C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17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9CF486-C2F1-440A-9CEF-6D8F7397225D}"/>
            </a:ext>
          </a:extLst>
        </xdr:cNvPr>
        <xdr:cNvSpPr/>
      </xdr:nvSpPr>
      <xdr:spPr>
        <a:xfrm>
          <a:off x="122967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showGridLines="0" tabSelected="1" workbookViewId="0"/>
  </sheetViews>
  <sheetFormatPr defaultRowHeight="12.75"/>
  <cols>
    <col min="1" max="1" width="124.7109375" customWidth="1"/>
  </cols>
  <sheetData>
    <row r="1" spans="1:1" ht="21">
      <c r="A1" s="527" t="s">
        <v>1361</v>
      </c>
    </row>
    <row r="2" spans="1:1">
      <c r="A2" s="528" t="s">
        <v>506</v>
      </c>
    </row>
    <row r="4" spans="1:1">
      <c r="A4" s="1472" t="s">
        <v>1286</v>
      </c>
    </row>
    <row r="5" spans="1:1">
      <c r="A5" s="1472" t="s">
        <v>1287</v>
      </c>
    </row>
    <row r="6" spans="1:1">
      <c r="A6" s="1472" t="s">
        <v>1288</v>
      </c>
    </row>
    <row r="7" spans="1:1">
      <c r="A7" s="1472" t="s">
        <v>1035</v>
      </c>
    </row>
    <row r="8" spans="1:1">
      <c r="A8" s="1472" t="s">
        <v>1048</v>
      </c>
    </row>
    <row r="9" spans="1:1">
      <c r="A9" s="1472" t="s">
        <v>1290</v>
      </c>
    </row>
    <row r="10" spans="1:1">
      <c r="A10" s="1472" t="s">
        <v>1289</v>
      </c>
    </row>
    <row r="11" spans="1:1">
      <c r="A11" s="1472" t="s">
        <v>1291</v>
      </c>
    </row>
    <row r="12" spans="1:1">
      <c r="A12" s="1472" t="s">
        <v>1292</v>
      </c>
    </row>
    <row r="13" spans="1:1">
      <c r="A13" s="1472" t="s">
        <v>1293</v>
      </c>
    </row>
    <row r="14" spans="1:1">
      <c r="A14" s="1472" t="s">
        <v>1294</v>
      </c>
    </row>
    <row r="15" spans="1:1">
      <c r="A15" s="1472" t="s">
        <v>1295</v>
      </c>
    </row>
    <row r="16" spans="1:1">
      <c r="A16" s="1472" t="s">
        <v>1275</v>
      </c>
    </row>
    <row r="17" spans="1:14">
      <c r="A17" s="1472" t="s">
        <v>1065</v>
      </c>
    </row>
    <row r="18" spans="1:14">
      <c r="A18" s="1472" t="s">
        <v>1079</v>
      </c>
    </row>
    <row r="19" spans="1:14">
      <c r="A19" s="1472" t="s">
        <v>1088</v>
      </c>
    </row>
    <row r="20" spans="1:14">
      <c r="A20" s="1472" t="s">
        <v>1296</v>
      </c>
    </row>
    <row r="21" spans="1:14">
      <c r="A21" s="1472" t="s">
        <v>1297</v>
      </c>
    </row>
    <row r="22" spans="1:14">
      <c r="A22" s="1472" t="s">
        <v>1298</v>
      </c>
    </row>
    <row r="23" spans="1:14">
      <c r="A23" s="1474" t="s">
        <v>622</v>
      </c>
      <c r="B23" s="1473"/>
      <c r="C23" s="1473"/>
      <c r="D23" s="1473"/>
      <c r="E23" s="1473"/>
      <c r="F23" s="1473"/>
      <c r="G23" s="1473"/>
      <c r="H23" s="1473"/>
      <c r="I23" s="1473"/>
      <c r="J23" s="1473"/>
      <c r="K23" s="1473"/>
      <c r="L23" s="1473"/>
      <c r="M23" s="1473"/>
      <c r="N23" s="1473"/>
    </row>
    <row r="24" spans="1:14">
      <c r="A24" s="1472" t="s">
        <v>1299</v>
      </c>
    </row>
    <row r="25" spans="1:14">
      <c r="A25" s="1472" t="s">
        <v>1300</v>
      </c>
    </row>
    <row r="26" spans="1:14">
      <c r="A26" s="1472" t="s">
        <v>1301</v>
      </c>
    </row>
    <row r="27" spans="1:14">
      <c r="A27" s="1472" t="s">
        <v>1302</v>
      </c>
    </row>
    <row r="28" spans="1:14">
      <c r="A28" s="1472" t="s">
        <v>1303</v>
      </c>
    </row>
    <row r="29" spans="1:14">
      <c r="A29" s="1472" t="s">
        <v>1304</v>
      </c>
    </row>
    <row r="30" spans="1:14">
      <c r="A30" s="1472" t="s">
        <v>1305</v>
      </c>
    </row>
    <row r="31" spans="1:14">
      <c r="A31" s="1472" t="s">
        <v>1306</v>
      </c>
    </row>
    <row r="32" spans="1:14">
      <c r="A32" s="1472" t="s">
        <v>708</v>
      </c>
    </row>
    <row r="33" spans="1:1">
      <c r="A33" s="1472" t="s">
        <v>1307</v>
      </c>
    </row>
    <row r="34" spans="1:1">
      <c r="A34" s="1472" t="s">
        <v>1308</v>
      </c>
    </row>
    <row r="35" spans="1:1">
      <c r="A35" s="1472" t="s">
        <v>1309</v>
      </c>
    </row>
    <row r="36" spans="1:1">
      <c r="A36" s="1472" t="s">
        <v>1310</v>
      </c>
    </row>
    <row r="37" spans="1:1">
      <c r="A37" s="1472" t="s">
        <v>1311</v>
      </c>
    </row>
    <row r="38" spans="1:1">
      <c r="A38" s="1472" t="s">
        <v>1312</v>
      </c>
    </row>
    <row r="39" spans="1:1">
      <c r="A39" s="1472" t="s">
        <v>1313</v>
      </c>
    </row>
    <row r="40" spans="1:1">
      <c r="A40" s="1472" t="s">
        <v>1314</v>
      </c>
    </row>
    <row r="41" spans="1:1">
      <c r="A41" s="1472" t="s">
        <v>1315</v>
      </c>
    </row>
    <row r="42" spans="1:1">
      <c r="A42" s="1472" t="s">
        <v>364</v>
      </c>
    </row>
    <row r="43" spans="1:1">
      <c r="A43" s="1472" t="s">
        <v>1316</v>
      </c>
    </row>
    <row r="44" spans="1:1">
      <c r="A44" s="1472" t="s">
        <v>1317</v>
      </c>
    </row>
    <row r="45" spans="1:1">
      <c r="A45" s="1472" t="s">
        <v>1318</v>
      </c>
    </row>
    <row r="46" spans="1:1">
      <c r="A46" s="1472"/>
    </row>
    <row r="47" spans="1:1">
      <c r="A47" s="1472" t="s">
        <v>1319</v>
      </c>
    </row>
    <row r="48" spans="1:1">
      <c r="A48" s="1472" t="s">
        <v>1320</v>
      </c>
    </row>
    <row r="49" spans="1:11">
      <c r="A49" s="1472" t="s">
        <v>1321</v>
      </c>
    </row>
    <row r="50" spans="1:11">
      <c r="A50" s="1472" t="s">
        <v>1322</v>
      </c>
    </row>
    <row r="51" spans="1:11">
      <c r="A51" s="1472" t="s">
        <v>1323</v>
      </c>
    </row>
    <row r="52" spans="1:11">
      <c r="A52" s="1472" t="s">
        <v>1324</v>
      </c>
    </row>
    <row r="53" spans="1:11">
      <c r="A53" s="1472" t="s">
        <v>1325</v>
      </c>
    </row>
    <row r="54" spans="1:11">
      <c r="A54" s="1472" t="s">
        <v>1326</v>
      </c>
    </row>
    <row r="55" spans="1:11">
      <c r="A55" s="1472" t="s">
        <v>1327</v>
      </c>
    </row>
    <row r="56" spans="1:11">
      <c r="A56" s="1472" t="s">
        <v>1328</v>
      </c>
    </row>
    <row r="57" spans="1:11">
      <c r="A57" s="1472" t="s">
        <v>1331</v>
      </c>
    </row>
    <row r="58" spans="1:11">
      <c r="A58" s="1472" t="s">
        <v>1329</v>
      </c>
    </row>
    <row r="59" spans="1:11">
      <c r="A59" s="1472" t="s">
        <v>1330</v>
      </c>
    </row>
    <row r="60" spans="1:11">
      <c r="A60" s="1472" t="s">
        <v>1332</v>
      </c>
    </row>
    <row r="61" spans="1:11">
      <c r="A61" s="1472" t="s">
        <v>1333</v>
      </c>
    </row>
    <row r="62" spans="1:11">
      <c r="A62" s="1476" t="s">
        <v>1252</v>
      </c>
      <c r="B62" s="1475"/>
      <c r="C62" s="1475"/>
      <c r="D62" s="1475"/>
      <c r="E62" s="1475"/>
      <c r="F62" s="1475"/>
      <c r="G62" s="1475"/>
      <c r="H62" s="1475"/>
      <c r="I62" s="1475"/>
      <c r="J62" s="1475"/>
      <c r="K62" s="1475"/>
    </row>
    <row r="63" spans="1:11">
      <c r="A63" s="1472" t="s">
        <v>1334</v>
      </c>
    </row>
    <row r="64" spans="1:11">
      <c r="A64" s="1472" t="s">
        <v>1335</v>
      </c>
    </row>
    <row r="65" spans="1:1">
      <c r="A65" s="1472" t="s">
        <v>1336</v>
      </c>
    </row>
    <row r="66" spans="1:1">
      <c r="A66" s="1472" t="s">
        <v>492</v>
      </c>
    </row>
    <row r="67" spans="1:1">
      <c r="A67" s="1472" t="s">
        <v>1337</v>
      </c>
    </row>
    <row r="68" spans="1:1">
      <c r="A68" s="1472" t="s">
        <v>1339</v>
      </c>
    </row>
    <row r="69" spans="1:1">
      <c r="A69" s="1472" t="s">
        <v>1338</v>
      </c>
    </row>
    <row r="70" spans="1:1">
      <c r="A70" s="1472" t="s">
        <v>1340</v>
      </c>
    </row>
    <row r="71" spans="1:1">
      <c r="A71" s="1472" t="s">
        <v>1341</v>
      </c>
    </row>
    <row r="72" spans="1:1">
      <c r="A72" s="1472" t="s">
        <v>1343</v>
      </c>
    </row>
    <row r="73" spans="1:1">
      <c r="A73" s="1472" t="s">
        <v>1342</v>
      </c>
    </row>
    <row r="74" spans="1:1">
      <c r="A74" s="1472" t="s">
        <v>1344</v>
      </c>
    </row>
    <row r="75" spans="1:1">
      <c r="A75" s="1472" t="s">
        <v>870</v>
      </c>
    </row>
    <row r="76" spans="1:1">
      <c r="A76" s="1472" t="s">
        <v>1345</v>
      </c>
    </row>
    <row r="77" spans="1:1">
      <c r="A77" s="1472" t="s">
        <v>1346</v>
      </c>
    </row>
    <row r="78" spans="1:1">
      <c r="A78" s="1472" t="s">
        <v>1347</v>
      </c>
    </row>
    <row r="79" spans="1:1">
      <c r="A79" s="1472" t="s">
        <v>1349</v>
      </c>
    </row>
    <row r="80" spans="1:1">
      <c r="A80" s="1472" t="s">
        <v>1348</v>
      </c>
    </row>
    <row r="81" spans="1:1">
      <c r="A81" s="1472" t="s">
        <v>1350</v>
      </c>
    </row>
    <row r="82" spans="1:1">
      <c r="A82" s="1472" t="s">
        <v>1352</v>
      </c>
    </row>
    <row r="83" spans="1:1">
      <c r="A83" s="1472" t="s">
        <v>1351</v>
      </c>
    </row>
    <row r="84" spans="1:1">
      <c r="A84" s="1472" t="s">
        <v>505</v>
      </c>
    </row>
    <row r="85" spans="1:1">
      <c r="A85" s="1472" t="s">
        <v>1354</v>
      </c>
    </row>
    <row r="86" spans="1:1">
      <c r="A86" s="1472" t="s">
        <v>1353</v>
      </c>
    </row>
    <row r="87" spans="1:1">
      <c r="A87" s="1472" t="s">
        <v>1355</v>
      </c>
    </row>
    <row r="88" spans="1:1">
      <c r="A88" s="1472" t="s">
        <v>1356</v>
      </c>
    </row>
    <row r="89" spans="1:1">
      <c r="A89" s="1472" t="s">
        <v>273</v>
      </c>
    </row>
    <row r="90" spans="1:1">
      <c r="A90" s="1472" t="s">
        <v>293</v>
      </c>
    </row>
    <row r="91" spans="1:1">
      <c r="A91" s="1472" t="s">
        <v>292</v>
      </c>
    </row>
    <row r="92" spans="1:1">
      <c r="A92" s="1472" t="s">
        <v>274</v>
      </c>
    </row>
    <row r="93" spans="1:1">
      <c r="A93" s="1472" t="s">
        <v>311</v>
      </c>
    </row>
    <row r="94" spans="1:1">
      <c r="A94" s="1472" t="s">
        <v>312</v>
      </c>
    </row>
    <row r="95" spans="1:1">
      <c r="A95" s="1472" t="s">
        <v>1269</v>
      </c>
    </row>
    <row r="96" spans="1:1">
      <c r="A96" s="1472" t="s">
        <v>1270</v>
      </c>
    </row>
    <row r="97" spans="1:1">
      <c r="A97" s="1472" t="s">
        <v>1271</v>
      </c>
    </row>
    <row r="98" spans="1:1">
      <c r="A98" s="1472" t="s">
        <v>1274</v>
      </c>
    </row>
    <row r="99" spans="1:1">
      <c r="A99" s="1472" t="s">
        <v>1357</v>
      </c>
    </row>
    <row r="100" spans="1:1">
      <c r="A100" s="1472" t="s">
        <v>1358</v>
      </c>
    </row>
    <row r="101" spans="1:1">
      <c r="A101" s="1472" t="s">
        <v>1359</v>
      </c>
    </row>
    <row r="102" spans="1:1">
      <c r="A102" s="1472"/>
    </row>
    <row r="103" spans="1:1">
      <c r="A103" s="1472" t="s">
        <v>1360</v>
      </c>
    </row>
    <row r="104" spans="1:1">
      <c r="A104" s="1472"/>
    </row>
    <row r="105" spans="1:1">
      <c r="A105" s="1472"/>
    </row>
    <row r="106" spans="1:1">
      <c r="A106" s="1472"/>
    </row>
    <row r="107" spans="1:1">
      <c r="A107" s="1472"/>
    </row>
    <row r="108" spans="1:1">
      <c r="A108" s="1472"/>
    </row>
    <row r="109" spans="1:1">
      <c r="A109" s="1472"/>
    </row>
    <row r="110" spans="1:1">
      <c r="A110" s="1472"/>
    </row>
    <row r="111" spans="1:1">
      <c r="A111" s="1472"/>
    </row>
    <row r="112" spans="1:1">
      <c r="A112" s="1472"/>
    </row>
    <row r="113" spans="1:1">
      <c r="A113" s="1472"/>
    </row>
    <row r="114" spans="1:1">
      <c r="A114" s="1472"/>
    </row>
    <row r="115" spans="1:1">
      <c r="A115" s="1472"/>
    </row>
    <row r="116" spans="1:1">
      <c r="A116" s="1472"/>
    </row>
    <row r="117" spans="1:1">
      <c r="A117" s="1472"/>
    </row>
    <row r="118" spans="1:1">
      <c r="A118" s="1472"/>
    </row>
    <row r="119" spans="1:1">
      <c r="A119" s="1472"/>
    </row>
    <row r="120" spans="1:1">
      <c r="A120" s="1472"/>
    </row>
    <row r="121" spans="1:1">
      <c r="A121" s="1472"/>
    </row>
    <row r="122" spans="1:1">
      <c r="A122" s="1472"/>
    </row>
    <row r="123" spans="1:1">
      <c r="A123" s="1472"/>
    </row>
    <row r="124" spans="1:1">
      <c r="A124" s="1472"/>
    </row>
    <row r="125" spans="1:1">
      <c r="A125" s="1472"/>
    </row>
    <row r="126" spans="1:1">
      <c r="A126" s="1472"/>
    </row>
    <row r="127" spans="1:1">
      <c r="A127" s="1472"/>
    </row>
    <row r="128" spans="1:1">
      <c r="A128" s="1472"/>
    </row>
    <row r="129" spans="1:1">
      <c r="A129" s="1472"/>
    </row>
    <row r="130" spans="1:1">
      <c r="A130" s="1472"/>
    </row>
    <row r="131" spans="1:1">
      <c r="A131" s="1472"/>
    </row>
    <row r="132" spans="1:1">
      <c r="A132" s="1472"/>
    </row>
    <row r="133" spans="1:1">
      <c r="A133" s="1472"/>
    </row>
    <row r="134" spans="1:1">
      <c r="A134" s="1472"/>
    </row>
    <row r="135" spans="1:1">
      <c r="A135" s="1472"/>
    </row>
    <row r="136" spans="1:1">
      <c r="A136" s="1472"/>
    </row>
    <row r="137" spans="1:1">
      <c r="A137" s="1472"/>
    </row>
    <row r="138" spans="1:1">
      <c r="A138" s="1472"/>
    </row>
    <row r="139" spans="1:1">
      <c r="A139" s="1472"/>
    </row>
    <row r="140" spans="1:1">
      <c r="A140" s="1472"/>
    </row>
    <row r="141" spans="1:1">
      <c r="A141" s="1472"/>
    </row>
    <row r="142" spans="1:1">
      <c r="A142" s="1472"/>
    </row>
    <row r="143" spans="1:1">
      <c r="A143" s="1472"/>
    </row>
    <row r="144" spans="1:1">
      <c r="A144" s="1472"/>
    </row>
    <row r="145" spans="1:1">
      <c r="A145" s="1472"/>
    </row>
    <row r="146" spans="1:1">
      <c r="A146" s="1472"/>
    </row>
    <row r="147" spans="1:1">
      <c r="A147" s="1472"/>
    </row>
    <row r="148" spans="1:1">
      <c r="A148" s="1472"/>
    </row>
    <row r="149" spans="1:1">
      <c r="A149" s="1472"/>
    </row>
    <row r="150" spans="1:1">
      <c r="A150" s="1472"/>
    </row>
    <row r="151" spans="1:1">
      <c r="A151" s="1472"/>
    </row>
    <row r="152" spans="1:1">
      <c r="A152" s="1472"/>
    </row>
    <row r="153" spans="1:1">
      <c r="A153" s="1472"/>
    </row>
    <row r="154" spans="1:1">
      <c r="A154" s="1472"/>
    </row>
    <row r="155" spans="1:1">
      <c r="A155" s="1472"/>
    </row>
    <row r="156" spans="1:1">
      <c r="A156" s="1472"/>
    </row>
    <row r="157" spans="1:1">
      <c r="A157" s="1472"/>
    </row>
    <row r="158" spans="1:1">
      <c r="A158" s="1472"/>
    </row>
    <row r="159" spans="1:1">
      <c r="A159" s="1472"/>
    </row>
    <row r="160" spans="1:1">
      <c r="A160" s="1472"/>
    </row>
    <row r="161" spans="1:1">
      <c r="A161" s="1472"/>
    </row>
    <row r="162" spans="1:1">
      <c r="A162" s="1472"/>
    </row>
    <row r="163" spans="1:1">
      <c r="A163" s="1472"/>
    </row>
    <row r="164" spans="1:1">
      <c r="A164" s="1472"/>
    </row>
    <row r="165" spans="1:1">
      <c r="A165" s="1472"/>
    </row>
    <row r="166" spans="1:1">
      <c r="A166" s="1472"/>
    </row>
    <row r="167" spans="1:1">
      <c r="A167" s="1472"/>
    </row>
    <row r="168" spans="1:1">
      <c r="A168" s="1472"/>
    </row>
    <row r="169" spans="1:1">
      <c r="A169" s="1472"/>
    </row>
    <row r="170" spans="1:1">
      <c r="A170" s="1472"/>
    </row>
    <row r="171" spans="1:1">
      <c r="A171" s="1472"/>
    </row>
    <row r="172" spans="1:1">
      <c r="A172" s="1472"/>
    </row>
    <row r="173" spans="1:1">
      <c r="A173" s="1472"/>
    </row>
    <row r="174" spans="1:1">
      <c r="A174" s="1472"/>
    </row>
    <row r="175" spans="1:1">
      <c r="A175" s="1472"/>
    </row>
    <row r="176" spans="1:1">
      <c r="A176" s="1472"/>
    </row>
    <row r="177" spans="1:1">
      <c r="A177" s="1472"/>
    </row>
    <row r="178" spans="1:1">
      <c r="A178" s="1472"/>
    </row>
    <row r="179" spans="1:1">
      <c r="A179" s="1472"/>
    </row>
    <row r="180" spans="1:1">
      <c r="A180" s="1472"/>
    </row>
    <row r="181" spans="1:1">
      <c r="A181" s="1472"/>
    </row>
    <row r="182" spans="1:1">
      <c r="A182" s="1472"/>
    </row>
    <row r="183" spans="1:1">
      <c r="A183" s="1472"/>
    </row>
    <row r="184" spans="1:1">
      <c r="A184" s="1472"/>
    </row>
    <row r="185" spans="1:1">
      <c r="A185" s="1472"/>
    </row>
    <row r="186" spans="1:1">
      <c r="A186" s="1472"/>
    </row>
    <row r="187" spans="1:1">
      <c r="A187" s="1472"/>
    </row>
    <row r="188" spans="1:1">
      <c r="A188" s="1472"/>
    </row>
    <row r="189" spans="1:1">
      <c r="A189" s="1472"/>
    </row>
    <row r="190" spans="1:1">
      <c r="A190" s="1472"/>
    </row>
    <row r="191" spans="1:1">
      <c r="A191" s="1472"/>
    </row>
    <row r="192" spans="1:1">
      <c r="A192" s="1472"/>
    </row>
    <row r="193" spans="1:1">
      <c r="A193" s="1472"/>
    </row>
    <row r="194" spans="1:1">
      <c r="A194" s="1472"/>
    </row>
    <row r="195" spans="1:1">
      <c r="A195" s="1472"/>
    </row>
    <row r="196" spans="1:1">
      <c r="A196" s="1472"/>
    </row>
    <row r="197" spans="1:1">
      <c r="A197" s="1472"/>
    </row>
    <row r="198" spans="1:1">
      <c r="A198" s="1472"/>
    </row>
    <row r="199" spans="1:1">
      <c r="A199" s="1472"/>
    </row>
    <row r="200" spans="1:1">
      <c r="A200" s="1472"/>
    </row>
    <row r="201" spans="1:1">
      <c r="A201" s="1472"/>
    </row>
    <row r="202" spans="1:1">
      <c r="A202" s="1472"/>
    </row>
    <row r="203" spans="1:1">
      <c r="A203" s="1472"/>
    </row>
    <row r="204" spans="1:1">
      <c r="A204" s="1472"/>
    </row>
    <row r="205" spans="1:1">
      <c r="A205" s="1472"/>
    </row>
    <row r="206" spans="1:1">
      <c r="A206" s="1472"/>
    </row>
    <row r="207" spans="1:1">
      <c r="A207" s="1472"/>
    </row>
    <row r="208" spans="1:1">
      <c r="A208" s="1472"/>
    </row>
    <row r="209" spans="1:1">
      <c r="A209" s="1472"/>
    </row>
    <row r="210" spans="1:1">
      <c r="A210" s="1472"/>
    </row>
    <row r="211" spans="1:1">
      <c r="A211" s="1472"/>
    </row>
    <row r="212" spans="1:1">
      <c r="A212" s="1472"/>
    </row>
    <row r="213" spans="1:1">
      <c r="A213" s="1472"/>
    </row>
    <row r="214" spans="1:1">
      <c r="A214" s="1472"/>
    </row>
    <row r="215" spans="1:1">
      <c r="A215" s="1472"/>
    </row>
    <row r="216" spans="1:1">
      <c r="A216" s="1472"/>
    </row>
    <row r="217" spans="1:1">
      <c r="A217" s="1472"/>
    </row>
    <row r="218" spans="1:1">
      <c r="A218" s="1472"/>
    </row>
    <row r="219" spans="1:1">
      <c r="A219" s="1472"/>
    </row>
    <row r="220" spans="1:1">
      <c r="A220" s="1472"/>
    </row>
    <row r="221" spans="1:1">
      <c r="A221" s="1472"/>
    </row>
    <row r="222" spans="1:1">
      <c r="A222" s="1472"/>
    </row>
    <row r="223" spans="1:1">
      <c r="A223" s="1472"/>
    </row>
    <row r="224" spans="1:1">
      <c r="A224" s="1472"/>
    </row>
    <row r="225" spans="1:1">
      <c r="A225" s="1472"/>
    </row>
    <row r="226" spans="1:1">
      <c r="A226" s="1472"/>
    </row>
    <row r="227" spans="1:1">
      <c r="A227" s="1472"/>
    </row>
    <row r="228" spans="1:1">
      <c r="A228" s="1472"/>
    </row>
    <row r="229" spans="1:1">
      <c r="A229" s="1472"/>
    </row>
    <row r="230" spans="1:1">
      <c r="A230" s="1472"/>
    </row>
    <row r="231" spans="1:1">
      <c r="A231" s="1472"/>
    </row>
    <row r="232" spans="1:1">
      <c r="A232" s="1472"/>
    </row>
    <row r="233" spans="1:1">
      <c r="A233" s="1472"/>
    </row>
    <row r="234" spans="1:1">
      <c r="A234" s="1472"/>
    </row>
    <row r="235" spans="1:1">
      <c r="A235" s="1472"/>
    </row>
    <row r="236" spans="1:1">
      <c r="A236" s="1472"/>
    </row>
    <row r="237" spans="1:1">
      <c r="A237" s="1472"/>
    </row>
    <row r="238" spans="1:1">
      <c r="A238" s="1472"/>
    </row>
    <row r="239" spans="1:1">
      <c r="A239" s="1472"/>
    </row>
    <row r="240" spans="1:1">
      <c r="A240" s="1472"/>
    </row>
    <row r="241" spans="1:1">
      <c r="A241" s="1472"/>
    </row>
    <row r="242" spans="1:1">
      <c r="A242" s="1472"/>
    </row>
    <row r="243" spans="1:1">
      <c r="A243" s="1472"/>
    </row>
    <row r="244" spans="1:1">
      <c r="A244" s="1472"/>
    </row>
    <row r="245" spans="1:1">
      <c r="A245" s="1472"/>
    </row>
    <row r="246" spans="1:1">
      <c r="A246" s="1472"/>
    </row>
    <row r="247" spans="1:1">
      <c r="A247" s="1472"/>
    </row>
    <row r="248" spans="1:1">
      <c r="A248" s="1472"/>
    </row>
    <row r="249" spans="1:1">
      <c r="A249" s="1472"/>
    </row>
    <row r="250" spans="1:1">
      <c r="A250" s="1472"/>
    </row>
    <row r="251" spans="1:1">
      <c r="A251" s="1472"/>
    </row>
    <row r="252" spans="1:1">
      <c r="A252" s="1472"/>
    </row>
    <row r="253" spans="1:1">
      <c r="A253" s="1472"/>
    </row>
    <row r="254" spans="1:1">
      <c r="A254" s="1472"/>
    </row>
    <row r="255" spans="1:1">
      <c r="A255" s="1472"/>
    </row>
    <row r="256" spans="1:1">
      <c r="A256" s="1472"/>
    </row>
    <row r="257" spans="1:1">
      <c r="A257" s="1472"/>
    </row>
    <row r="258" spans="1:1">
      <c r="A258" s="1472"/>
    </row>
    <row r="259" spans="1:1">
      <c r="A259" s="1472"/>
    </row>
    <row r="260" spans="1:1">
      <c r="A260" s="1472"/>
    </row>
    <row r="261" spans="1:1">
      <c r="A261" s="1472"/>
    </row>
    <row r="262" spans="1:1">
      <c r="A262" s="1472"/>
    </row>
    <row r="263" spans="1:1">
      <c r="A263" s="1472"/>
    </row>
    <row r="264" spans="1:1">
      <c r="A264" s="1472"/>
    </row>
    <row r="265" spans="1:1">
      <c r="A265" s="1472"/>
    </row>
    <row r="266" spans="1:1">
      <c r="A266" s="1472"/>
    </row>
    <row r="267" spans="1:1">
      <c r="A267" s="1472"/>
    </row>
    <row r="268" spans="1:1">
      <c r="A268" s="1472"/>
    </row>
    <row r="269" spans="1:1">
      <c r="A269" s="1472"/>
    </row>
    <row r="270" spans="1:1">
      <c r="A270" s="1472"/>
    </row>
    <row r="271" spans="1:1">
      <c r="A271" s="1472"/>
    </row>
    <row r="272" spans="1:1">
      <c r="A272" s="1472"/>
    </row>
    <row r="273" spans="1:1">
      <c r="A273" s="1472"/>
    </row>
    <row r="274" spans="1:1">
      <c r="A274" s="1472"/>
    </row>
    <row r="275" spans="1:1">
      <c r="A275" s="1472"/>
    </row>
    <row r="276" spans="1:1">
      <c r="A276" s="1472"/>
    </row>
    <row r="277" spans="1:1">
      <c r="A277" s="1472"/>
    </row>
    <row r="278" spans="1:1">
      <c r="A278" s="1472"/>
    </row>
    <row r="279" spans="1:1">
      <c r="A279" s="1472"/>
    </row>
    <row r="280" spans="1:1">
      <c r="A280" s="1472"/>
    </row>
    <row r="281" spans="1:1">
      <c r="A281" s="1472"/>
    </row>
    <row r="282" spans="1:1">
      <c r="A282" s="1472"/>
    </row>
    <row r="283" spans="1:1">
      <c r="A283" s="1472"/>
    </row>
    <row r="284" spans="1:1">
      <c r="A284" s="1472"/>
    </row>
    <row r="285" spans="1:1">
      <c r="A285" s="1472"/>
    </row>
    <row r="286" spans="1:1">
      <c r="A286" s="1472"/>
    </row>
    <row r="287" spans="1:1">
      <c r="A287" s="1472"/>
    </row>
    <row r="288" spans="1:1">
      <c r="A288" s="1472"/>
    </row>
    <row r="289" spans="1:1">
      <c r="A289" s="1472"/>
    </row>
    <row r="290" spans="1:1">
      <c r="A290" s="1472"/>
    </row>
    <row r="291" spans="1:1">
      <c r="A291" s="1472"/>
    </row>
    <row r="292" spans="1:1">
      <c r="A292" s="1472"/>
    </row>
    <row r="293" spans="1:1">
      <c r="A293" s="1472"/>
    </row>
    <row r="294" spans="1:1">
      <c r="A294" s="1472"/>
    </row>
    <row r="295" spans="1:1">
      <c r="A295" s="1472"/>
    </row>
    <row r="296" spans="1:1">
      <c r="A296" s="1472"/>
    </row>
    <row r="297" spans="1:1">
      <c r="A297" s="1472"/>
    </row>
    <row r="298" spans="1:1">
      <c r="A298" s="1472"/>
    </row>
    <row r="299" spans="1:1">
      <c r="A299" s="1472"/>
    </row>
    <row r="300" spans="1:1">
      <c r="A300" s="1472"/>
    </row>
    <row r="301" spans="1:1">
      <c r="A301" s="1472"/>
    </row>
    <row r="302" spans="1:1">
      <c r="A302" s="1472"/>
    </row>
    <row r="303" spans="1:1">
      <c r="A303" s="1472"/>
    </row>
    <row r="304" spans="1:1">
      <c r="A304" s="1472"/>
    </row>
    <row r="305" spans="1:1">
      <c r="A305" s="1472"/>
    </row>
    <row r="306" spans="1:1">
      <c r="A306" s="1472"/>
    </row>
    <row r="307" spans="1:1">
      <c r="A307" s="1472"/>
    </row>
    <row r="308" spans="1:1">
      <c r="A308" s="1472"/>
    </row>
    <row r="309" spans="1:1">
      <c r="A309" s="1472"/>
    </row>
    <row r="310" spans="1:1">
      <c r="A310" s="1472"/>
    </row>
    <row r="311" spans="1:1">
      <c r="A311" s="1472"/>
    </row>
    <row r="312" spans="1:1">
      <c r="A312" s="1472"/>
    </row>
    <row r="313" spans="1:1">
      <c r="A313" s="1472"/>
    </row>
    <row r="314" spans="1:1">
      <c r="A314" s="1472"/>
    </row>
    <row r="315" spans="1:1">
      <c r="A315" s="1472"/>
    </row>
    <row r="316" spans="1:1">
      <c r="A316" s="1472"/>
    </row>
    <row r="317" spans="1:1">
      <c r="A317" s="1472"/>
    </row>
    <row r="318" spans="1:1">
      <c r="A318" s="1472"/>
    </row>
    <row r="319" spans="1:1">
      <c r="A319" s="1472"/>
    </row>
    <row r="320" spans="1:1">
      <c r="A320" s="1472"/>
    </row>
    <row r="321" spans="1:1">
      <c r="A321" s="1472"/>
    </row>
    <row r="322" spans="1:1">
      <c r="A322" s="1472"/>
    </row>
    <row r="323" spans="1:1">
      <c r="A323" s="1472"/>
    </row>
    <row r="324" spans="1:1">
      <c r="A324" s="1472"/>
    </row>
    <row r="325" spans="1:1">
      <c r="A325" s="1472"/>
    </row>
    <row r="326" spans="1:1">
      <c r="A326" s="1472"/>
    </row>
    <row r="327" spans="1:1">
      <c r="A327" s="1472"/>
    </row>
    <row r="328" spans="1:1">
      <c r="A328" s="1472"/>
    </row>
    <row r="329" spans="1:1">
      <c r="A329" s="1472"/>
    </row>
    <row r="330" spans="1:1">
      <c r="A330" s="1472"/>
    </row>
    <row r="331" spans="1:1">
      <c r="A331" s="1472"/>
    </row>
    <row r="332" spans="1:1">
      <c r="A332" s="1472"/>
    </row>
    <row r="333" spans="1:1">
      <c r="A333" s="1472"/>
    </row>
    <row r="334" spans="1:1">
      <c r="A334" s="1472"/>
    </row>
    <row r="335" spans="1:1">
      <c r="A335" s="1472"/>
    </row>
    <row r="336" spans="1:1">
      <c r="A336" s="1472"/>
    </row>
    <row r="337" spans="1:1">
      <c r="A337" s="1472"/>
    </row>
    <row r="338" spans="1:1">
      <c r="A338" s="1472"/>
    </row>
    <row r="339" spans="1:1">
      <c r="A339" s="1472"/>
    </row>
    <row r="340" spans="1:1">
      <c r="A340" s="1472"/>
    </row>
    <row r="341" spans="1:1">
      <c r="A341" s="1472"/>
    </row>
    <row r="342" spans="1:1">
      <c r="A342" s="1472"/>
    </row>
    <row r="343" spans="1:1">
      <c r="A343" s="1472"/>
    </row>
    <row r="344" spans="1:1">
      <c r="A344" s="1472"/>
    </row>
  </sheetData>
  <hyperlinks>
    <hyperlink ref="A4" location="'T01'!A1" display="Tab 1: Ciele v oblasti salda  a dlhu verejnej správy"/>
    <hyperlink ref="A5" location="'T02'!A1" display="Tab 2: Štrukturálne saldo podľa MF SR (ESA2010, % HDP) "/>
    <hyperlink ref="A6" location="'T03'!A1" display="Tab 3: Potreba opatrení na splnenie cieľa (ESA2010, % HDP)"/>
    <hyperlink ref="A7" location="'T04'!A1" display="Tab 4: Prognóza VpMP a medzinárodných inštitúcií"/>
    <hyperlink ref="A8" location="'T05'!A1" display="Tab 5: Porovnanie vychýlenosti prognóz hlavných indikátorov VpMP"/>
    <hyperlink ref="A9" location="'T06'!A1" display="Tab 6: Riziká v rokoch 2017 až 2020 (ESA2010, mil. eur)"/>
    <hyperlink ref="A10" location="'T07'!A1" display="Tab 7: Zdroje krytia rizík v rokoch 2017 až 2020"/>
    <hyperlink ref="A11" location="'T08'!A1" display="Tab 8: Riziká spojené s dosiahnutím rozpočtových cieľov"/>
    <hyperlink ref="A12" location="'T09'!A1" display="Tab 9: Predpoklady vývoja hrubého dlhu verejnej správy (mil. eur)"/>
    <hyperlink ref="A13" location="'T10'!A1" display="Tab 10: Veľkosť opatrení v návrhu rozpočtu"/>
    <hyperlink ref="A14" location="'T11'!A1" display="Tab 11: Zmena štrukturálneho salda VS v rokoch 2016 až 2020 podľa RRZ"/>
    <hyperlink ref="A15" location="'T12'!A1" display="Tab 12: Výdavkové pravidlo"/>
    <hyperlink ref="A16" location="'T13'!A1" display="Tab 13: Vypracovanie makroekonomických a daňových prognóz výbormi v roku 2017"/>
    <hyperlink ref="A17" location="'T14'!A1" display="Tab 14: Prognózy Výboru pre makroekonomické prognózy"/>
    <hyperlink ref="A18" location="'T15'!A1" display="Tab 15: Veľkosť a transmisné kanály opatrení (% HDP), RRZ scenár po zohľadnení rizík voči RRZ NPC"/>
    <hyperlink ref="A19" location="'T16'!A1" display="Tab 16: Vyčíslenie fiškálnych scenárov a rozdiel voči VpMP"/>
    <hyperlink ref="A20" location="'T17'!A1" display="Tab 17: Riziká prognózy rastu základní rozhodujúcich pre rozpočtové príjmy"/>
    <hyperlink ref="A21" location="'T18'!A1" display="Tab 18: Prehľad rizík a rezerv rozpočtu na rok 2017"/>
    <hyperlink ref="A22" location="'T19'!A1" display="Tab 19: Dividendy v rokoch 2017 až 2020"/>
    <hyperlink ref="A23:N23" location="'T20'!A1" display="Tab 20: Odhad príjmov z emisných kvót v rokoch 2017 až 2020"/>
    <hyperlink ref="A24" location="'T21'!A1" display="Tab 21: Odhad rizika z príjmov z emisných kvót v porovnaní s návrhom rozpočtu"/>
    <hyperlink ref="A25" location="'T22'!A1" display="Tab 22: Vývoj výdavkov na zdravotnú starostlivosť a hospodárenie nemocníc"/>
    <hyperlink ref="A26" location="'T23'!A1" display="Tab 23: Vývoj nerozdelených ziskov súkromných zdravotných poisťovní"/>
    <hyperlink ref="A27" location="'T24'!A1" display="Tab 24: Odhad rizika voči návrhu rozpočtu"/>
    <hyperlink ref="A28" location="'T25'!A1" display="Tab 25: Odhad rizík v samosprávach (ESA2010, mil. eur)"/>
    <hyperlink ref="A29" location="'T26'!A1" display="Tab 26: Riziká v mzdových výdavkoch štátneho rozpočtu"/>
    <hyperlink ref="A30" location="'T27'!A1" display="Tab 27: Riziká vo výdavkoch štátneho rozpočtu na tovary a služby"/>
    <hyperlink ref="A31" location="'T28'!A1" display="Tab 28: Odhad rizika pri kapitálových výdavkoch štátneho rozpočtu"/>
    <hyperlink ref="A32" location="'T29'!A1" display="Tab 29: Prehľad zmien v porovnaní s odhadom MF SR na rok 2017"/>
    <hyperlink ref="A33" location="'T30'!A1" display="Tab 30: Zoznam jednorazových vplyvov v NPC scenári"/>
    <hyperlink ref="A34" location="'T31'!A1" display="Tab 31: Predpoklady čerpania fondov EÚ v NPC scenári RRZ"/>
    <hyperlink ref="A35" location="'T32'!A1" display="Tab 32: Porovnanie NPC scenára vývoja verejných financií"/>
    <hyperlink ref="A36" location="'T33'!A1" display="Tab 33: Príspevky k medziročnej zmene salda v NPC scenári"/>
    <hyperlink ref="A37" location="'T34'!A1" display="Tab 34: Zmeny v hotovosti bez vplyvu na čisté bohatstvo"/>
    <hyperlink ref="A38" location="'T35'!A1" display="Tab 35: Prehľad vývoja dlhu do roku 2020"/>
    <hyperlink ref="A39" location="'T36'!A1" display="Tab 36: Porovnanie skutočného vývoja položiek voči rozpočtu"/>
    <hyperlink ref="A40" location="'T37'!A1" display="Tab 37: Jednorazové vplyvy v rokoch 2016-2020"/>
    <hyperlink ref="A41" location="'T38,T39'!A1" display="Tab 38: Bilancia príjmov a výdavkov verejnej správy"/>
    <hyperlink ref="A42" location="'T38,T39'!A1" display="Tab 39: Bilancia príjmov a výdavkov verejnej správy (ESA2010, % HDP)"/>
    <hyperlink ref="A43" location="'T40'!A1" display="Tab 40: Hospodárenie subjektov verejnej správy"/>
    <hyperlink ref="A44" location="'T41'!A1" display="Tab 41: Príjmy podľa odhadu RRZ"/>
    <hyperlink ref="A45" location="'T42'!A1" display="Tab 42: Výdavky podľa odhadu RRZ "/>
    <hyperlink ref="A47" location="'G01'!A1" display="Graf 1: Porovnanie rozpočtových cieľov – saldo rozpočtu"/>
    <hyperlink ref="A48" location="'G02'!A1" display="Graf 2: Zmeny v prognóze hrubého dlhu"/>
    <hyperlink ref="A49" location="'G03, G04'!A1" display="Graf 3: Vplyv revízie HDP na saldo VS"/>
    <hyperlink ref="A50" location="'G03, G04'!A1" display="Graf 4 : Vplyv revízie HDP na dlh VS"/>
    <hyperlink ref="A51" location="'G05, G06'!A1" display="Graf 5: Porovnanie NRVS 2018-2020 voči NPC scenáru"/>
    <hyperlink ref="A52" location="'G05, G06'!A1" display="Graf 6: Opatrenia na splnenie ropočtovaného salda v NRVS 2018-2020"/>
    <hyperlink ref="A53" location="'G07'!A1" display="Graf 7: Opatrenia na dosiahnutie rozpočtových cieľov - porovnanie voči scenáru nezmenených politík podľa návrhu rozpočtu verejnej správy na roky 2018-2020"/>
    <hyperlink ref="A54" location="'G08'!A1" display="Graf 8: Prognózy rastu HDP eurozóny"/>
    <hyperlink ref="A55" location="'G09'!A1" display="Graf 9: Odhady produkčnej medzery"/>
    <hyperlink ref="A56" location="'G10, G11'!A1" display="Graf 10 a Graf 11: Príspevky k rastu HDP (%) - investície, čistý export, konečná spotreba domácností a verejnej správy"/>
    <hyperlink ref="A57" location="'G12'!A1" display="Graf 12: Odhady produkčnej medzery (% HDP)"/>
    <hyperlink ref="A58" location="'G13'!A1" display="Graf 13: Indikátory trhu práce"/>
    <hyperlink ref="A59" location="'G14'!A1" display="Graf 14: Príspevky k potenciálnemu rastu HDP"/>
    <hyperlink ref="A60" location="'G15'!A1" display="Graf 15: Fiškálny scenáre a vplyv na rast HDP"/>
    <hyperlink ref="A61" location="'G16'!A1" display="Graf 16: Absolútne odchýlky jesenných prognóz HDP na aktuálny rok"/>
    <hyperlink ref="A62" location="'G17'!A1" display="Graf 17: Riziká prognózy rastu HDP VpMP na základe historických odchýlok"/>
    <hyperlink ref="A63" location="'G18'!A1" display="Graf 18: Porovnanie prognóz rastu HDP na obdobie t+1"/>
    <hyperlink ref="A64" location="'G19'!A1" display="Graf 19: Porovnanie prognóz rastu konečnej spotreby verejnej správy na obdobie t+1"/>
    <hyperlink ref="A65" location="'G20'!A1" display="Graf 20: Historické odchýlky prognóz VpDP"/>
    <hyperlink ref="A66" location="'G21'!A1" display="Graf 21: 2 percentná odchýlka prognózy 2018 až 2020 a jej pokrytie rezervou"/>
    <hyperlink ref="A67" location="'G22'!A1" display="Graf 22: Príspevky k medziročnej zmene salda v NPC scenári"/>
    <hyperlink ref="A68" location="'G23'!A1" display="Graf 23: Vplyvy opatrení zapracovaných v návrhu rozpočtu v roku 2018 (% HDP)"/>
    <hyperlink ref="A69" location="'G24'!A1" display="Graf 24: Porovnanie prognózy dlhu MF SR s NPC scenárom RRZ"/>
    <hyperlink ref="A70" location="'G25'!A1" display="Graf 25: Príspevky k zmene dlhu v prognóze MF SR"/>
    <hyperlink ref="A71" location="'G26'!A1" display="Graf 26: Revízia rozpočtových cieľov trojročného rozpočtu"/>
    <hyperlink ref="A72" location="'G27'!A1" display="Graf 27: Zmena rozpočtových cieľov a prognózy daňových príjmov (% HDP)"/>
    <hyperlink ref="A73" location="'G28'!A1" display="Graf 28: Vplyv neočakávaných vplyvov a ostatných položiek na saldo rozpočtu"/>
    <hyperlink ref="A74" location="'G29'!A1" display="Graf 29: Potenciálne saldo rozpočtu po zohľadnení nerozpočtovaných vplyvov"/>
    <hyperlink ref="A75" location="'G30'!A1" display="Graf 30: Rozpočet na rok 2018 – príspevky k zmene deficitu súčasného návrhu rozpočtu na rok 2018 v porovnaní s rozpočtom na rok 2018"/>
    <hyperlink ref="A76" location="'G31'!A1" display="Graf 31: Zmena kapitálových výdavkov štátneho rozpočtu v roku 2018"/>
    <hyperlink ref="A77" location="'G32'!A1" display="Graf 32: Vývoj hrubého dlhu VS"/>
    <hyperlink ref="A78" location="'G33'!A1" display="Graf 33: Medziročná zmena dlhu"/>
    <hyperlink ref="A79" location="'G34, G35'!A1" display="Graf 34: Saldo VS v rokoch 2015 až 2020"/>
    <hyperlink ref="A80" location="'G34, G35'!A1" display="Graf 35: Štrukturálne saldo VS v rokoch 2015 až 2020"/>
    <hyperlink ref="A81" location="'G36'!A1" display="Graf 36: Štrukturálne saldo v rokoch 1999 až 2020 podľa RRZ"/>
    <hyperlink ref="A82" location="'G37,G38'!A1" display="Graf 37: Fiškálny impulz v rokoch 2016-2020"/>
    <hyperlink ref="A83" location="'G37,G38'!A1" display="Graf 38: Predpokladané čerpanie EÚ príjmov v rokoch 2017-2020"/>
    <hyperlink ref="A84" location="'G39'!A1" display="Graf 39: Ukazovateľ dlhodobej udržateľnosti v prípade naplnenia rozpočtu resp. dosiahnutia cieľov fiškálneho rámca"/>
    <hyperlink ref="A85" location="'G40,G41'!A1" display="Graf 40: Použité odhady produkčnej medzery vo výslednom odhade RRZ"/>
    <hyperlink ref="A86" location="'G40,G41'!A1" display="Graf 41: Vývoj odhadov produkčnej medzery  RRZ v čase"/>
    <hyperlink ref="A87" location="'G42'!A1" display="Graf 42: Odhadnutá produkčná medzera a cyklická zložka RRZ v rokoch 1999-2020"/>
    <hyperlink ref="A88" location="'G43'!A1" display="Graf 43: Rozklad cyklickej zložky RRZ v rokoch 1999-2020"/>
    <hyperlink ref="A89" location="'G44-G49'!Q3" display="Graf 44: Použité vstupy do PCA analýzy "/>
    <hyperlink ref="A91" location="'G44-G49'!Q20" display="Graf 46: Vybraný výsledok konjunkturálneho prieskumu v stavebníctve "/>
    <hyperlink ref="A93" location="'G44-G49'!Q37" display="Graf 48: Vybraný výsledok konjunkturálneho prieskumu v priemysle"/>
    <hyperlink ref="A90" location="'G44-G49'!AA3" display="Graf 45: Vybraný výsledok konjunkturálneho prieskumu v obchode"/>
    <hyperlink ref="A92" location="'G44-G49'!AA20" display="Graf 47: Vybraný výsledok konjunkturálneho prieskumu v stavebníctve"/>
    <hyperlink ref="A94" location="'G44-G49'!AA37" display="Graf 49: Vybraný výsledok konjunkturálneho prieskumu v priemysle"/>
    <hyperlink ref="A95" location="'G50'!A1" display="Graf 50: Makroekonomické riziko vplývajúce na saldo verejnej správy"/>
    <hyperlink ref="A96" location="'G51'!A1" display="Graf 51: Makroekonomické riziko vplývajúce na dlh verejnej správy"/>
    <hyperlink ref="A97" location="'G52'!A1" display="Graf 52: Daňové základne"/>
    <hyperlink ref="A98" location="'G53'!A1" display="Graf 53: Daňové príjmy"/>
    <hyperlink ref="A99" location="'G54,G55'!M2" display="Graf 54: Hospodárenie obcí v rokoch 2008-2016 oproti rozpočtu"/>
    <hyperlink ref="A100" location="'G54,G55'!V2" display="Graf 55: Hospodárenie obcí a verejnej správy v rokoch 2008-2016"/>
    <hyperlink ref="A101" location="'G56'!A1" display="Graf 56: Riziká v kapitálových výdavkoch"/>
    <hyperlink ref="A103" location="NPC!A1" display="NPC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"/>
  <sheetViews>
    <sheetView showGridLines="0" workbookViewId="0">
      <selection sqref="A1:G1"/>
    </sheetView>
  </sheetViews>
  <sheetFormatPr defaultRowHeight="15"/>
  <cols>
    <col min="1" max="1" width="46.7109375" style="530" customWidth="1"/>
    <col min="2" max="16384" width="9.140625" style="530"/>
  </cols>
  <sheetData>
    <row r="1" spans="1:9">
      <c r="A1" s="1497" t="s">
        <v>566</v>
      </c>
      <c r="B1" s="1497"/>
      <c r="C1" s="1497"/>
      <c r="D1" s="1497"/>
      <c r="E1" s="1497"/>
      <c r="F1" s="1497"/>
      <c r="G1" s="1497"/>
    </row>
    <row r="2" spans="1:9">
      <c r="A2" s="598"/>
      <c r="B2" s="598">
        <v>2015</v>
      </c>
      <c r="C2" s="598">
        <f>B2+1</f>
        <v>2016</v>
      </c>
      <c r="D2" s="598">
        <f t="shared" ref="D2:G2" si="0">C2+1</f>
        <v>2017</v>
      </c>
      <c r="E2" s="598">
        <f t="shared" si="0"/>
        <v>2018</v>
      </c>
      <c r="F2" s="598">
        <f t="shared" si="0"/>
        <v>2019</v>
      </c>
      <c r="G2" s="598">
        <f t="shared" si="0"/>
        <v>2020</v>
      </c>
    </row>
    <row r="3" spans="1:9">
      <c r="A3" s="612" t="s">
        <v>567</v>
      </c>
      <c r="B3" s="613">
        <v>41295</v>
      </c>
      <c r="C3" s="613">
        <v>42053</v>
      </c>
      <c r="D3" s="613">
        <v>43244</v>
      </c>
      <c r="E3" s="613">
        <v>44699</v>
      </c>
      <c r="F3" s="613">
        <v>45561</v>
      </c>
      <c r="G3" s="613">
        <v>45968</v>
      </c>
      <c r="I3" s="614"/>
    </row>
    <row r="4" spans="1:9">
      <c r="A4" s="615" t="s">
        <v>509</v>
      </c>
      <c r="B4" s="616">
        <f t="shared" ref="B4:G4" si="1">B3/B18*100</f>
        <v>52.340791214808277</v>
      </c>
      <c r="C4" s="616">
        <f t="shared" si="1"/>
        <v>51.944217989574838</v>
      </c>
      <c r="D4" s="616">
        <f t="shared" si="1"/>
        <v>51.116080927096576</v>
      </c>
      <c r="E4" s="616">
        <f t="shared" si="1"/>
        <v>49.94563960342051</v>
      </c>
      <c r="F4" s="616">
        <f t="shared" si="1"/>
        <v>47.827597681735114</v>
      </c>
      <c r="G4" s="616">
        <f t="shared" si="1"/>
        <v>45.509536925017379</v>
      </c>
    </row>
    <row r="5" spans="1:9">
      <c r="A5" s="604" t="s">
        <v>568</v>
      </c>
      <c r="B5" s="617"/>
      <c r="C5" s="617"/>
      <c r="D5" s="617">
        <f>SUM(D6:D10)</f>
        <v>114.55342557782981</v>
      </c>
      <c r="E5" s="617">
        <f t="shared" ref="E5:G5" si="2">SUM(E6:E10)</f>
        <v>640.65214787509478</v>
      </c>
      <c r="F5" s="617">
        <f t="shared" si="2"/>
        <v>760.95416349582365</v>
      </c>
      <c r="G5" s="617">
        <f t="shared" si="2"/>
        <v>638.37214877885378</v>
      </c>
    </row>
    <row r="6" spans="1:9">
      <c r="A6" s="618" t="s">
        <v>569</v>
      </c>
      <c r="B6" s="617"/>
      <c r="C6" s="617"/>
      <c r="D6" s="617">
        <v>0</v>
      </c>
      <c r="E6" s="617">
        <v>0</v>
      </c>
      <c r="F6" s="617">
        <f>309.4-95.3</f>
        <v>214.09999999999997</v>
      </c>
      <c r="G6" s="617">
        <f>273</f>
        <v>273</v>
      </c>
    </row>
    <row r="7" spans="1:9">
      <c r="A7" s="618" t="s">
        <v>570</v>
      </c>
      <c r="B7" s="617"/>
      <c r="C7" s="617"/>
      <c r="D7" s="617">
        <v>86.168885939999427</v>
      </c>
      <c r="E7" s="617">
        <v>6.0811840613039294</v>
      </c>
      <c r="F7" s="617">
        <v>-130.75797710510017</v>
      </c>
      <c r="G7" s="617">
        <v>-121.44346006107878</v>
      </c>
    </row>
    <row r="8" spans="1:9">
      <c r="A8" s="618" t="s">
        <v>571</v>
      </c>
      <c r="B8" s="617"/>
      <c r="C8" s="617"/>
      <c r="D8" s="617">
        <v>28.38453963783039</v>
      </c>
      <c r="E8" s="617">
        <v>452.39734545672309</v>
      </c>
      <c r="F8" s="617">
        <v>488.46431215247566</v>
      </c>
      <c r="G8" s="617">
        <v>476.68213978732672</v>
      </c>
    </row>
    <row r="9" spans="1:9">
      <c r="A9" s="618" t="s">
        <v>572</v>
      </c>
      <c r="B9" s="617"/>
      <c r="C9" s="617"/>
      <c r="D9" s="617">
        <v>0</v>
      </c>
      <c r="E9" s="617">
        <v>180.923</v>
      </c>
      <c r="F9" s="617">
        <v>180.923</v>
      </c>
      <c r="G9" s="617">
        <v>0</v>
      </c>
    </row>
    <row r="10" spans="1:9">
      <c r="A10" s="618" t="s">
        <v>573</v>
      </c>
      <c r="B10" s="617"/>
      <c r="C10" s="617"/>
      <c r="D10" s="617">
        <v>0</v>
      </c>
      <c r="E10" s="617">
        <v>1.2506183570677887</v>
      </c>
      <c r="F10" s="617">
        <v>8.2248284484482248</v>
      </c>
      <c r="G10" s="617">
        <v>10.133469052605841</v>
      </c>
    </row>
    <row r="11" spans="1:9">
      <c r="A11" s="604" t="s">
        <v>574</v>
      </c>
      <c r="B11" s="617">
        <f>B3</f>
        <v>41295</v>
      </c>
      <c r="C11" s="617">
        <f>C3</f>
        <v>42053</v>
      </c>
      <c r="D11" s="617">
        <f>D3+D5</f>
        <v>43358.553425577833</v>
      </c>
      <c r="E11" s="617">
        <f>D11+(E3-D3)+E5</f>
        <v>45454.205573452928</v>
      </c>
      <c r="F11" s="617">
        <f>E11+(F3-E3)+F5</f>
        <v>47077.15973694875</v>
      </c>
      <c r="G11" s="617">
        <f>F11+(G3-F3)+G5</f>
        <v>48122.531885727607</v>
      </c>
    </row>
    <row r="12" spans="1:9">
      <c r="A12" s="619" t="s">
        <v>509</v>
      </c>
      <c r="B12" s="620">
        <f t="shared" ref="B12:G12" si="3">B11/B18*100</f>
        <v>52.340791214808277</v>
      </c>
      <c r="C12" s="620">
        <f t="shared" si="3"/>
        <v>51.944217989574838</v>
      </c>
      <c r="D12" s="620">
        <f t="shared" si="3"/>
        <v>51.251487507716142</v>
      </c>
      <c r="E12" s="620">
        <f t="shared" si="3"/>
        <v>50.78948902730415</v>
      </c>
      <c r="F12" s="620">
        <f t="shared" si="3"/>
        <v>49.419184300115525</v>
      </c>
      <c r="G12" s="620">
        <f t="shared" si="3"/>
        <v>47.64258052947369</v>
      </c>
    </row>
    <row r="13" spans="1:9">
      <c r="A13" s="619" t="s">
        <v>575</v>
      </c>
      <c r="B13" s="621"/>
      <c r="C13" s="621">
        <f>-(C11/C18-C11/C19)*100</f>
        <v>-0.1254319551375338</v>
      </c>
      <c r="D13" s="621">
        <f>-(D11/D18-D11/D19)*100</f>
        <v>-0.12375918881076808</v>
      </c>
      <c r="E13" s="621">
        <f>-(E11/E18-E11/E19)*100</f>
        <v>-0.12264358105091855</v>
      </c>
      <c r="F13" s="621">
        <f>-(F11/F18-F11/F19)*100</f>
        <v>-0.11933464681881945</v>
      </c>
      <c r="G13" s="621">
        <f>-(G11/G18-G11/G19)*100</f>
        <v>-0.1150446046720488</v>
      </c>
    </row>
    <row r="14" spans="1:9">
      <c r="A14" s="615" t="s">
        <v>576</v>
      </c>
      <c r="B14" s="616"/>
      <c r="C14" s="616">
        <f>C12+C13</f>
        <v>51.818786034437302</v>
      </c>
      <c r="D14" s="616">
        <f>D12+D13</f>
        <v>51.127728318905376</v>
      </c>
      <c r="E14" s="616">
        <f t="shared" ref="E14:G14" si="4">E12+E13</f>
        <v>50.666845446253234</v>
      </c>
      <c r="F14" s="616">
        <f t="shared" si="4"/>
        <v>49.299849653296704</v>
      </c>
      <c r="G14" s="616">
        <f t="shared" si="4"/>
        <v>47.52753592480164</v>
      </c>
    </row>
    <row r="15" spans="1:9">
      <c r="A15" s="622" t="s">
        <v>577</v>
      </c>
      <c r="B15" s="623"/>
      <c r="C15" s="623">
        <v>0.54053135391178875</v>
      </c>
      <c r="D15" s="623">
        <v>1.0917337048276172</v>
      </c>
      <c r="E15" s="624">
        <v>1.3256466506755273</v>
      </c>
      <c r="F15" s="623">
        <v>1.5865408358367887</v>
      </c>
      <c r="G15" s="623">
        <v>1.732067791378185</v>
      </c>
    </row>
    <row r="16" spans="1:9" ht="33.75" customHeight="1">
      <c r="A16" s="1498" t="s">
        <v>578</v>
      </c>
      <c r="B16" s="1498"/>
      <c r="C16" s="1498"/>
      <c r="D16" s="1498"/>
      <c r="E16" s="1496" t="s">
        <v>450</v>
      </c>
      <c r="F16" s="1499"/>
      <c r="G16" s="1499"/>
    </row>
    <row r="17" spans="1:7">
      <c r="A17" s="604"/>
      <c r="B17" s="604"/>
      <c r="C17" s="604"/>
      <c r="D17" s="604"/>
      <c r="E17" s="604"/>
      <c r="F17" s="604"/>
      <c r="G17" s="604"/>
    </row>
    <row r="18" spans="1:7">
      <c r="A18" s="604" t="s">
        <v>12</v>
      </c>
      <c r="B18" s="617">
        <v>78896.399999999994</v>
      </c>
      <c r="C18" s="617">
        <v>80958</v>
      </c>
      <c r="D18" s="617">
        <v>84599.6</v>
      </c>
      <c r="E18" s="617">
        <v>89495.3</v>
      </c>
      <c r="F18" s="617">
        <v>95260.9</v>
      </c>
      <c r="G18" s="617">
        <v>101007.4</v>
      </c>
    </row>
    <row r="19" spans="1:7">
      <c r="A19" s="604" t="s">
        <v>579</v>
      </c>
      <c r="B19" s="617"/>
      <c r="C19" s="617">
        <v>81153.966</v>
      </c>
      <c r="D19" s="617">
        <f>C19*(D18/C18)</f>
        <v>84804.380814911448</v>
      </c>
      <c r="E19" s="617">
        <f t="shared" ref="E19:G19" si="5">D19*(E18/D18)</f>
        <v>89711.931289802116</v>
      </c>
      <c r="F19" s="617">
        <f t="shared" si="5"/>
        <v>95491.4874345883</v>
      </c>
      <c r="G19" s="617">
        <f t="shared" si="5"/>
        <v>101251.89734613503</v>
      </c>
    </row>
  </sheetData>
  <mergeCells count="3">
    <mergeCell ref="A1:G1"/>
    <mergeCell ref="A16:D16"/>
    <mergeCell ref="E16:G16"/>
  </mergeCells>
  <pageMargins left="0.7" right="0.7" top="0.75" bottom="0.75" header="0.3" footer="0.3"/>
  <pageSetup paperSize="9" scale="9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/>
  </sheetViews>
  <sheetFormatPr defaultRowHeight="15"/>
  <cols>
    <col min="1" max="1" width="37.42578125" style="530" customWidth="1"/>
    <col min="2" max="16384" width="9.140625" style="530"/>
  </cols>
  <sheetData>
    <row r="1" spans="1:7">
      <c r="A1" s="625" t="s">
        <v>580</v>
      </c>
      <c r="B1" s="626"/>
      <c r="C1" s="627"/>
      <c r="D1" s="627"/>
      <c r="E1" s="627"/>
      <c r="F1" s="626"/>
      <c r="G1" s="628"/>
    </row>
    <row r="2" spans="1:7">
      <c r="A2" s="629"/>
      <c r="B2" s="629">
        <v>2017</v>
      </c>
      <c r="C2" s="629">
        <v>2018</v>
      </c>
      <c r="D2" s="629">
        <v>2019</v>
      </c>
      <c r="E2" s="629">
        <v>2020</v>
      </c>
      <c r="F2" s="626"/>
      <c r="G2" s="628"/>
    </row>
    <row r="3" spans="1:7">
      <c r="A3" s="628" t="s">
        <v>581</v>
      </c>
      <c r="B3" s="626">
        <v>-1.6811341688917056</v>
      </c>
      <c r="C3" s="630">
        <v>-1.3503320682774429</v>
      </c>
      <c r="D3" s="630">
        <v>-0.74958248788769055</v>
      </c>
      <c r="E3" s="630">
        <v>-0.44451044470516876</v>
      </c>
      <c r="F3" s="628"/>
      <c r="G3" s="628"/>
    </row>
    <row r="4" spans="1:7">
      <c r="A4" s="628" t="s">
        <v>582</v>
      </c>
      <c r="B4" s="626">
        <v>-1.6259539031147514</v>
      </c>
      <c r="C4" s="626">
        <v>-0.82999969585006517</v>
      </c>
      <c r="D4" s="626">
        <v>-0.10000013751711627</v>
      </c>
      <c r="E4" s="626">
        <v>0</v>
      </c>
      <c r="F4" s="628"/>
      <c r="G4" s="628"/>
    </row>
    <row r="5" spans="1:7">
      <c r="A5" s="631" t="s">
        <v>583</v>
      </c>
      <c r="B5" s="632">
        <f>B4-B3</f>
        <v>5.5180265776954229E-2</v>
      </c>
      <c r="C5" s="632">
        <f t="shared" ref="C5:E5" si="0">C4-C3</f>
        <v>0.52033237242737773</v>
      </c>
      <c r="D5" s="632">
        <f t="shared" si="0"/>
        <v>0.64958235037057432</v>
      </c>
      <c r="E5" s="632">
        <f t="shared" si="0"/>
        <v>0.44451044470516876</v>
      </c>
      <c r="F5" s="628"/>
      <c r="G5" s="628"/>
    </row>
    <row r="6" spans="1:7">
      <c r="A6" s="633" t="s">
        <v>584</v>
      </c>
      <c r="B6" s="634">
        <v>6.5430197139944871E-2</v>
      </c>
      <c r="C6" s="634">
        <v>0.56187607995763</v>
      </c>
      <c r="D6" s="634">
        <v>0.77619971366420393</v>
      </c>
      <c r="E6" s="634">
        <v>0.77572853795985508</v>
      </c>
      <c r="F6" s="628"/>
      <c r="G6" s="628"/>
    </row>
    <row r="7" spans="1:7" ht="23.25" customHeight="1">
      <c r="A7" s="1500" t="s">
        <v>585</v>
      </c>
      <c r="B7" s="1500"/>
      <c r="C7" s="1500"/>
      <c r="D7" s="1500"/>
      <c r="E7" s="1500"/>
      <c r="F7" s="628"/>
      <c r="G7" s="628"/>
    </row>
    <row r="8" spans="1:7">
      <c r="A8" s="628"/>
      <c r="B8" s="628"/>
      <c r="C8" s="628"/>
      <c r="D8" s="628"/>
      <c r="E8" s="628"/>
      <c r="F8" s="628"/>
      <c r="G8" s="628"/>
    </row>
  </sheetData>
  <mergeCells count="1">
    <mergeCell ref="A7:E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>
    <pageSetUpPr fitToPage="1"/>
  </sheetPr>
  <dimension ref="A1:S49"/>
  <sheetViews>
    <sheetView showGridLines="0" workbookViewId="0">
      <selection sqref="A1:D1"/>
    </sheetView>
  </sheetViews>
  <sheetFormatPr defaultRowHeight="12.75"/>
  <cols>
    <col min="1" max="1" width="70.42578125" bestFit="1" customWidth="1"/>
  </cols>
  <sheetData>
    <row r="1" spans="1:19">
      <c r="A1" s="1501" t="s">
        <v>198</v>
      </c>
      <c r="B1" s="1501"/>
      <c r="C1" s="1501"/>
      <c r="D1" s="1501"/>
    </row>
    <row r="2" spans="1:19">
      <c r="A2" s="20"/>
      <c r="B2" s="21">
        <v>2015</v>
      </c>
      <c r="C2" s="21">
        <v>2016</v>
      </c>
      <c r="D2" s="21">
        <v>2017</v>
      </c>
      <c r="E2" s="21">
        <v>2018</v>
      </c>
      <c r="F2" s="21">
        <v>2019</v>
      </c>
      <c r="G2" s="21">
        <v>2020</v>
      </c>
    </row>
    <row r="3" spans="1:19">
      <c r="A3" s="261" t="s">
        <v>7</v>
      </c>
      <c r="B3" s="268">
        <v>-2.7445933950208534</v>
      </c>
      <c r="C3" s="282">
        <v>-2.1858610244206171</v>
      </c>
      <c r="D3" s="282">
        <v>-1.687772267337899</v>
      </c>
      <c r="E3" s="282">
        <v>-1.3925214591756849</v>
      </c>
      <c r="F3" s="282">
        <v>-0.88055647592162545</v>
      </c>
      <c r="G3" s="282">
        <v>-0.78101214843980349</v>
      </c>
      <c r="I3" s="119"/>
    </row>
    <row r="4" spans="1:19">
      <c r="A4" s="262" t="s">
        <v>0</v>
      </c>
      <c r="B4" s="269">
        <v>-0.17124447276023774</v>
      </c>
      <c r="C4" s="204">
        <v>-0.1331313567826525</v>
      </c>
      <c r="D4" s="204">
        <v>3.1708327427997078E-3</v>
      </c>
      <c r="E4" s="204">
        <v>0.11475085000777577</v>
      </c>
      <c r="F4" s="204">
        <v>0.12509689019221648</v>
      </c>
      <c r="G4" s="204">
        <v>0.15040964175948707</v>
      </c>
    </row>
    <row r="5" spans="1:19">
      <c r="A5" s="262" t="s">
        <v>2</v>
      </c>
      <c r="B5" s="269">
        <v>-2.4414675171595119E-3</v>
      </c>
      <c r="C5" s="204">
        <v>-0.18158389879380518</v>
      </c>
      <c r="D5" s="204">
        <v>-0.11390685245266813</v>
      </c>
      <c r="E5" s="204">
        <v>6.6002370030385046E-2</v>
      </c>
      <c r="F5" s="204">
        <v>-6.0612731040221492E-3</v>
      </c>
      <c r="G5" s="204">
        <v>-5.7164359384860933E-3</v>
      </c>
    </row>
    <row r="6" spans="1:19" ht="15" customHeight="1">
      <c r="A6" s="272" t="s">
        <v>8</v>
      </c>
      <c r="B6" s="273">
        <f t="shared" ref="B6:E6" si="0">B3-B4-B5</f>
        <v>-2.5709074547434563</v>
      </c>
      <c r="C6" s="205">
        <f t="shared" si="0"/>
        <v>-1.8711457688441595</v>
      </c>
      <c r="D6" s="205">
        <f t="shared" si="0"/>
        <v>-1.5770362476280306</v>
      </c>
      <c r="E6" s="205">
        <f t="shared" si="0"/>
        <v>-1.5732746792138459</v>
      </c>
      <c r="F6" s="205">
        <f>F3-F4-F5</f>
        <v>-0.99959209300981988</v>
      </c>
      <c r="G6" s="205">
        <f>G3-G4-G5</f>
        <v>-0.92570535426080436</v>
      </c>
      <c r="H6" s="134"/>
      <c r="J6" s="134"/>
      <c r="K6" s="134"/>
      <c r="L6" s="134"/>
      <c r="M6" s="134"/>
      <c r="N6" s="134"/>
      <c r="O6" s="134"/>
      <c r="P6" s="134"/>
      <c r="Q6" s="134"/>
      <c r="R6" s="134"/>
      <c r="S6" s="134"/>
    </row>
    <row r="7" spans="1:19" ht="13.5" customHeight="1">
      <c r="A7" s="264" t="s">
        <v>5</v>
      </c>
      <c r="B7" s="270"/>
      <c r="C7" s="206">
        <f t="shared" ref="C7:G7" si="1">C6-B6</f>
        <v>0.69976168589929677</v>
      </c>
      <c r="D7" s="206">
        <f t="shared" si="1"/>
        <v>0.29410952121612888</v>
      </c>
      <c r="E7" s="206">
        <f t="shared" si="1"/>
        <v>3.761568414184735E-3</v>
      </c>
      <c r="F7" s="206">
        <f t="shared" si="1"/>
        <v>0.57368258620402601</v>
      </c>
      <c r="G7" s="206">
        <f t="shared" si="1"/>
        <v>7.3886738749015524E-2</v>
      </c>
      <c r="I7" s="4"/>
    </row>
    <row r="8" spans="1:19" ht="13.5" customHeight="1">
      <c r="A8" s="266" t="s">
        <v>9</v>
      </c>
      <c r="B8" s="275"/>
      <c r="C8" s="275">
        <v>-2.1858611321595753</v>
      </c>
      <c r="D8" s="275">
        <v>-1.6877127592835026</v>
      </c>
      <c r="E8" s="275">
        <v>-1.3503320682774429</v>
      </c>
      <c r="F8" s="275">
        <v>-0.74958248788769055</v>
      </c>
      <c r="G8" s="275">
        <v>-0.44451044470516876</v>
      </c>
    </row>
    <row r="9" spans="1:19" ht="13.5" customHeight="1">
      <c r="A9" s="265" t="s">
        <v>108</v>
      </c>
      <c r="B9" s="269"/>
      <c r="C9" s="204">
        <v>-1.8711368039145269</v>
      </c>
      <c r="D9" s="204">
        <v>-1.5774060329862341</v>
      </c>
      <c r="E9" s="204">
        <v>-1.4581182962952262</v>
      </c>
      <c r="F9" s="204">
        <v>-0.86792120965583563</v>
      </c>
      <c r="G9" s="204">
        <v>-0.58822282735368203</v>
      </c>
    </row>
    <row r="10" spans="1:19">
      <c r="A10" s="272" t="s">
        <v>109</v>
      </c>
      <c r="B10" s="274"/>
      <c r="C10" s="274"/>
      <c r="D10" s="274">
        <v>0.29373077092829281</v>
      </c>
      <c r="E10" s="274">
        <v>0.1192877366910079</v>
      </c>
      <c r="F10" s="274">
        <v>0.59019708663939052</v>
      </c>
      <c r="G10" s="274">
        <v>0.2796983823021536</v>
      </c>
      <c r="I10" s="4"/>
    </row>
    <row r="11" spans="1:19">
      <c r="A11" s="263" t="s">
        <v>110</v>
      </c>
      <c r="B11" s="278"/>
      <c r="C11" s="279"/>
      <c r="D11" s="279">
        <f t="shared" ref="D11:F11" si="2">D3-D8</f>
        <v>-5.9508054396362198E-5</v>
      </c>
      <c r="E11" s="279">
        <f t="shared" si="2"/>
        <v>-4.218939089824203E-2</v>
      </c>
      <c r="F11" s="279">
        <f t="shared" si="2"/>
        <v>-0.1309739880339349</v>
      </c>
      <c r="G11" s="279">
        <f t="shared" ref="G11" si="3">G3-G8</f>
        <v>-0.33650170373463473</v>
      </c>
      <c r="I11" s="4"/>
    </row>
    <row r="12" spans="1:19">
      <c r="A12" s="267" t="s">
        <v>192</v>
      </c>
      <c r="B12" s="280"/>
      <c r="C12" s="280"/>
      <c r="D12" s="281">
        <f>D7-D10</f>
        <v>3.7875028783607156E-4</v>
      </c>
      <c r="E12" s="281">
        <f>E7-E10</f>
        <v>-0.11552616827682316</v>
      </c>
      <c r="F12" s="281">
        <f>F7-F10</f>
        <v>-1.651450043536451E-2</v>
      </c>
      <c r="G12" s="281">
        <f>G7-G10</f>
        <v>-0.20581164355313808</v>
      </c>
      <c r="I12" s="4"/>
    </row>
    <row r="13" spans="1:19" s="74" customFormat="1">
      <c r="A13" s="265" t="s">
        <v>193</v>
      </c>
      <c r="B13" s="274"/>
      <c r="C13" s="274"/>
      <c r="D13" s="276">
        <f>SUM(D14:D16)</f>
        <v>0.2106612442546148</v>
      </c>
      <c r="E13" s="276">
        <f t="shared" ref="E13:G13" si="4">SUM(E14:E16)</f>
        <v>3.5240668543219333E-2</v>
      </c>
      <c r="F13" s="276">
        <f t="shared" si="4"/>
        <v>4.3333056987162527E-2</v>
      </c>
      <c r="G13" s="276">
        <f t="shared" si="4"/>
        <v>5.1199081313982681E-2</v>
      </c>
      <c r="I13" s="4"/>
    </row>
    <row r="14" spans="1:19">
      <c r="A14" s="28" t="s">
        <v>177</v>
      </c>
      <c r="B14" s="269">
        <v>-6.2106751937440849E-2</v>
      </c>
      <c r="C14" s="204">
        <v>-1.8585947336978048E-2</v>
      </c>
      <c r="D14" s="277">
        <v>-3.7074959493990978E-2</v>
      </c>
      <c r="E14" s="204">
        <v>-4.5454172552489291E-3</v>
      </c>
      <c r="F14" s="204">
        <v>-5.9682657789538685E-2</v>
      </c>
      <c r="G14" s="204">
        <v>-4.1537766781086671E-2</v>
      </c>
    </row>
    <row r="15" spans="1:19">
      <c r="A15" s="28" t="s">
        <v>133</v>
      </c>
      <c r="B15" s="269">
        <v>9.4246349327524181E-3</v>
      </c>
      <c r="C15" s="204">
        <v>7.9299628021425872E-4</v>
      </c>
      <c r="D15" s="204">
        <v>1.0635823443793602E-2</v>
      </c>
      <c r="E15" s="204">
        <v>4.4496809986652175E-3</v>
      </c>
      <c r="F15" s="204">
        <v>-1.8610076232070949E-3</v>
      </c>
      <c r="G15" s="204">
        <v>-1.7337393086015979E-2</v>
      </c>
    </row>
    <row r="16" spans="1:19">
      <c r="A16" s="167" t="s">
        <v>46</v>
      </c>
      <c r="B16" s="165">
        <v>0.14776280775051398</v>
      </c>
      <c r="C16" s="165">
        <v>0.10703565232805423</v>
      </c>
      <c r="D16" s="165">
        <v>0.23710038030481217</v>
      </c>
      <c r="E16" s="165">
        <v>3.5336404799803045E-2</v>
      </c>
      <c r="F16" s="165">
        <v>0.10487672239990831</v>
      </c>
      <c r="G16" s="165">
        <v>0.11007424118108533</v>
      </c>
    </row>
    <row r="17" spans="1:7" s="260" customFormat="1">
      <c r="A17" s="237" t="s">
        <v>195</v>
      </c>
      <c r="B17" s="165"/>
      <c r="C17" s="165"/>
      <c r="D17" s="165"/>
      <c r="E17" s="165">
        <v>0</v>
      </c>
      <c r="F17" s="165">
        <v>0</v>
      </c>
      <c r="G17" s="165">
        <v>0</v>
      </c>
    </row>
    <row r="18" spans="1:7">
      <c r="A18" s="259" t="s">
        <v>196</v>
      </c>
      <c r="B18" s="256"/>
      <c r="C18" s="256"/>
      <c r="D18" s="236">
        <f>D7-D13</f>
        <v>8.3448276961514078E-2</v>
      </c>
      <c r="E18" s="236">
        <f>E7-E13</f>
        <v>-3.1479100129034598E-2</v>
      </c>
      <c r="F18" s="236">
        <f>F7-F13</f>
        <v>0.53034952921686351</v>
      </c>
      <c r="G18" s="236">
        <f>G7-G13</f>
        <v>2.2687657435032843E-2</v>
      </c>
    </row>
    <row r="19" spans="1:7" s="3" customFormat="1">
      <c r="A19" s="255" t="s">
        <v>194</v>
      </c>
      <c r="B19" s="258"/>
      <c r="C19" s="258"/>
      <c r="D19" s="257">
        <f>D12-D17</f>
        <v>3.7875028783607156E-4</v>
      </c>
      <c r="E19" s="257">
        <f t="shared" ref="E19:G19" si="5">E12-E17</f>
        <v>-0.11552616827682316</v>
      </c>
      <c r="F19" s="257">
        <f t="shared" si="5"/>
        <v>-1.651450043536451E-2</v>
      </c>
      <c r="G19" s="257">
        <f t="shared" si="5"/>
        <v>-0.20581164355313808</v>
      </c>
    </row>
    <row r="20" spans="1:7" s="3" customFormat="1" ht="24.75" customHeight="1">
      <c r="A20" s="1502" t="s">
        <v>197</v>
      </c>
      <c r="B20" s="1502"/>
      <c r="C20" s="1502"/>
      <c r="D20" s="1502"/>
      <c r="E20" s="1502"/>
      <c r="F20" s="1503" t="s">
        <v>11</v>
      </c>
      <c r="G20" s="1503"/>
    </row>
    <row r="21" spans="1:7" s="3" customFormat="1">
      <c r="A21" s="37"/>
      <c r="B21" s="98"/>
      <c r="C21" s="98"/>
      <c r="D21" s="98"/>
      <c r="E21" s="98"/>
      <c r="F21" s="98"/>
    </row>
    <row r="22" spans="1:7" s="3" customFormat="1">
      <c r="A22" s="37"/>
      <c r="B22" s="98"/>
      <c r="C22" s="98"/>
      <c r="D22" s="98"/>
      <c r="E22" s="98"/>
      <c r="F22" s="98"/>
    </row>
    <row r="23" spans="1:7" s="3" customFormat="1">
      <c r="A23" s="124"/>
    </row>
    <row r="24" spans="1:7" s="3" customFormat="1">
      <c r="A24" s="124"/>
    </row>
    <row r="25" spans="1:7" s="3" customFormat="1">
      <c r="A25" s="238"/>
    </row>
    <row r="26" spans="1:7" s="3" customFormat="1"/>
    <row r="27" spans="1:7" s="3" customFormat="1" ht="14.25">
      <c r="A27" s="239"/>
    </row>
    <row r="28" spans="1:7" s="3" customFormat="1">
      <c r="A28" s="240"/>
    </row>
    <row r="29" spans="1:7" s="3" customFormat="1"/>
    <row r="30" spans="1:7" s="3" customFormat="1"/>
    <row r="31" spans="1:7" s="3" customFormat="1"/>
    <row r="32" spans="1:7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</sheetData>
  <mergeCells count="3">
    <mergeCell ref="A1:D1"/>
    <mergeCell ref="A20:E20"/>
    <mergeCell ref="F20:G20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22"/>
  <sheetViews>
    <sheetView showGridLines="0" workbookViewId="0"/>
  </sheetViews>
  <sheetFormatPr defaultRowHeight="15"/>
  <cols>
    <col min="1" max="1" width="75.7109375" style="324" customWidth="1"/>
    <col min="2" max="2" width="8.42578125" style="324" hidden="1" customWidth="1"/>
    <col min="3" max="3" width="9" style="324" hidden="1" customWidth="1"/>
    <col min="4" max="4" width="8.5703125" style="324" hidden="1" customWidth="1"/>
    <col min="5" max="5" width="8.7109375" style="324" hidden="1" customWidth="1"/>
    <col min="6" max="6" width="9.140625" style="324" hidden="1" customWidth="1"/>
    <col min="7" max="11" width="9.140625" style="324"/>
    <col min="12" max="12" width="9.140625" style="351"/>
    <col min="13" max="13" width="11.42578125" style="324" customWidth="1"/>
    <col min="14" max="15" width="9.140625" style="324"/>
    <col min="16" max="16" width="8.7109375" style="324" customWidth="1"/>
    <col min="17" max="17" width="9.140625" style="324"/>
    <col min="18" max="18" width="9.28515625" style="324" customWidth="1"/>
    <col min="19" max="19" width="9.85546875" style="324" customWidth="1"/>
    <col min="20" max="16384" width="9.140625" style="324"/>
  </cols>
  <sheetData>
    <row r="1" spans="1:24">
      <c r="A1" s="322" t="s">
        <v>238</v>
      </c>
      <c r="B1" s="322"/>
      <c r="C1" s="322"/>
      <c r="D1" s="322"/>
      <c r="E1" s="323"/>
      <c r="K1" s="325"/>
      <c r="L1" s="325"/>
      <c r="M1" s="326"/>
    </row>
    <row r="2" spans="1:24">
      <c r="A2" s="327"/>
      <c r="B2" s="328">
        <v>2011</v>
      </c>
      <c r="C2" s="328">
        <v>2012</v>
      </c>
      <c r="D2" s="328">
        <v>2013</v>
      </c>
      <c r="E2" s="328">
        <v>2014</v>
      </c>
      <c r="F2" s="328">
        <v>2015</v>
      </c>
      <c r="G2" s="328">
        <v>2016</v>
      </c>
      <c r="H2" s="328">
        <v>2017</v>
      </c>
      <c r="I2" s="328">
        <v>2018</v>
      </c>
      <c r="J2" s="328">
        <v>2019</v>
      </c>
      <c r="K2" s="328">
        <v>2020</v>
      </c>
      <c r="L2" s="329"/>
    </row>
    <row r="3" spans="1:24">
      <c r="A3" s="330" t="s">
        <v>220</v>
      </c>
      <c r="B3" s="330"/>
      <c r="C3" s="330"/>
      <c r="D3" s="331">
        <v>30736.550999999996</v>
      </c>
      <c r="E3" s="331">
        <v>31983.491000000002</v>
      </c>
      <c r="F3" s="331">
        <v>35691.877999999997</v>
      </c>
      <c r="G3" s="331">
        <v>33684.084999999999</v>
      </c>
      <c r="H3" s="331">
        <v>34716.186996763034</v>
      </c>
      <c r="I3" s="331">
        <v>36371.714043524378</v>
      </c>
      <c r="J3" s="331">
        <v>37591.673826497012</v>
      </c>
      <c r="K3" s="331">
        <v>39273.963267635132</v>
      </c>
      <c r="L3" s="331"/>
      <c r="N3" s="326"/>
    </row>
    <row r="4" spans="1:24">
      <c r="A4" s="332" t="s">
        <v>221</v>
      </c>
      <c r="B4" s="332"/>
      <c r="C4" s="332"/>
      <c r="D4" s="333">
        <v>1387.038</v>
      </c>
      <c r="E4" s="333">
        <v>1443.6010000000001</v>
      </c>
      <c r="F4" s="333">
        <v>1379.4069999999999</v>
      </c>
      <c r="G4" s="334">
        <v>1335.808</v>
      </c>
      <c r="H4" s="334">
        <v>1194.8228552703556</v>
      </c>
      <c r="I4" s="334">
        <v>1232.2651634919832</v>
      </c>
      <c r="J4" s="334">
        <v>1211.5037011376105</v>
      </c>
      <c r="K4" s="334">
        <v>1173.1339532772897</v>
      </c>
      <c r="L4" s="334"/>
      <c r="N4" s="326"/>
    </row>
    <row r="5" spans="1:24">
      <c r="A5" s="332" t="s">
        <v>222</v>
      </c>
      <c r="B5" s="333">
        <v>1066.4960000000001</v>
      </c>
      <c r="C5" s="333">
        <v>1059.4342243000001</v>
      </c>
      <c r="D5" s="333">
        <v>1232.17736074</v>
      </c>
      <c r="E5" s="333">
        <v>1295.4268882200004</v>
      </c>
      <c r="F5" s="333">
        <v>2793.7973567200002</v>
      </c>
      <c r="G5" s="333">
        <v>797.44193458999973</v>
      </c>
      <c r="H5" s="333">
        <v>676.56226482792943</v>
      </c>
      <c r="I5" s="333">
        <v>912.0645683549335</v>
      </c>
      <c r="J5" s="333">
        <v>1008.8269898633724</v>
      </c>
      <c r="K5" s="333">
        <v>1038.7275651927691</v>
      </c>
      <c r="L5" s="333"/>
      <c r="N5" s="326"/>
      <c r="T5" s="335"/>
      <c r="U5" s="335"/>
      <c r="V5" s="335"/>
      <c r="W5" s="335"/>
      <c r="X5" s="335"/>
    </row>
    <row r="6" spans="1:24" ht="15" customHeight="1">
      <c r="A6" s="336" t="s">
        <v>223</v>
      </c>
      <c r="B6" s="333">
        <v>877.43701107999993</v>
      </c>
      <c r="C6" s="333">
        <v>888.31833684999992</v>
      </c>
      <c r="D6" s="333">
        <v>983.49998002999996</v>
      </c>
      <c r="E6" s="333">
        <v>994.52508780000016</v>
      </c>
      <c r="F6" s="333">
        <v>2352.0020075500001</v>
      </c>
      <c r="G6" s="333">
        <v>509.61545803999996</v>
      </c>
      <c r="H6" s="333">
        <v>466.92368698638239</v>
      </c>
      <c r="I6" s="333">
        <v>696.61497800792745</v>
      </c>
      <c r="J6" s="333">
        <v>787.00964870183327</v>
      </c>
      <c r="K6" s="333">
        <v>809.64111862063464</v>
      </c>
      <c r="L6" s="333"/>
      <c r="N6" s="326"/>
      <c r="S6" s="335"/>
      <c r="T6" s="335"/>
      <c r="U6" s="335"/>
      <c r="V6" s="335"/>
      <c r="W6" s="335"/>
      <c r="X6" s="335"/>
    </row>
    <row r="7" spans="1:24">
      <c r="A7" s="332" t="s">
        <v>224</v>
      </c>
      <c r="B7" s="333">
        <f t="shared" ref="B7:K7" si="0">B19-B6</f>
        <v>1814.32198892</v>
      </c>
      <c r="C7" s="333">
        <f t="shared" si="0"/>
        <v>1547.4926631500002</v>
      </c>
      <c r="D7" s="333">
        <f t="shared" si="0"/>
        <v>1482.58001997</v>
      </c>
      <c r="E7" s="333">
        <f t="shared" si="0"/>
        <v>2028.8849121999997</v>
      </c>
      <c r="F7" s="333">
        <f t="shared" si="0"/>
        <v>2598.6429924500003</v>
      </c>
      <c r="G7" s="333">
        <f t="shared" si="0"/>
        <v>2089.9555419600001</v>
      </c>
      <c r="H7" s="333">
        <f t="shared" si="0"/>
        <v>2273.8755020451422</v>
      </c>
      <c r="I7" s="333">
        <f t="shared" si="0"/>
        <v>2410.6507419520312</v>
      </c>
      <c r="J7" s="333">
        <f t="shared" si="0"/>
        <v>2391.8345818924413</v>
      </c>
      <c r="K7" s="333">
        <f t="shared" si="0"/>
        <v>2580.8240184458709</v>
      </c>
      <c r="L7" s="333"/>
      <c r="N7" s="326"/>
      <c r="S7" s="335"/>
      <c r="T7" s="335"/>
      <c r="U7" s="335"/>
      <c r="V7" s="335"/>
      <c r="W7" s="335"/>
      <c r="X7" s="335"/>
    </row>
    <row r="8" spans="1:24">
      <c r="A8" s="337" t="s">
        <v>225</v>
      </c>
      <c r="B8" s="338"/>
      <c r="C8" s="338"/>
      <c r="D8" s="333"/>
      <c r="E8" s="333"/>
      <c r="F8" s="333">
        <f>AVERAGE(C7:F7)</f>
        <v>1914.4001469425002</v>
      </c>
      <c r="G8" s="333">
        <f t="shared" ref="G8:K8" si="1">AVERAGE(D7:G7)</f>
        <v>2050.0158666450002</v>
      </c>
      <c r="H8" s="333">
        <f t="shared" si="1"/>
        <v>2247.8397371637857</v>
      </c>
      <c r="I8" s="333">
        <f t="shared" si="1"/>
        <v>2343.2811946017937</v>
      </c>
      <c r="J8" s="333">
        <f t="shared" si="1"/>
        <v>2291.5790919624037</v>
      </c>
      <c r="K8" s="333">
        <f t="shared" si="1"/>
        <v>2414.2962110838716</v>
      </c>
      <c r="L8" s="333"/>
      <c r="N8" s="326"/>
      <c r="S8" s="335"/>
      <c r="T8" s="335"/>
      <c r="U8" s="335"/>
      <c r="V8" s="335"/>
      <c r="W8" s="335"/>
      <c r="X8" s="335"/>
    </row>
    <row r="9" spans="1:24">
      <c r="A9" s="337" t="s">
        <v>226</v>
      </c>
      <c r="B9" s="337"/>
      <c r="C9" s="337"/>
      <c r="D9" s="339"/>
      <c r="E9" s="333">
        <v>-38.72278489205344</v>
      </c>
      <c r="F9" s="333">
        <v>0.48840413139172689</v>
      </c>
      <c r="G9" s="333">
        <v>54.997105721182841</v>
      </c>
      <c r="H9" s="333">
        <v>48.993014793714707</v>
      </c>
      <c r="I9" s="333">
        <v>33.739006763330956</v>
      </c>
      <c r="J9" s="333">
        <v>42.227040452243358</v>
      </c>
      <c r="K9" s="333">
        <v>36.363737784465513</v>
      </c>
      <c r="L9" s="339"/>
      <c r="N9" s="326"/>
      <c r="R9" s="340"/>
      <c r="S9" s="341"/>
      <c r="T9" s="341"/>
      <c r="U9" s="342"/>
    </row>
    <row r="10" spans="1:24">
      <c r="A10" s="338" t="s">
        <v>227</v>
      </c>
      <c r="B10" s="338"/>
      <c r="C10" s="338"/>
      <c r="D10" s="333"/>
      <c r="E10" s="333"/>
      <c r="F10" s="333">
        <v>5.7880000000000003</v>
      </c>
      <c r="G10" s="333">
        <v>51.894999999999996</v>
      </c>
      <c r="H10" s="333">
        <v>96.597999999999999</v>
      </c>
      <c r="I10" s="333">
        <v>5.7880000000000003</v>
      </c>
      <c r="J10" s="333">
        <v>5.7880000000000003</v>
      </c>
      <c r="K10" s="333">
        <v>5.7880000000000003</v>
      </c>
      <c r="L10" s="333"/>
      <c r="N10" s="326"/>
      <c r="R10" s="340"/>
      <c r="S10" s="341"/>
      <c r="T10" s="341"/>
      <c r="U10" s="342"/>
    </row>
    <row r="11" spans="1:24">
      <c r="A11" s="343" t="s">
        <v>228</v>
      </c>
      <c r="B11" s="343"/>
      <c r="C11" s="343"/>
      <c r="D11" s="344"/>
      <c r="E11" s="344"/>
      <c r="F11" s="344">
        <f>F3-F4-F5-F7+F8-F9-F10</f>
        <v>30828.154393641104</v>
      </c>
      <c r="G11" s="344">
        <f>G3-G4-G5-G7+G8-G9-G10</f>
        <v>31404.003284373815</v>
      </c>
      <c r="H11" s="344">
        <f t="shared" ref="H11:K11" si="2">H3-H4-H5-H7+H8-H9-H10</f>
        <v>32673.175096989671</v>
      </c>
      <c r="I11" s="344">
        <f t="shared" si="2"/>
        <v>34120.487757563897</v>
      </c>
      <c r="J11" s="344">
        <f t="shared" si="2"/>
        <v>35223.072605113746</v>
      </c>
      <c r="K11" s="344">
        <f t="shared" si="2"/>
        <v>36853.422204018607</v>
      </c>
      <c r="L11" s="344"/>
    </row>
    <row r="12" spans="1:24">
      <c r="A12" s="345" t="s">
        <v>229</v>
      </c>
      <c r="B12" s="345"/>
      <c r="C12" s="345"/>
      <c r="D12" s="345"/>
      <c r="E12" s="333"/>
      <c r="F12" s="333"/>
      <c r="G12" s="333">
        <f>G11-F11</f>
        <v>575.84889073271188</v>
      </c>
      <c r="H12" s="333">
        <f t="shared" ref="H12:K12" si="3">H11-G11</f>
        <v>1269.1718126158557</v>
      </c>
      <c r="I12" s="333">
        <f t="shared" si="3"/>
        <v>1447.3126605742254</v>
      </c>
      <c r="J12" s="333">
        <f t="shared" si="3"/>
        <v>1102.5848475498497</v>
      </c>
      <c r="K12" s="333">
        <f t="shared" si="3"/>
        <v>1630.3495989048606</v>
      </c>
      <c r="L12" s="333"/>
      <c r="M12" s="333"/>
    </row>
    <row r="13" spans="1:24">
      <c r="A13" s="346" t="s">
        <v>230</v>
      </c>
      <c r="B13" s="346"/>
      <c r="C13" s="346"/>
      <c r="D13" s="333">
        <v>1200.4578369629774</v>
      </c>
      <c r="E13" s="333">
        <v>37.209666330417178</v>
      </c>
      <c r="F13" s="334">
        <v>289.45070178000003</v>
      </c>
      <c r="G13" s="334">
        <v>-115.25203703431221</v>
      </c>
      <c r="H13" s="334">
        <v>111.32089751431224</v>
      </c>
      <c r="I13" s="334">
        <v>-30.539000000000001</v>
      </c>
      <c r="J13" s="334">
        <v>46.070699999999995</v>
      </c>
      <c r="K13" s="334">
        <v>47.388399999999997</v>
      </c>
      <c r="L13" s="334"/>
      <c r="N13" s="326"/>
    </row>
    <row r="14" spans="1:24" ht="18.75" customHeight="1">
      <c r="A14" s="347" t="s">
        <v>231</v>
      </c>
      <c r="B14" s="347"/>
      <c r="C14" s="347"/>
      <c r="D14" s="345"/>
      <c r="E14" s="348"/>
      <c r="F14" s="348"/>
      <c r="G14" s="348">
        <f>((G12-G13)/F11)*100</f>
        <v>2.2417849571610327</v>
      </c>
      <c r="H14" s="348">
        <f t="shared" ref="H14:K14" si="4">((H12-H13)/G11)*100</f>
        <v>3.6869532352828203</v>
      </c>
      <c r="I14" s="348">
        <f t="shared" si="4"/>
        <v>4.5231345168850359</v>
      </c>
      <c r="J14" s="348">
        <f t="shared" si="4"/>
        <v>3.0964215841716376</v>
      </c>
      <c r="K14" s="348">
        <f t="shared" si="4"/>
        <v>4.4941031029616756</v>
      </c>
      <c r="L14" s="348"/>
      <c r="T14" s="349"/>
    </row>
    <row r="15" spans="1:24">
      <c r="A15" s="347" t="s">
        <v>232</v>
      </c>
      <c r="B15" s="347"/>
      <c r="C15" s="347"/>
      <c r="D15" s="345"/>
      <c r="E15" s="350"/>
      <c r="F15" s="350">
        <v>-0.15292559273279949</v>
      </c>
      <c r="G15" s="350">
        <v>-0.44831728934912007</v>
      </c>
      <c r="H15" s="350">
        <v>1.126097201845738</v>
      </c>
      <c r="I15" s="350">
        <v>1.5558299526255723</v>
      </c>
      <c r="J15" s="350">
        <v>1.9822112295087067</v>
      </c>
      <c r="K15" s="350">
        <v>2.0736208715733824</v>
      </c>
      <c r="L15" s="350"/>
      <c r="N15" s="326"/>
      <c r="R15" s="351"/>
      <c r="S15" s="351"/>
      <c r="T15" s="352"/>
      <c r="U15" s="351"/>
    </row>
    <row r="16" spans="1:24">
      <c r="A16" s="353" t="s">
        <v>233</v>
      </c>
      <c r="B16" s="353"/>
      <c r="C16" s="353"/>
      <c r="D16" s="354"/>
      <c r="E16" s="355"/>
      <c r="F16" s="355"/>
      <c r="G16" s="355">
        <f>(((1+G14/100)/(1+G15/100))-1)*100</f>
        <v>2.7022167514023865</v>
      </c>
      <c r="H16" s="355">
        <f t="shared" ref="H16:K16" si="5">(((1+H14/100)/(1+H15/100))-1)*100</f>
        <v>2.5323394299749058</v>
      </c>
      <c r="I16" s="355">
        <f t="shared" si="5"/>
        <v>2.9218456150116312</v>
      </c>
      <c r="J16" s="355">
        <f t="shared" si="5"/>
        <v>1.0925536338444619</v>
      </c>
      <c r="K16" s="355">
        <f t="shared" si="5"/>
        <v>2.3713102471731418</v>
      </c>
      <c r="L16" s="355"/>
      <c r="R16" s="329"/>
      <c r="S16" s="351"/>
      <c r="T16" s="351"/>
      <c r="U16" s="329"/>
    </row>
    <row r="17" spans="1:21">
      <c r="A17" s="366" t="s">
        <v>234</v>
      </c>
      <c r="B17" s="366"/>
      <c r="C17" s="366"/>
      <c r="D17" s="355">
        <v>2.0521079283765786</v>
      </c>
      <c r="E17" s="355">
        <v>2.1672914135349108</v>
      </c>
      <c r="F17" s="355">
        <v>3.0091290875882581</v>
      </c>
      <c r="G17" s="355">
        <v>2.9594686141519722</v>
      </c>
      <c r="H17" s="355">
        <v>2.9543676604522728</v>
      </c>
      <c r="I17" s="355">
        <v>3.8457421419775484</v>
      </c>
      <c r="J17" s="355">
        <v>4.1900490824131609</v>
      </c>
      <c r="K17" s="355">
        <v>4.2998688621218806</v>
      </c>
      <c r="L17" s="339"/>
      <c r="N17" s="326"/>
      <c r="R17" s="348"/>
      <c r="S17" s="356"/>
      <c r="T17" s="351"/>
      <c r="U17" s="351"/>
    </row>
    <row r="18" spans="1:21">
      <c r="A18" s="369" t="s">
        <v>236</v>
      </c>
      <c r="B18" s="369"/>
      <c r="C18" s="369"/>
      <c r="D18" s="369"/>
      <c r="E18" s="365"/>
      <c r="F18" s="370"/>
      <c r="G18" s="371">
        <v>9.7722849679572149E-2</v>
      </c>
      <c r="H18" s="371">
        <v>0.15628173846692475</v>
      </c>
      <c r="I18" s="371">
        <v>0.33648404395110054</v>
      </c>
      <c r="J18" s="371">
        <v>1.1067798348522804</v>
      </c>
      <c r="K18" s="371">
        <v>0.67089862133507649</v>
      </c>
      <c r="L18" s="325"/>
      <c r="P18" s="357"/>
    </row>
    <row r="19" spans="1:21">
      <c r="A19" s="367" t="s">
        <v>237</v>
      </c>
      <c r="B19" s="368">
        <v>2691.759</v>
      </c>
      <c r="C19" s="368">
        <v>2435.8110000000001</v>
      </c>
      <c r="D19" s="368">
        <v>2466.08</v>
      </c>
      <c r="E19" s="368">
        <v>3023.41</v>
      </c>
      <c r="F19" s="368">
        <v>4950.6450000000004</v>
      </c>
      <c r="G19" s="368">
        <v>2599.5709999999999</v>
      </c>
      <c r="H19" s="368">
        <v>2740.7991890315247</v>
      </c>
      <c r="I19" s="368">
        <v>3107.2657199599589</v>
      </c>
      <c r="J19" s="368">
        <v>3178.8442305942744</v>
      </c>
      <c r="K19" s="368">
        <v>3390.4651370665056</v>
      </c>
      <c r="L19" s="339"/>
    </row>
    <row r="20" spans="1:21">
      <c r="A20" s="358"/>
      <c r="B20" s="359"/>
      <c r="C20" s="359"/>
      <c r="D20" s="359"/>
      <c r="E20" s="360"/>
      <c r="F20" s="360"/>
      <c r="G20" s="360"/>
      <c r="H20" s="360"/>
      <c r="I20" s="360"/>
      <c r="J20" s="360"/>
      <c r="K20" s="360"/>
      <c r="M20" s="361"/>
    </row>
    <row r="21" spans="1:21">
      <c r="H21" s="362"/>
      <c r="I21" s="362"/>
      <c r="J21" s="362" t="s">
        <v>235</v>
      </c>
      <c r="L21" s="339"/>
    </row>
    <row r="22" spans="1:21">
      <c r="A22" s="363"/>
      <c r="B22" s="363"/>
      <c r="C22" s="363"/>
      <c r="D22" s="363"/>
      <c r="E22" s="351"/>
      <c r="F22" s="351"/>
      <c r="K22" s="362"/>
      <c r="L22" s="364"/>
    </row>
  </sheetData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workbookViewId="0">
      <selection sqref="A1:E1"/>
    </sheetView>
  </sheetViews>
  <sheetFormatPr defaultRowHeight="12.75"/>
  <cols>
    <col min="1" max="1" width="40.7109375" customWidth="1"/>
    <col min="2" max="2" width="20.7109375" customWidth="1"/>
    <col min="3" max="5" width="13.7109375" customWidth="1"/>
  </cols>
  <sheetData>
    <row r="1" spans="1:5">
      <c r="A1" s="1504" t="s">
        <v>1275</v>
      </c>
      <c r="B1" s="1504"/>
      <c r="C1" s="1504"/>
      <c r="D1" s="1504"/>
      <c r="E1" s="1504"/>
    </row>
    <row r="2" spans="1:5">
      <c r="A2" s="1461"/>
      <c r="B2" s="1461"/>
      <c r="C2" s="1462" t="s">
        <v>1276</v>
      </c>
      <c r="D2" s="1462" t="s">
        <v>1277</v>
      </c>
      <c r="E2" s="1462" t="s">
        <v>1278</v>
      </c>
    </row>
    <row r="3" spans="1:5" ht="24">
      <c r="A3" s="1461"/>
      <c r="B3" s="1461"/>
      <c r="C3" s="1471" t="s">
        <v>1279</v>
      </c>
      <c r="D3" s="1471" t="s">
        <v>1280</v>
      </c>
      <c r="E3" s="1462"/>
    </row>
    <row r="4" spans="1:5">
      <c r="A4" s="1505" t="s">
        <v>1281</v>
      </c>
      <c r="B4" s="1463" t="s">
        <v>1282</v>
      </c>
      <c r="C4" s="1464">
        <v>42767</v>
      </c>
      <c r="D4" s="1464">
        <v>42900</v>
      </c>
      <c r="E4" s="1464">
        <v>42991</v>
      </c>
    </row>
    <row r="5" spans="1:5" ht="13.5" thickBot="1">
      <c r="A5" s="1506"/>
      <c r="B5" s="1465" t="s">
        <v>1283</v>
      </c>
      <c r="C5" s="1466">
        <v>42772</v>
      </c>
      <c r="D5" s="1466">
        <v>42905</v>
      </c>
      <c r="E5" s="1467">
        <v>42999</v>
      </c>
    </row>
    <row r="6" spans="1:5">
      <c r="A6" s="1507" t="s">
        <v>1284</v>
      </c>
      <c r="B6" s="1463" t="s">
        <v>1285</v>
      </c>
      <c r="C6" s="1464">
        <v>42775</v>
      </c>
      <c r="D6" s="1464">
        <v>42912</v>
      </c>
      <c r="E6" s="1464">
        <v>42999</v>
      </c>
    </row>
    <row r="7" spans="1:5" ht="13.5" thickBot="1">
      <c r="A7" s="1506"/>
      <c r="B7" s="1465" t="s">
        <v>1283</v>
      </c>
      <c r="C7" s="1466">
        <v>42781</v>
      </c>
      <c r="D7" s="1466">
        <v>42915</v>
      </c>
      <c r="E7" s="1467">
        <v>43007</v>
      </c>
    </row>
    <row r="8" spans="1:5">
      <c r="A8" s="1468"/>
      <c r="B8" s="1463"/>
      <c r="C8" s="1469"/>
      <c r="D8" s="1469"/>
      <c r="E8" s="1470" t="s">
        <v>1239</v>
      </c>
    </row>
  </sheetData>
  <mergeCells count="3">
    <mergeCell ref="A1:E1"/>
    <mergeCell ref="A4:A5"/>
    <mergeCell ref="A6:A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"/>
  <sheetViews>
    <sheetView showGridLines="0" workbookViewId="0">
      <selection sqref="A1:J1"/>
    </sheetView>
  </sheetViews>
  <sheetFormatPr defaultRowHeight="12.75"/>
  <cols>
    <col min="1" max="1" width="31.42578125" style="1330" customWidth="1"/>
    <col min="2" max="3" width="7.7109375" style="1330" customWidth="1"/>
    <col min="4" max="10" width="8.28515625" style="1330" customWidth="1"/>
    <col min="11" max="16384" width="9.140625" style="1330"/>
  </cols>
  <sheetData>
    <row r="1" spans="1:10" ht="14.25" customHeight="1">
      <c r="A1" s="1508" t="s">
        <v>1065</v>
      </c>
      <c r="B1" s="1508"/>
      <c r="C1" s="1508"/>
      <c r="D1" s="1508"/>
      <c r="E1" s="1508"/>
      <c r="F1" s="1508"/>
      <c r="G1" s="1508"/>
      <c r="H1" s="1508"/>
      <c r="I1" s="1508"/>
      <c r="J1" s="1508"/>
    </row>
    <row r="2" spans="1:10" ht="14.25" customHeight="1">
      <c r="A2" s="1331" t="s">
        <v>1049</v>
      </c>
      <c r="B2" s="1344" t="s">
        <v>1037</v>
      </c>
      <c r="C2" s="1345" t="s">
        <v>1066</v>
      </c>
      <c r="D2" s="1487" t="s">
        <v>1067</v>
      </c>
      <c r="E2" s="1488"/>
      <c r="F2" s="1488"/>
      <c r="G2" s="1509"/>
      <c r="H2" s="1488" t="s">
        <v>1068</v>
      </c>
      <c r="I2" s="1510"/>
      <c r="J2" s="1510"/>
    </row>
    <row r="3" spans="1:10" ht="14.25" customHeight="1">
      <c r="A3" s="1332"/>
      <c r="B3" s="1344">
        <v>2016</v>
      </c>
      <c r="C3" s="1345"/>
      <c r="D3" s="1344">
        <v>2017</v>
      </c>
      <c r="E3" s="1346">
        <f>D3+1</f>
        <v>2018</v>
      </c>
      <c r="F3" s="1346">
        <f t="shared" ref="F3:G3" si="0">E3+1</f>
        <v>2019</v>
      </c>
      <c r="G3" s="1345">
        <f t="shared" si="0"/>
        <v>2020</v>
      </c>
      <c r="H3" s="1347">
        <f>D3</f>
        <v>2017</v>
      </c>
      <c r="I3" s="1347">
        <f t="shared" ref="I3:J3" si="1">E3</f>
        <v>2018</v>
      </c>
      <c r="J3" s="1347">
        <f t="shared" si="1"/>
        <v>2019</v>
      </c>
    </row>
    <row r="4" spans="1:10" ht="14.25" customHeight="1">
      <c r="A4" s="1336" t="s">
        <v>1069</v>
      </c>
      <c r="B4" s="1348">
        <v>3.3246965129382318</v>
      </c>
      <c r="C4" s="1349">
        <v>3.9546797024783586E-2</v>
      </c>
      <c r="D4" s="1350">
        <v>3.3344437711642083</v>
      </c>
      <c r="E4" s="1350">
        <v>4.1662564708083938</v>
      </c>
      <c r="F4" s="1350">
        <v>4.3734515982513322</v>
      </c>
      <c r="G4" s="1349">
        <v>3.8783375877819326</v>
      </c>
      <c r="H4" s="1350">
        <v>-0.19739450292888261</v>
      </c>
      <c r="I4" s="1350">
        <v>0.29285201390782944</v>
      </c>
      <c r="J4" s="1350">
        <v>-1.7038927184320762E-2</v>
      </c>
    </row>
    <row r="5" spans="1:10" ht="14.25" customHeight="1">
      <c r="A5" s="1336" t="s">
        <v>1070</v>
      </c>
      <c r="B5" s="1348">
        <v>-0.5</v>
      </c>
      <c r="C5" s="1349" t="s">
        <v>1</v>
      </c>
      <c r="D5" s="1350">
        <v>1.2606449717224466</v>
      </c>
      <c r="E5" s="1350">
        <v>1.7444315435860558</v>
      </c>
      <c r="F5" s="1350">
        <v>1.879938784262758</v>
      </c>
      <c r="G5" s="1349">
        <v>2.0999194545459732</v>
      </c>
      <c r="H5" s="1350">
        <v>0.35351150552667132</v>
      </c>
      <c r="I5" s="1350">
        <v>0.16153100038651669</v>
      </c>
      <c r="J5" s="1350">
        <v>-8.472682841831336E-3</v>
      </c>
    </row>
    <row r="6" spans="1:10" ht="14.25" customHeight="1">
      <c r="A6" s="1336" t="s">
        <v>1071</v>
      </c>
      <c r="B6" s="1348">
        <v>3.3</v>
      </c>
      <c r="C6" s="1349" t="s">
        <v>1</v>
      </c>
      <c r="D6" s="1350">
        <v>3.9473684210526327</v>
      </c>
      <c r="E6" s="1350">
        <v>4.6413502109704741</v>
      </c>
      <c r="F6" s="1350">
        <v>4.8387096774193505</v>
      </c>
      <c r="G6" s="1349">
        <v>5.1923076923076961</v>
      </c>
      <c r="H6" s="1350">
        <v>0.42313934616275972</v>
      </c>
      <c r="I6" s="1350">
        <v>0.38603106203429771</v>
      </c>
      <c r="J6" s="1350">
        <v>4.2791310072409772E-2</v>
      </c>
    </row>
    <row r="7" spans="1:10" ht="14.25" customHeight="1">
      <c r="A7" s="1336" t="s">
        <v>1061</v>
      </c>
      <c r="B7" s="1348">
        <v>3.8</v>
      </c>
      <c r="C7" s="1349" t="s">
        <v>1</v>
      </c>
      <c r="D7" s="1350">
        <v>2.5854860933040902</v>
      </c>
      <c r="E7" s="1350">
        <v>2.8551443958239719</v>
      </c>
      <c r="F7" s="1350">
        <v>2.9044370445538759</v>
      </c>
      <c r="G7" s="1349">
        <v>3.0696705839616145</v>
      </c>
      <c r="H7" s="1350">
        <v>1.238139669470506E-2</v>
      </c>
      <c r="I7" s="1350">
        <v>0.17665120745702367</v>
      </c>
      <c r="J7" s="1350">
        <v>9.5668848183705357E-2</v>
      </c>
    </row>
    <row r="8" spans="1:10" ht="14.25" customHeight="1">
      <c r="A8" s="1336" t="s">
        <v>1072</v>
      </c>
      <c r="B8" s="1348">
        <v>2.3797834852236299</v>
      </c>
      <c r="C8" s="1349" t="s">
        <v>1</v>
      </c>
      <c r="D8" s="1350">
        <v>2.0405289566944651</v>
      </c>
      <c r="E8" s="1350">
        <v>1.4020684466373279</v>
      </c>
      <c r="F8" s="1350">
        <v>1.0012580045495989</v>
      </c>
      <c r="G8" s="1349">
        <v>0.97507750678309524</v>
      </c>
      <c r="H8" s="1350">
        <v>0.57959687110897828</v>
      </c>
      <c r="I8" s="1350">
        <v>0.35390274954247847</v>
      </c>
      <c r="J8" s="1350">
        <v>0.10550492783441001</v>
      </c>
    </row>
    <row r="9" spans="1:10" ht="14.25" customHeight="1">
      <c r="A9" s="1336" t="s">
        <v>1073</v>
      </c>
      <c r="B9" s="1348">
        <v>9.645253346461546</v>
      </c>
      <c r="C9" s="1349" t="s">
        <v>1</v>
      </c>
      <c r="D9" s="1350">
        <v>8.1898027287660753</v>
      </c>
      <c r="E9" s="1350">
        <v>7.302468741966865</v>
      </c>
      <c r="F9" s="1350">
        <v>6.6995482211739326</v>
      </c>
      <c r="G9" s="1349">
        <v>6.0807239469603482</v>
      </c>
      <c r="H9" s="1350">
        <v>-0.32306629848320867</v>
      </c>
      <c r="I9" s="1350">
        <v>-0.10864552947592365</v>
      </c>
      <c r="J9" s="1350">
        <v>0.28318292802340217</v>
      </c>
    </row>
    <row r="10" spans="1:10" ht="14.25" customHeight="1">
      <c r="A10" s="1336" t="s">
        <v>1074</v>
      </c>
      <c r="B10" s="1348">
        <v>2.6838117060620874</v>
      </c>
      <c r="C10" s="1349">
        <v>-0.1902477353949763</v>
      </c>
      <c r="D10" s="1350">
        <v>3.3613962438292955</v>
      </c>
      <c r="E10" s="1350">
        <v>2.9058431942968754</v>
      </c>
      <c r="F10" s="1350">
        <v>2.8540125387920057</v>
      </c>
      <c r="G10" s="1349">
        <v>2.8766104429726269</v>
      </c>
      <c r="H10" s="1350">
        <v>0.86565440726225074</v>
      </c>
      <c r="I10" s="1350">
        <v>0.16779095867094362</v>
      </c>
      <c r="J10" s="1350">
        <v>-8.4428365590660803E-2</v>
      </c>
    </row>
    <row r="11" spans="1:10" ht="14.25" customHeight="1">
      <c r="A11" s="1336" t="s">
        <v>1075</v>
      </c>
      <c r="B11" s="1348">
        <v>-8.2518700000000003</v>
      </c>
      <c r="C11" s="1349">
        <v>1.0011023274629167</v>
      </c>
      <c r="D11" s="1350">
        <v>3.0134773331814024</v>
      </c>
      <c r="E11" s="1350">
        <v>4.2119148555731734</v>
      </c>
      <c r="F11" s="1350">
        <v>3.199436296278102</v>
      </c>
      <c r="G11" s="1349">
        <v>3.1908107049315904</v>
      </c>
      <c r="H11" s="1350">
        <v>-0.98955245408696157</v>
      </c>
      <c r="I11" s="1350">
        <v>3.7041438686852723</v>
      </c>
      <c r="J11" s="1350">
        <v>1.1931990582716878</v>
      </c>
    </row>
    <row r="12" spans="1:10" ht="14.25" customHeight="1">
      <c r="A12" s="1336" t="s">
        <v>1076</v>
      </c>
      <c r="B12" s="1348">
        <v>6.2375855997657652</v>
      </c>
      <c r="C12" s="1349">
        <v>1.4738677686570441</v>
      </c>
      <c r="D12" s="1350">
        <v>4.9938059030395943</v>
      </c>
      <c r="E12" s="1350">
        <v>7.8417452725123127</v>
      </c>
      <c r="F12" s="1350">
        <v>7.691391413757831</v>
      </c>
      <c r="G12" s="1349">
        <v>6.2756308847702114</v>
      </c>
      <c r="H12" s="1350">
        <v>-0.77779835131046582</v>
      </c>
      <c r="I12" s="1350">
        <v>0.50181218694613783</v>
      </c>
      <c r="J12" s="1350">
        <v>-4.9885331107391018E-2</v>
      </c>
    </row>
    <row r="13" spans="1:10">
      <c r="A13" s="1338" t="s">
        <v>1077</v>
      </c>
      <c r="B13" s="1351">
        <v>3.9</v>
      </c>
      <c r="C13" s="1352">
        <v>-6.1519580261600204E-2</v>
      </c>
      <c r="D13" s="1353">
        <v>5.0911648632428887</v>
      </c>
      <c r="E13" s="1353">
        <v>5.3298465812829754</v>
      </c>
      <c r="F13" s="1353">
        <v>5.3448342395595283</v>
      </c>
      <c r="G13" s="1352">
        <v>5.4946612629658942</v>
      </c>
      <c r="H13" s="1353">
        <v>0.83680170977015145</v>
      </c>
      <c r="I13" s="1353">
        <v>0.50330986298208114</v>
      </c>
      <c r="J13" s="1353">
        <v>4.3784815391849641E-2</v>
      </c>
    </row>
    <row r="14" spans="1:10">
      <c r="A14" s="1354" t="s">
        <v>1078</v>
      </c>
      <c r="B14" s="1511"/>
      <c r="C14" s="1511"/>
      <c r="D14" s="1511"/>
      <c r="E14" s="1511"/>
      <c r="F14" s="1511"/>
      <c r="G14" s="1511"/>
      <c r="H14" s="1512" t="s">
        <v>702</v>
      </c>
      <c r="I14" s="1512"/>
      <c r="J14" s="1512"/>
    </row>
    <row r="15" spans="1:10">
      <c r="A15" s="1342"/>
    </row>
  </sheetData>
  <mergeCells count="5">
    <mergeCell ref="A1:J1"/>
    <mergeCell ref="D2:G2"/>
    <mergeCell ref="H2:J2"/>
    <mergeCell ref="B14:G14"/>
    <mergeCell ref="H14:J14"/>
  </mergeCells>
  <conditionalFormatting sqref="C4:C13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{03D6405A-DBEB-459A-B751-182006845BFE}</x14:id>
        </ext>
      </extLst>
    </cfRule>
  </conditionalFormatting>
  <conditionalFormatting sqref="H4:J13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{DBC71593-F0A2-4157-9A54-7336E316486C}</x14:id>
        </ext>
      </extLst>
    </cfRule>
  </conditionalFormatting>
  <pageMargins left="0.25" right="0.25" top="0.75" bottom="0.75" header="0.3" footer="0.3"/>
  <pageSetup paperSize="9" fitToHeight="0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D6405A-DBEB-459A-B751-182006845BF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C4:C13</xm:sqref>
        </x14:conditionalFormatting>
        <x14:conditionalFormatting xmlns:xm="http://schemas.microsoft.com/office/excel/2006/main">
          <x14:cfRule type="dataBar" id="{DBC71593-F0A2-4157-9A54-7336E316486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H4:J13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showGridLines="0" workbookViewId="0"/>
  </sheetViews>
  <sheetFormatPr defaultRowHeight="12"/>
  <cols>
    <col min="1" max="1" width="63.140625" style="1356" customWidth="1"/>
    <col min="2" max="4" width="9" style="1356" customWidth="1"/>
    <col min="5" max="16384" width="9.140625" style="1356"/>
  </cols>
  <sheetData>
    <row r="1" spans="1:4">
      <c r="A1" s="1355" t="s">
        <v>1079</v>
      </c>
    </row>
    <row r="2" spans="1:4" ht="24" customHeight="1">
      <c r="A2" s="1513" t="s">
        <v>1080</v>
      </c>
      <c r="B2" s="1513"/>
      <c r="C2" s="1513"/>
      <c r="D2" s="1513"/>
    </row>
    <row r="3" spans="1:4" ht="12" customHeight="1">
      <c r="A3" s="1357"/>
      <c r="B3" s="1358">
        <v>2018</v>
      </c>
      <c r="C3" s="1358">
        <v>2019</v>
      </c>
      <c r="D3" s="1358">
        <v>2020</v>
      </c>
    </row>
    <row r="4" spans="1:4">
      <c r="A4" s="1359" t="s">
        <v>1081</v>
      </c>
      <c r="B4" s="1360">
        <f>B5+B6+B7+B8</f>
        <v>0.17741108106250933</v>
      </c>
      <c r="C4" s="1360">
        <f>C5+C6+C7+C8</f>
        <v>0.16873869025903954</v>
      </c>
      <c r="D4" s="1360">
        <f>D5+D6+D7+D8</f>
        <v>7.3991298298912753E-2</v>
      </c>
    </row>
    <row r="5" spans="1:4">
      <c r="A5" s="1361" t="s">
        <v>1082</v>
      </c>
      <c r="B5" s="1362">
        <v>-9.422857199580599E-2</v>
      </c>
      <c r="C5" s="1362">
        <v>-0.1421184913991429</v>
      </c>
      <c r="D5" s="1362">
        <v>-0.196090154868856</v>
      </c>
    </row>
    <row r="6" spans="1:4">
      <c r="A6" s="1361" t="s">
        <v>41</v>
      </c>
      <c r="B6" s="1362">
        <v>4.2625593645383521E-2</v>
      </c>
      <c r="C6" s="1362">
        <v>4.8091888739697816E-2</v>
      </c>
      <c r="D6" s="1362">
        <v>-2.243344160499872E-2</v>
      </c>
    </row>
    <row r="7" spans="1:4">
      <c r="A7" s="1361" t="s">
        <v>474</v>
      </c>
      <c r="B7" s="1362">
        <v>0.14399762139124925</v>
      </c>
      <c r="C7" s="1362">
        <v>0.23753825133186754</v>
      </c>
      <c r="D7" s="1362">
        <v>0.36587704674895061</v>
      </c>
    </row>
    <row r="8" spans="1:4">
      <c r="A8" s="1361" t="s">
        <v>1083</v>
      </c>
      <c r="B8" s="1362">
        <v>8.5016438021682544E-2</v>
      </c>
      <c r="C8" s="1362">
        <v>2.5227041586617101E-2</v>
      </c>
      <c r="D8" s="1362">
        <v>-7.3362151976183135E-2</v>
      </c>
    </row>
    <row r="9" spans="1:4">
      <c r="A9" s="1359" t="s">
        <v>93</v>
      </c>
      <c r="B9" s="1360">
        <f>B10+B11</f>
        <v>6.0180748130325173E-2</v>
      </c>
      <c r="C9" s="1360">
        <f>C10+C11</f>
        <v>0.17905709515568358</v>
      </c>
      <c r="D9" s="1360">
        <f>D10+D11</f>
        <v>0.16833747689560996</v>
      </c>
    </row>
    <row r="10" spans="1:4">
      <c r="A10" s="1361" t="s">
        <v>1084</v>
      </c>
      <c r="B10" s="1362">
        <v>7.0410331741492527E-2</v>
      </c>
      <c r="C10" s="1362">
        <v>0.19134335725835169</v>
      </c>
      <c r="D10" s="1362">
        <v>0.18224636512914721</v>
      </c>
    </row>
    <row r="11" spans="1:4">
      <c r="A11" s="1361" t="s">
        <v>1085</v>
      </c>
      <c r="B11" s="1362">
        <v>-1.0229583611167355E-2</v>
      </c>
      <c r="C11" s="1362">
        <v>-1.2286262102668118E-2</v>
      </c>
      <c r="D11" s="1362">
        <v>-1.3908888233537258E-2</v>
      </c>
    </row>
    <row r="12" spans="1:4">
      <c r="A12" s="1363" t="s">
        <v>1086</v>
      </c>
      <c r="B12" s="1364">
        <v>-0.37320789340361421</v>
      </c>
      <c r="C12" s="1364">
        <v>-0.38532534737541374</v>
      </c>
      <c r="D12" s="1364">
        <v>-0.42435878372711267</v>
      </c>
    </row>
    <row r="13" spans="1:4">
      <c r="A13" s="1365" t="s">
        <v>1087</v>
      </c>
      <c r="B13" s="1364">
        <f>B12+B9+B4</f>
        <v>-0.13561606421077968</v>
      </c>
      <c r="C13" s="1364">
        <f t="shared" ref="C13:D13" si="0">C12+C9+C4</f>
        <v>-3.7529561960690627E-2</v>
      </c>
      <c r="D13" s="1364">
        <f t="shared" si="0"/>
        <v>-0.18203000853258994</v>
      </c>
    </row>
    <row r="14" spans="1:4">
      <c r="A14" s="1366"/>
      <c r="B14" s="1366"/>
      <c r="C14" s="1366"/>
      <c r="D14" s="1367" t="s">
        <v>3</v>
      </c>
    </row>
    <row r="15" spans="1:4">
      <c r="A15" s="1366"/>
      <c r="B15" s="1366"/>
      <c r="C15" s="1366"/>
      <c r="D15" s="1366"/>
    </row>
  </sheetData>
  <mergeCells count="1">
    <mergeCell ref="A2:D2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showGridLines="0" workbookViewId="0"/>
  </sheetViews>
  <sheetFormatPr defaultRowHeight="12"/>
  <cols>
    <col min="1" max="1" width="24.7109375" style="1356" customWidth="1"/>
    <col min="2" max="8" width="4.5703125" style="1356" customWidth="1"/>
    <col min="9" max="9" width="6.5703125" style="1356" customWidth="1"/>
    <col min="10" max="10" width="4.42578125" style="1356" customWidth="1"/>
    <col min="11" max="15" width="4" style="1356" customWidth="1"/>
    <col min="16" max="16384" width="9.140625" style="1356"/>
  </cols>
  <sheetData>
    <row r="1" spans="1:15">
      <c r="A1" s="1355" t="s">
        <v>1088</v>
      </c>
      <c r="B1" s="1355"/>
      <c r="C1" s="1355"/>
      <c r="D1" s="1355"/>
      <c r="E1" s="1355"/>
      <c r="F1" s="1355"/>
      <c r="G1" s="1355"/>
      <c r="H1" s="1355"/>
      <c r="I1" s="1355"/>
    </row>
    <row r="2" spans="1:15" ht="15" customHeight="1">
      <c r="A2" s="1368" t="s">
        <v>1089</v>
      </c>
      <c r="B2" s="1368"/>
      <c r="C2" s="1358"/>
      <c r="D2" s="1358" t="s">
        <v>1090</v>
      </c>
      <c r="E2" s="1368"/>
      <c r="F2" s="1358"/>
      <c r="G2" s="1358" t="s">
        <v>1091</v>
      </c>
      <c r="H2" s="1368"/>
      <c r="I2" s="1514" t="s">
        <v>1092</v>
      </c>
      <c r="J2" s="1515"/>
      <c r="K2" s="1515"/>
      <c r="L2" s="1515"/>
      <c r="M2" s="1515"/>
      <c r="N2" s="1515"/>
      <c r="O2" s="1515"/>
    </row>
    <row r="3" spans="1:15" ht="12" customHeight="1">
      <c r="A3" s="1368"/>
      <c r="B3" s="1368">
        <v>2017</v>
      </c>
      <c r="C3" s="1358">
        <v>2018</v>
      </c>
      <c r="D3" s="1358">
        <v>2019</v>
      </c>
      <c r="E3" s="1368">
        <v>2020</v>
      </c>
      <c r="F3" s="1358">
        <v>2018</v>
      </c>
      <c r="G3" s="1358">
        <v>2019</v>
      </c>
      <c r="H3" s="1368">
        <v>2020</v>
      </c>
      <c r="I3" s="1358">
        <v>2017</v>
      </c>
      <c r="J3" s="1515">
        <v>2018</v>
      </c>
      <c r="K3" s="1515"/>
      <c r="L3" s="1515">
        <v>2019</v>
      </c>
      <c r="M3" s="1515"/>
      <c r="N3" s="1515">
        <v>2020</v>
      </c>
      <c r="O3" s="1515"/>
    </row>
    <row r="4" spans="1:15">
      <c r="A4" s="1369" t="s">
        <v>1093</v>
      </c>
      <c r="B4" s="1370">
        <v>1.2843220252300196</v>
      </c>
      <c r="C4" s="1371">
        <v>1.7755599110922582</v>
      </c>
      <c r="D4" s="1371">
        <v>1.9430045024084133</v>
      </c>
      <c r="E4" s="1370">
        <v>2.1252245764777378</v>
      </c>
      <c r="F4" s="1371">
        <v>1.7540031530632385</v>
      </c>
      <c r="G4" s="1371">
        <v>1.9084716467738896</v>
      </c>
      <c r="H4" s="1370">
        <v>2.1176519750958849</v>
      </c>
      <c r="I4" s="1372">
        <v>2.3677053507572987E-2</v>
      </c>
      <c r="J4" s="1373">
        <v>3.1128367506202403E-2</v>
      </c>
      <c r="K4" s="1374">
        <v>9.5716094771827187E-3</v>
      </c>
      <c r="L4" s="1373">
        <v>6.3065718145655314E-2</v>
      </c>
      <c r="M4" s="1374">
        <v>2.8532862511131629E-2</v>
      </c>
      <c r="N4" s="1373">
        <v>2.5305121931764596E-2</v>
      </c>
      <c r="O4" s="1375">
        <v>1.7732520549911701E-2</v>
      </c>
    </row>
    <row r="5" spans="1:15">
      <c r="A5" s="1369" t="s">
        <v>1094</v>
      </c>
      <c r="B5" s="1370">
        <v>1.8743828916142542</v>
      </c>
      <c r="C5" s="1371">
        <v>1.3316422655702791</v>
      </c>
      <c r="D5" s="1371">
        <v>1.0283797024701178</v>
      </c>
      <c r="E5" s="1370">
        <v>1.0182097617376318</v>
      </c>
      <c r="F5" s="1371">
        <v>1.3802886799573013</v>
      </c>
      <c r="G5" s="1371">
        <v>1.0306368044408876</v>
      </c>
      <c r="H5" s="1370">
        <v>1.0970652718172804</v>
      </c>
      <c r="I5" s="1372">
        <v>2.1597230430267622E-2</v>
      </c>
      <c r="J5" s="1373">
        <v>-8.1583988830244536E-2</v>
      </c>
      <c r="K5" s="1374">
        <v>-3.2937574443222317E-2</v>
      </c>
      <c r="L5" s="1373">
        <v>1.9264619985249531E-2</v>
      </c>
      <c r="M5" s="1376">
        <v>2.1521721956019313E-2</v>
      </c>
      <c r="N5" s="1373">
        <v>3.5557063184099569E-2</v>
      </c>
      <c r="O5" s="1375">
        <v>0.11441257326374821</v>
      </c>
    </row>
    <row r="6" spans="1:15">
      <c r="A6" s="1369" t="s">
        <v>1095</v>
      </c>
      <c r="B6" s="1370">
        <v>3.9280588248209458</v>
      </c>
      <c r="C6" s="1371">
        <v>4.7088742496850244</v>
      </c>
      <c r="D6" s="1371">
        <v>4.9386938505464606</v>
      </c>
      <c r="E6" s="1370">
        <v>5.3368988781303361</v>
      </c>
      <c r="F6" s="1371">
        <v>4.7911820934241511</v>
      </c>
      <c r="G6" s="1371">
        <v>4.9377039681048229</v>
      </c>
      <c r="H6" s="1370">
        <v>5.3632307469860141</v>
      </c>
      <c r="I6" s="1372">
        <v>-1.9309596231686932E-2</v>
      </c>
      <c r="J6" s="1373">
        <v>6.7524038714550372E-2</v>
      </c>
      <c r="K6" s="1374">
        <v>0.14983188245367707</v>
      </c>
      <c r="L6" s="1373">
        <v>9.9984173127110054E-2</v>
      </c>
      <c r="M6" s="1376">
        <v>9.8994290685472386E-2</v>
      </c>
      <c r="N6" s="1373">
        <v>0.14459118582264008</v>
      </c>
      <c r="O6" s="1375">
        <v>0.17092305467831803</v>
      </c>
    </row>
    <row r="7" spans="1:15">
      <c r="A7" s="1369" t="s">
        <v>1096</v>
      </c>
      <c r="B7" s="1370">
        <v>3.3420826332061004</v>
      </c>
      <c r="C7" s="1371">
        <v>2.2667167592674176</v>
      </c>
      <c r="D7" s="1371">
        <v>2.8829905247801602</v>
      </c>
      <c r="E7" s="1370">
        <v>2.9500262207647676</v>
      </c>
      <c r="F7" s="1371">
        <v>2.9998811077583953</v>
      </c>
      <c r="G7" s="1371">
        <v>2.9350730063494312</v>
      </c>
      <c r="H7" s="1370">
        <v>3.1157480658824843</v>
      </c>
      <c r="I7" s="1372">
        <v>-1.9313610623195032E-2</v>
      </c>
      <c r="J7" s="1373">
        <v>-0.63912643502945787</v>
      </c>
      <c r="K7" s="1374">
        <v>9.4037913461519906E-2</v>
      </c>
      <c r="L7" s="1373">
        <v>2.8977985988154487E-2</v>
      </c>
      <c r="M7" s="1376">
        <v>8.1060467557425575E-2</v>
      </c>
      <c r="N7" s="1373">
        <v>7.3415777792140702E-2</v>
      </c>
      <c r="O7" s="1375">
        <v>0.23913762290985741</v>
      </c>
    </row>
    <row r="8" spans="1:15">
      <c r="A8" s="1369" t="s">
        <v>1081</v>
      </c>
      <c r="B8" s="1370">
        <v>2.2795971594899322</v>
      </c>
      <c r="C8" s="1371">
        <v>1.2970824960502059</v>
      </c>
      <c r="D8" s="1371">
        <v>2.052725926262533</v>
      </c>
      <c r="E8" s="1370">
        <v>2.3996809277387898</v>
      </c>
      <c r="F8" s="1371">
        <v>0.63657966256045473</v>
      </c>
      <c r="G8" s="1371">
        <v>1.9090576952770721</v>
      </c>
      <c r="H8" s="1370">
        <v>2.7412062272077486</v>
      </c>
      <c r="I8" s="1372">
        <v>1.9139368537452572</v>
      </c>
      <c r="J8" s="1373">
        <v>-4.4280458015477642E-2</v>
      </c>
      <c r="K8" s="1374">
        <v>-0.70478329150522878</v>
      </c>
      <c r="L8" s="1373">
        <v>0.46811097384049649</v>
      </c>
      <c r="M8" s="1376">
        <v>0.3244427428550356</v>
      </c>
      <c r="N8" s="1373">
        <v>0.843785054261037</v>
      </c>
      <c r="O8" s="1375">
        <v>1.1853103537299958</v>
      </c>
    </row>
    <row r="9" spans="1:15">
      <c r="A9" s="1369" t="s">
        <v>1097</v>
      </c>
      <c r="B9" s="1370">
        <v>3.3374159181682472</v>
      </c>
      <c r="C9" s="1371">
        <v>5.7214167192064309</v>
      </c>
      <c r="D9" s="1371">
        <v>3.5737228981047195</v>
      </c>
      <c r="E9" s="1370">
        <v>3.5056474377444147</v>
      </c>
      <c r="F9" s="1371">
        <v>5.4149216944167051</v>
      </c>
      <c r="G9" s="1371">
        <v>2.9301979465349319</v>
      </c>
      <c r="H9" s="1370">
        <v>3.4895608413865631</v>
      </c>
      <c r="I9" s="1372">
        <v>0.3239385849868448</v>
      </c>
      <c r="J9" s="1373">
        <v>1.5095018636332576</v>
      </c>
      <c r="K9" s="1374">
        <v>1.2030068388435318</v>
      </c>
      <c r="L9" s="1373">
        <v>0.37428660182661755</v>
      </c>
      <c r="M9" s="1376">
        <v>-0.26923834974317007</v>
      </c>
      <c r="N9" s="1373">
        <v>0.31483673281282432</v>
      </c>
      <c r="O9" s="1375">
        <v>0.29875013645497273</v>
      </c>
    </row>
    <row r="10" spans="1:15">
      <c r="A10" s="1377" t="s">
        <v>1098</v>
      </c>
      <c r="B10" s="1378">
        <v>4.8619704693949126</v>
      </c>
      <c r="C10" s="1379">
        <v>6.8429705730454078</v>
      </c>
      <c r="D10" s="1379">
        <v>6.3417085727538831</v>
      </c>
      <c r="E10" s="1378">
        <v>5.4583491656238214</v>
      </c>
      <c r="F10" s="1379">
        <v>6.9311798452464206</v>
      </c>
      <c r="G10" s="1379">
        <v>6.2686584290871492</v>
      </c>
      <c r="H10" s="1378">
        <v>5.5036742533003382</v>
      </c>
      <c r="I10" s="1380">
        <v>8.8266764924057384E-2</v>
      </c>
      <c r="J10" s="1381">
        <v>5.2094152714758479E-2</v>
      </c>
      <c r="K10" s="1382">
        <v>0.1403034249157713</v>
      </c>
      <c r="L10" s="1381">
        <v>6.1355698053759511E-2</v>
      </c>
      <c r="M10" s="1382">
        <v>-1.1694445612974391E-2</v>
      </c>
      <c r="N10" s="1381">
        <v>7.3599741244123607E-2</v>
      </c>
      <c r="O10" s="1383">
        <v>0.11892482892064038</v>
      </c>
    </row>
    <row r="11" spans="1:15">
      <c r="A11" s="1384" t="s">
        <v>1099</v>
      </c>
      <c r="B11" s="1370">
        <v>3.5709511150149922</v>
      </c>
      <c r="C11" s="1371">
        <v>4.1660356347359908</v>
      </c>
      <c r="D11" s="1371">
        <v>4.4793724862828697</v>
      </c>
      <c r="E11" s="1370">
        <v>4.0263308147387562</v>
      </c>
      <c r="F11" s="1371">
        <v>4.1832018875693819</v>
      </c>
      <c r="G11" s="1371">
        <v>4.4182239294301269</v>
      </c>
      <c r="H11" s="1370">
        <v>4.1203114650990074</v>
      </c>
      <c r="I11" s="1372">
        <v>0.23650734385078387</v>
      </c>
      <c r="J11" s="1373">
        <v>-2.2083607240297454E-4</v>
      </c>
      <c r="K11" s="1374">
        <v>1.6945416760988152E-2</v>
      </c>
      <c r="L11" s="1373">
        <v>0.10592088803153743</v>
      </c>
      <c r="M11" s="1376">
        <v>4.4772331178794644E-2</v>
      </c>
      <c r="N11" s="1373">
        <v>0.1479932269568236</v>
      </c>
      <c r="O11" s="1375">
        <v>0.24197387731707476</v>
      </c>
    </row>
    <row r="12" spans="1:15">
      <c r="A12" s="1365" t="s">
        <v>1100</v>
      </c>
      <c r="B12" s="1378">
        <v>4.7297713071945253</v>
      </c>
      <c r="C12" s="1379">
        <v>5.7762247668782294</v>
      </c>
      <c r="D12" s="1379">
        <v>6.5998418976680426</v>
      </c>
      <c r="E12" s="1378">
        <v>6.2273307332884258</v>
      </c>
      <c r="F12" s="1379">
        <v>5.8330113391960055</v>
      </c>
      <c r="G12" s="1379">
        <v>6.5366410063747935</v>
      </c>
      <c r="H12" s="1378">
        <v>6.3506907315182133</v>
      </c>
      <c r="I12" s="1380">
        <v>0.23167948377532177</v>
      </c>
      <c r="J12" s="1381">
        <v>-1.0760305239005064E-2</v>
      </c>
      <c r="K12" s="1382">
        <v>4.6026267078770999E-2</v>
      </c>
      <c r="L12" s="1381">
        <v>0.15756768396843679</v>
      </c>
      <c r="M12" s="1382">
        <v>9.4366792675187661E-2</v>
      </c>
      <c r="N12" s="1381">
        <v>0.19496336281798854</v>
      </c>
      <c r="O12" s="1383">
        <v>0.31832336104777603</v>
      </c>
    </row>
    <row r="13" spans="1:15" ht="12.75" customHeight="1">
      <c r="A13" s="1516" t="s">
        <v>3</v>
      </c>
      <c r="B13" s="1516"/>
      <c r="C13" s="1516"/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</row>
    <row r="14" spans="1:15">
      <c r="A14" s="1366"/>
      <c r="B14" s="1366"/>
      <c r="C14" s="1366"/>
      <c r="D14" s="1366"/>
      <c r="E14" s="1366"/>
      <c r="F14" s="1366"/>
      <c r="G14" s="1366"/>
      <c r="H14" s="1366"/>
      <c r="I14" s="1366"/>
      <c r="J14" s="1366"/>
      <c r="K14" s="1366"/>
      <c r="L14" s="1366"/>
    </row>
  </sheetData>
  <mergeCells count="5">
    <mergeCell ref="I2:O2"/>
    <mergeCell ref="J3:K3"/>
    <mergeCell ref="L3:M3"/>
    <mergeCell ref="N3:O3"/>
    <mergeCell ref="A13:O13"/>
  </mergeCells>
  <pageMargins left="0.7" right="0.7" top="0.75" bottom="0.75" header="0.3" footer="0.3"/>
  <pageSetup paperSize="9" orientation="portrait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zoomScaleNormal="100" workbookViewId="0">
      <selection sqref="A1:F1"/>
    </sheetView>
  </sheetViews>
  <sheetFormatPr defaultRowHeight="15"/>
  <cols>
    <col min="1" max="1" width="40" style="1386" customWidth="1"/>
    <col min="2" max="4" width="9.140625" style="1386"/>
    <col min="5" max="5" width="9.140625" style="1386" customWidth="1"/>
    <col min="6" max="17" width="9.140625" style="1386"/>
    <col min="18" max="18" width="11.85546875" style="1386" customWidth="1"/>
    <col min="19" max="30" width="9.140625" style="1386"/>
    <col min="31" max="31" width="41.7109375" style="1386" customWidth="1"/>
    <col min="32" max="32" width="9" style="1386" customWidth="1"/>
    <col min="33" max="37" width="8.140625" style="1386" customWidth="1"/>
    <col min="38" max="16384" width="9.140625" style="1386"/>
  </cols>
  <sheetData>
    <row r="1" spans="1:7">
      <c r="A1" s="1517" t="s">
        <v>1101</v>
      </c>
      <c r="B1" s="1517"/>
      <c r="C1" s="1517"/>
      <c r="D1" s="1517"/>
      <c r="E1" s="1517"/>
      <c r="F1" s="1517"/>
      <c r="G1" s="1385"/>
    </row>
    <row r="2" spans="1:7" ht="22.5" customHeight="1">
      <c r="A2" s="1387" t="s">
        <v>1049</v>
      </c>
      <c r="B2" s="1388" t="s">
        <v>1037</v>
      </c>
      <c r="C2" s="1518" t="s">
        <v>1102</v>
      </c>
      <c r="D2" s="1518"/>
      <c r="E2" s="1518"/>
      <c r="F2" s="1518"/>
      <c r="G2" s="1389"/>
    </row>
    <row r="3" spans="1:7">
      <c r="A3" s="1390"/>
      <c r="B3" s="1391">
        <v>2016</v>
      </c>
      <c r="C3" s="1392">
        <v>2017</v>
      </c>
      <c r="D3" s="1392">
        <v>2018</v>
      </c>
      <c r="E3" s="1392">
        <v>2019</v>
      </c>
      <c r="F3" s="1392">
        <v>2020</v>
      </c>
      <c r="G3" s="1389"/>
    </row>
    <row r="4" spans="1:7">
      <c r="A4" s="1393" t="s">
        <v>1103</v>
      </c>
      <c r="B4" s="1394">
        <v>4.2243320131025452</v>
      </c>
      <c r="C4" s="1395">
        <v>5.0911648632428887</v>
      </c>
      <c r="D4" s="1395">
        <v>5.3298465812829754</v>
      </c>
      <c r="E4" s="1395">
        <v>5.3448342395595283</v>
      </c>
      <c r="F4" s="1395">
        <v>5.4946612629658942</v>
      </c>
      <c r="G4" s="1389"/>
    </row>
    <row r="5" spans="1:7">
      <c r="A5" s="1396" t="s">
        <v>1104</v>
      </c>
      <c r="B5" s="1397">
        <v>4.2243320131025452</v>
      </c>
      <c r="C5" s="1398" t="s">
        <v>1105</v>
      </c>
      <c r="D5" s="1398" t="s">
        <v>1106</v>
      </c>
      <c r="E5" s="1398" t="s">
        <v>1107</v>
      </c>
      <c r="F5" s="1398" t="s">
        <v>1108</v>
      </c>
      <c r="G5" s="1389"/>
    </row>
    <row r="6" spans="1:7">
      <c r="A6" s="1396" t="s">
        <v>1109</v>
      </c>
      <c r="B6" s="1397">
        <v>4.2243320131025452</v>
      </c>
      <c r="C6" s="1398" t="s">
        <v>1110</v>
      </c>
      <c r="D6" s="1398" t="s">
        <v>1111</v>
      </c>
      <c r="E6" s="1398" t="s">
        <v>1112</v>
      </c>
      <c r="F6" s="1398" t="s">
        <v>1113</v>
      </c>
      <c r="G6" s="1389"/>
    </row>
    <row r="7" spans="1:7">
      <c r="A7" s="1399" t="s">
        <v>1114</v>
      </c>
      <c r="B7" s="1400">
        <v>4.2243320131025452</v>
      </c>
      <c r="C7" s="1401" t="s">
        <v>1115</v>
      </c>
      <c r="D7" s="1401" t="s">
        <v>1116</v>
      </c>
      <c r="E7" s="1401" t="s">
        <v>1117</v>
      </c>
      <c r="F7" s="1401" t="s">
        <v>1118</v>
      </c>
      <c r="G7" s="1389"/>
    </row>
    <row r="8" spans="1:7">
      <c r="A8" s="1402"/>
      <c r="B8" s="1519" t="s">
        <v>59</v>
      </c>
      <c r="C8" s="1519"/>
      <c r="D8" s="1519"/>
      <c r="E8" s="1519"/>
      <c r="F8" s="1519"/>
      <c r="G8" s="1389"/>
    </row>
  </sheetData>
  <mergeCells count="3">
    <mergeCell ref="A1:F1"/>
    <mergeCell ref="C2:F2"/>
    <mergeCell ref="B8:F8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workbookViewId="0">
      <selection sqref="A1:D1"/>
    </sheetView>
  </sheetViews>
  <sheetFormatPr defaultRowHeight="15"/>
  <cols>
    <col min="1" max="1" width="42.140625" style="530" customWidth="1"/>
    <col min="2" max="2" width="14.28515625" style="530" customWidth="1"/>
    <col min="3" max="3" width="14" style="530" customWidth="1"/>
    <col min="4" max="4" width="13.42578125" style="530" customWidth="1"/>
    <col min="5" max="7" width="9.140625" style="530"/>
    <col min="8" max="8" width="11.7109375" style="530" customWidth="1"/>
    <col min="9" max="16384" width="9.140625" style="530"/>
  </cols>
  <sheetData>
    <row r="1" spans="1:5">
      <c r="A1" s="1520" t="s">
        <v>586</v>
      </c>
      <c r="B1" s="1520"/>
      <c r="C1" s="1520"/>
      <c r="D1" s="1520"/>
    </row>
    <row r="2" spans="1:5">
      <c r="A2" s="635" t="s">
        <v>587</v>
      </c>
      <c r="B2" s="636" t="s">
        <v>588</v>
      </c>
      <c r="C2" s="636" t="s">
        <v>589</v>
      </c>
      <c r="D2" s="637" t="s">
        <v>590</v>
      </c>
      <c r="E2" s="638"/>
    </row>
    <row r="3" spans="1:5" ht="15.75" customHeight="1">
      <c r="A3" s="639" t="s">
        <v>591</v>
      </c>
      <c r="B3" s="640">
        <f>B4+B10+B11+B16+B19</f>
        <v>-879.31288690373117</v>
      </c>
      <c r="C3" s="641">
        <f>C4+C10+C11+C16+C19+C21</f>
        <v>-962.2644710655876</v>
      </c>
      <c r="D3" s="642">
        <f>D4+D10+D11+D16+D19+D20+D21+D22</f>
        <v>-869.35819162247935</v>
      </c>
      <c r="E3" s="638"/>
    </row>
    <row r="4" spans="1:5" ht="15.75" customHeight="1">
      <c r="A4" s="643" t="s">
        <v>510</v>
      </c>
      <c r="B4" s="644">
        <f>SUM(B5:B9)</f>
        <v>-223.31872197955451</v>
      </c>
      <c r="C4" s="644">
        <f t="shared" ref="C4:D4" si="0">SUM(C5:C9)</f>
        <v>-227.07985520606962</v>
      </c>
      <c r="D4" s="645">
        <f t="shared" si="0"/>
        <v>-235.24651368646118</v>
      </c>
      <c r="E4" s="638"/>
    </row>
    <row r="5" spans="1:5">
      <c r="A5" s="646" t="s">
        <v>511</v>
      </c>
      <c r="B5" s="647">
        <v>-115</v>
      </c>
      <c r="C5" s="647">
        <v>-119</v>
      </c>
      <c r="D5" s="648">
        <v>-65</v>
      </c>
      <c r="E5" s="638"/>
    </row>
    <row r="6" spans="1:5">
      <c r="A6" s="646" t="s">
        <v>512</v>
      </c>
      <c r="B6" s="647">
        <v>0</v>
      </c>
      <c r="C6" s="647">
        <v>0</v>
      </c>
      <c r="D6" s="648">
        <v>-39.533999999999999</v>
      </c>
      <c r="E6" s="638"/>
    </row>
    <row r="7" spans="1:5">
      <c r="A7" s="646" t="s">
        <v>592</v>
      </c>
      <c r="B7" s="647">
        <v>-61.318721979554503</v>
      </c>
      <c r="C7" s="647">
        <v>-61.410402279861025</v>
      </c>
      <c r="D7" s="648">
        <v>-61.306513686461223</v>
      </c>
      <c r="E7" s="638"/>
    </row>
    <row r="8" spans="1:5">
      <c r="A8" s="646" t="s">
        <v>593</v>
      </c>
      <c r="B8" s="647">
        <v>-30</v>
      </c>
      <c r="C8" s="647">
        <v>-29.669452926208599</v>
      </c>
      <c r="D8" s="649">
        <v>-30</v>
      </c>
      <c r="E8" s="638"/>
    </row>
    <row r="9" spans="1:5">
      <c r="A9" s="552" t="s">
        <v>594</v>
      </c>
      <c r="B9" s="650">
        <v>-17</v>
      </c>
      <c r="C9" s="650">
        <v>-17</v>
      </c>
      <c r="D9" s="649">
        <v>-39.405999999999992</v>
      </c>
      <c r="E9" s="638"/>
    </row>
    <row r="10" spans="1:5" ht="15" customHeight="1">
      <c r="A10" s="651" t="s">
        <v>515</v>
      </c>
      <c r="B10" s="558">
        <v>-186</v>
      </c>
      <c r="C10" s="558">
        <v>-186</v>
      </c>
      <c r="D10" s="558">
        <v>-77.7</v>
      </c>
      <c r="E10" s="638"/>
    </row>
    <row r="11" spans="1:5">
      <c r="A11" s="643" t="s">
        <v>516</v>
      </c>
      <c r="B11" s="543">
        <f>SUM(B12:B15)</f>
        <v>-108.71171380493065</v>
      </c>
      <c r="C11" s="543">
        <v>-290.89136326520099</v>
      </c>
      <c r="D11" s="543">
        <f>SUM(D12:D15)</f>
        <v>-20.981879826017632</v>
      </c>
      <c r="E11" s="638"/>
    </row>
    <row r="12" spans="1:5">
      <c r="A12" s="565" t="s">
        <v>595</v>
      </c>
      <c r="B12" s="652">
        <v>-107.2</v>
      </c>
      <c r="C12" s="652">
        <v>-160.64599999999999</v>
      </c>
      <c r="D12" s="550">
        <v>-218.71440233601774</v>
      </c>
      <c r="E12" s="638"/>
    </row>
    <row r="13" spans="1:5">
      <c r="A13" s="565" t="s">
        <v>596</v>
      </c>
      <c r="B13" s="550">
        <v>-1.5117138049306504</v>
      </c>
      <c r="C13" s="550">
        <v>13.546999999999997</v>
      </c>
      <c r="D13" s="550">
        <v>68.630683740000222</v>
      </c>
      <c r="E13" s="638"/>
    </row>
    <row r="14" spans="1:5">
      <c r="A14" s="653" t="s">
        <v>597</v>
      </c>
      <c r="B14" s="550">
        <v>0</v>
      </c>
      <c r="C14" s="550">
        <v>-8.2140000000000004</v>
      </c>
      <c r="D14" s="550">
        <f>0</f>
        <v>0</v>
      </c>
      <c r="E14" s="638"/>
    </row>
    <row r="15" spans="1:5" ht="24" customHeight="1">
      <c r="A15" s="653" t="s">
        <v>598</v>
      </c>
      <c r="B15" s="550">
        <v>0</v>
      </c>
      <c r="C15" s="550">
        <v>-135.57836326520101</v>
      </c>
      <c r="D15" s="550">
        <v>129.10183876999989</v>
      </c>
      <c r="E15" s="638"/>
    </row>
    <row r="16" spans="1:5">
      <c r="A16" s="643" t="s">
        <v>523</v>
      </c>
      <c r="B16" s="644">
        <f>SUM(B17:B18)</f>
        <v>-223.790451119246</v>
      </c>
      <c r="C16" s="644">
        <v>-262.69325259431696</v>
      </c>
      <c r="D16" s="645">
        <f>SUM(D17:D18)</f>
        <v>-247.13879811000066</v>
      </c>
      <c r="E16" s="638"/>
    </row>
    <row r="17" spans="1:9" ht="24">
      <c r="A17" s="654" t="s">
        <v>524</v>
      </c>
      <c r="B17" s="652">
        <v>-196.404451119246</v>
      </c>
      <c r="C17" s="652">
        <v>-237.69325259431696</v>
      </c>
      <c r="D17" s="550">
        <v>-222.13879811000066</v>
      </c>
      <c r="E17" s="638"/>
    </row>
    <row r="18" spans="1:9" ht="24">
      <c r="A18" s="655" t="s">
        <v>525</v>
      </c>
      <c r="B18" s="656">
        <v>-27.385999999999999</v>
      </c>
      <c r="C18" s="656">
        <v>-25.000000000000004</v>
      </c>
      <c r="D18" s="554">
        <v>-25.000000000000004</v>
      </c>
      <c r="E18" s="638"/>
    </row>
    <row r="19" spans="1:9">
      <c r="A19" s="556" t="s">
        <v>526</v>
      </c>
      <c r="B19" s="580">
        <v>-137.49199999999999</v>
      </c>
      <c r="C19" s="580">
        <v>15</v>
      </c>
      <c r="D19" s="580">
        <v>-117.72499999999999</v>
      </c>
      <c r="E19" s="638"/>
    </row>
    <row r="20" spans="1:9">
      <c r="A20" s="582" t="s">
        <v>527</v>
      </c>
      <c r="B20" s="580" t="s">
        <v>1</v>
      </c>
      <c r="C20" s="580" t="s">
        <v>1</v>
      </c>
      <c r="D20" s="580">
        <v>-76.756</v>
      </c>
      <c r="E20" s="638"/>
    </row>
    <row r="21" spans="1:9">
      <c r="A21" s="560" t="s">
        <v>532</v>
      </c>
      <c r="B21" s="580" t="s">
        <v>1</v>
      </c>
      <c r="C21" s="580">
        <v>-10.6</v>
      </c>
      <c r="D21" s="580">
        <v>-3</v>
      </c>
      <c r="E21" s="638"/>
    </row>
    <row r="22" spans="1:9">
      <c r="A22" s="560" t="s">
        <v>533</v>
      </c>
      <c r="B22" s="580" t="s">
        <v>1</v>
      </c>
      <c r="C22" s="580" t="s">
        <v>1</v>
      </c>
      <c r="D22" s="580">
        <v>-90.81</v>
      </c>
      <c r="E22" s="638"/>
    </row>
    <row r="23" spans="1:9" ht="24">
      <c r="A23" s="541" t="s">
        <v>599</v>
      </c>
      <c r="B23" s="657" t="s">
        <v>535</v>
      </c>
      <c r="C23" s="657" t="s">
        <v>535</v>
      </c>
      <c r="D23" s="658" t="s">
        <v>1</v>
      </c>
      <c r="E23" s="638"/>
    </row>
    <row r="24" spans="1:9" ht="24">
      <c r="A24" s="541" t="s">
        <v>536</v>
      </c>
      <c r="B24" s="657" t="s">
        <v>535</v>
      </c>
      <c r="C24" s="657" t="s">
        <v>535</v>
      </c>
      <c r="D24" s="658" t="s">
        <v>535</v>
      </c>
      <c r="E24" s="638"/>
    </row>
    <row r="25" spans="1:9" ht="24">
      <c r="A25" s="541" t="s">
        <v>537</v>
      </c>
      <c r="B25" s="657" t="s">
        <v>535</v>
      </c>
      <c r="C25" s="657" t="s">
        <v>535</v>
      </c>
      <c r="D25" s="658" t="s">
        <v>535</v>
      </c>
      <c r="E25" s="638"/>
    </row>
    <row r="26" spans="1:9">
      <c r="A26" s="659" t="s">
        <v>600</v>
      </c>
      <c r="B26" s="660" t="s">
        <v>1</v>
      </c>
      <c r="C26" s="660" t="s">
        <v>535</v>
      </c>
      <c r="D26" s="661" t="s">
        <v>1</v>
      </c>
      <c r="E26" s="638"/>
    </row>
    <row r="27" spans="1:9">
      <c r="A27" s="662" t="s">
        <v>601</v>
      </c>
      <c r="B27" s="662"/>
      <c r="C27" s="662"/>
      <c r="D27" s="662"/>
      <c r="E27" s="638"/>
    </row>
    <row r="28" spans="1:9">
      <c r="A28" s="663" t="s">
        <v>602</v>
      </c>
      <c r="B28" s="664">
        <f>SUM(B29:B33)</f>
        <v>622</v>
      </c>
      <c r="C28" s="641">
        <f>SUM(C29:C33)</f>
        <v>767</v>
      </c>
      <c r="D28" s="665">
        <f>SUM(D29:D33)</f>
        <v>881.29216449463195</v>
      </c>
      <c r="E28" s="638"/>
      <c r="G28" s="666"/>
      <c r="H28" s="666"/>
    </row>
    <row r="29" spans="1:9">
      <c r="A29" s="667" t="s">
        <v>543</v>
      </c>
      <c r="B29" s="668">
        <v>106</v>
      </c>
      <c r="C29" s="669">
        <v>167</v>
      </c>
      <c r="D29" s="670">
        <v>262.87738449463217</v>
      </c>
      <c r="E29" s="638"/>
      <c r="G29" s="666"/>
      <c r="H29" s="666"/>
    </row>
    <row r="30" spans="1:9">
      <c r="A30" s="671" t="s">
        <v>603</v>
      </c>
      <c r="B30" s="668">
        <v>493</v>
      </c>
      <c r="C30" s="669">
        <v>493</v>
      </c>
      <c r="D30" s="670">
        <v>492.82477999999998</v>
      </c>
      <c r="E30" s="638"/>
      <c r="F30" s="672"/>
      <c r="G30" s="673"/>
      <c r="H30" s="673"/>
      <c r="I30" s="673"/>
    </row>
    <row r="31" spans="1:9" ht="14.25" customHeight="1">
      <c r="A31" s="671" t="s">
        <v>604</v>
      </c>
      <c r="B31" s="668">
        <v>23</v>
      </c>
      <c r="C31" s="669">
        <v>46</v>
      </c>
      <c r="D31" s="670">
        <v>34.93</v>
      </c>
      <c r="E31" s="638"/>
    </row>
    <row r="32" spans="1:9" ht="16.5" customHeight="1">
      <c r="A32" s="671" t="s">
        <v>605</v>
      </c>
      <c r="B32" s="674" t="s">
        <v>1</v>
      </c>
      <c r="C32" s="675">
        <v>41</v>
      </c>
      <c r="D32" s="670">
        <v>75.177999999999997</v>
      </c>
      <c r="E32" s="638"/>
    </row>
    <row r="33" spans="1:5">
      <c r="A33" s="676" t="s">
        <v>606</v>
      </c>
      <c r="B33" s="677" t="s">
        <v>1</v>
      </c>
      <c r="C33" s="678">
        <v>20</v>
      </c>
      <c r="D33" s="679">
        <v>15.481999999999882</v>
      </c>
      <c r="E33" s="638"/>
    </row>
    <row r="34" spans="1:5">
      <c r="A34" s="1521" t="s">
        <v>607</v>
      </c>
      <c r="B34" s="1521"/>
      <c r="C34" s="1521"/>
      <c r="D34" s="1521"/>
    </row>
    <row r="35" spans="1:5">
      <c r="A35" s="1522"/>
      <c r="B35" s="1523"/>
      <c r="C35" s="1523"/>
      <c r="D35" s="680"/>
    </row>
    <row r="36" spans="1:5" ht="18">
      <c r="A36" s="680"/>
      <c r="B36" s="680"/>
      <c r="C36" s="680"/>
      <c r="D36" s="681"/>
    </row>
    <row r="37" spans="1:5">
      <c r="A37" s="680"/>
      <c r="B37" s="680"/>
      <c r="C37" s="680"/>
      <c r="D37" s="680"/>
    </row>
    <row r="38" spans="1:5">
      <c r="B38" s="682"/>
      <c r="C38" s="682"/>
    </row>
  </sheetData>
  <mergeCells count="3">
    <mergeCell ref="A1:D1"/>
    <mergeCell ref="A34:D34"/>
    <mergeCell ref="A35:C35"/>
  </mergeCells>
  <pageMargins left="0.7" right="0.7" top="0.75" bottom="0.75" header="0.3" footer="0.3"/>
  <pageSetup paperSize="9"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W24"/>
  <sheetViews>
    <sheetView showGridLines="0" workbookViewId="0">
      <selection sqref="A1:E1"/>
    </sheetView>
  </sheetViews>
  <sheetFormatPr defaultRowHeight="12.75"/>
  <cols>
    <col min="1" max="1" width="50.28515625" customWidth="1"/>
    <col min="2" max="2" width="10.7109375" customWidth="1"/>
    <col min="3" max="3" width="8.28515625" customWidth="1"/>
    <col min="4" max="4" width="7.42578125" customWidth="1"/>
    <col min="6" max="6" width="8.140625" customWidth="1"/>
    <col min="9" max="9" width="26.42578125" customWidth="1"/>
  </cols>
  <sheetData>
    <row r="1" spans="1:17" s="74" customFormat="1" ht="15">
      <c r="A1" s="1479" t="s">
        <v>116</v>
      </c>
      <c r="B1" s="1479"/>
      <c r="C1" s="1479"/>
      <c r="D1" s="1479"/>
      <c r="E1" s="1479"/>
      <c r="J1" s="1477"/>
      <c r="K1" s="1477"/>
      <c r="L1" s="1477"/>
      <c r="M1" s="1477"/>
      <c r="N1" s="1477"/>
      <c r="O1" s="139"/>
      <c r="P1" s="3"/>
      <c r="Q1" s="3"/>
    </row>
    <row r="2" spans="1:17" s="74" customFormat="1">
      <c r="A2" s="15"/>
      <c r="B2" s="21">
        <v>2016</v>
      </c>
      <c r="C2" s="21">
        <v>2017</v>
      </c>
      <c r="D2" s="21">
        <v>2018</v>
      </c>
      <c r="E2" s="21">
        <v>2019</v>
      </c>
      <c r="F2" s="21">
        <v>2020</v>
      </c>
      <c r="H2" s="260"/>
      <c r="I2" s="260"/>
      <c r="J2" s="140"/>
      <c r="K2" s="35"/>
      <c r="L2" s="35"/>
      <c r="M2" s="35"/>
      <c r="N2" s="35"/>
      <c r="O2" s="35"/>
      <c r="P2" s="3"/>
      <c r="Q2" s="3"/>
    </row>
    <row r="3" spans="1:17" s="74" customFormat="1" ht="15">
      <c r="A3" s="16" t="s">
        <v>140</v>
      </c>
      <c r="B3" s="91">
        <v>-1.93</v>
      </c>
      <c r="C3" s="91">
        <v>-1.29</v>
      </c>
      <c r="D3" s="91">
        <v>-0.44</v>
      </c>
      <c r="E3" s="91">
        <v>0.16</v>
      </c>
      <c r="F3" s="5"/>
      <c r="H3" s="260"/>
      <c r="I3" s="16"/>
      <c r="J3" s="37"/>
      <c r="K3" s="59"/>
      <c r="L3" s="59"/>
      <c r="M3" s="59"/>
      <c r="N3" s="59"/>
      <c r="O3" s="139"/>
      <c r="P3" s="3"/>
      <c r="Q3" s="3"/>
    </row>
    <row r="4" spans="1:17" s="74" customFormat="1">
      <c r="A4" s="16" t="s">
        <v>151</v>
      </c>
      <c r="B4" s="91">
        <v>-1.6817818285144437</v>
      </c>
      <c r="C4" s="91">
        <v>-1.2399995686941512</v>
      </c>
      <c r="D4" s="91">
        <v>-0.50000000000000522</v>
      </c>
      <c r="E4" s="91">
        <v>0</v>
      </c>
      <c r="F4" s="91">
        <v>0</v>
      </c>
      <c r="H4" s="67"/>
      <c r="I4" s="16"/>
      <c r="J4" s="37"/>
      <c r="K4" s="59"/>
      <c r="L4" s="59"/>
      <c r="M4" s="59"/>
      <c r="N4" s="59"/>
      <c r="O4" s="59"/>
      <c r="P4" s="3"/>
      <c r="Q4" s="3"/>
    </row>
    <row r="5" spans="1:17" s="74" customFormat="1" ht="12.75" customHeight="1">
      <c r="A5" s="16" t="s">
        <v>152</v>
      </c>
      <c r="B5" s="91">
        <v>-2.19</v>
      </c>
      <c r="C5" s="91">
        <v>-1.63</v>
      </c>
      <c r="D5" s="91">
        <v>-0.82999969762914805</v>
      </c>
      <c r="E5" s="91">
        <v>-0.32484167369140921</v>
      </c>
      <c r="F5" s="91">
        <v>-0.2703050705834002</v>
      </c>
      <c r="H5" s="67"/>
      <c r="I5" s="105"/>
      <c r="J5" s="39"/>
      <c r="K5" s="56"/>
      <c r="L5" s="56"/>
      <c r="M5" s="56"/>
      <c r="N5" s="56"/>
      <c r="O5" s="56"/>
      <c r="P5" s="3"/>
      <c r="Q5" s="3"/>
    </row>
    <row r="6" spans="1:17" s="74" customFormat="1" ht="15">
      <c r="A6" s="16" t="s">
        <v>153</v>
      </c>
      <c r="B6" s="91">
        <v>-2.1911520941153646</v>
      </c>
      <c r="C6" s="91">
        <v>-1.6259539031147603</v>
      </c>
      <c r="D6" s="91">
        <v>-0.82999969762914805</v>
      </c>
      <c r="E6" s="91">
        <v>-0.10000013791542728</v>
      </c>
      <c r="F6" s="91">
        <v>0</v>
      </c>
      <c r="H6" s="67"/>
      <c r="I6" s="16"/>
      <c r="J6" s="529"/>
      <c r="K6" s="141"/>
      <c r="L6" s="141"/>
      <c r="M6" s="141"/>
      <c r="N6" s="141"/>
      <c r="O6" s="142"/>
      <c r="P6" s="3"/>
      <c r="Q6" s="3"/>
    </row>
    <row r="7" spans="1:17" s="74" customFormat="1" ht="12.75" customHeight="1">
      <c r="A7" s="292" t="s">
        <v>154</v>
      </c>
      <c r="B7" s="109">
        <f>B5-B3</f>
        <v>-0.26</v>
      </c>
      <c r="C7" s="109">
        <f t="shared" ref="C7:E7" si="0">C5-C3</f>
        <v>-0.33999999999999986</v>
      </c>
      <c r="D7" s="109">
        <f t="shared" si="0"/>
        <v>-0.38999969762914805</v>
      </c>
      <c r="E7" s="109">
        <f t="shared" si="0"/>
        <v>-0.48484167369140918</v>
      </c>
      <c r="H7" s="260"/>
      <c r="I7" s="260"/>
      <c r="J7" s="529"/>
      <c r="K7" s="141"/>
      <c r="L7" s="141"/>
      <c r="M7" s="141"/>
      <c r="N7" s="141"/>
      <c r="O7" s="141"/>
      <c r="P7" s="3"/>
      <c r="Q7" s="3"/>
    </row>
    <row r="8" spans="1:17" s="74" customFormat="1" ht="12.75" customHeight="1">
      <c r="A8" s="293" t="s">
        <v>199</v>
      </c>
      <c r="B8" s="137">
        <f>B6-B3</f>
        <v>-0.26115209411536466</v>
      </c>
      <c r="C8" s="137">
        <f t="shared" ref="C8:E8" si="1">C6-C3</f>
        <v>-0.33595390311476026</v>
      </c>
      <c r="D8" s="137">
        <f t="shared" si="1"/>
        <v>-0.38999969762914805</v>
      </c>
      <c r="E8" s="137">
        <f t="shared" si="1"/>
        <v>-0.26000013791542731</v>
      </c>
      <c r="F8" s="137"/>
      <c r="H8" s="260"/>
      <c r="I8" s="260"/>
      <c r="J8" s="140"/>
      <c r="K8" s="55"/>
      <c r="L8" s="55"/>
      <c r="M8" s="55"/>
      <c r="N8" s="55"/>
      <c r="O8" s="55"/>
      <c r="P8" s="3"/>
      <c r="Q8" s="3"/>
    </row>
    <row r="9" spans="1:17" s="74" customFormat="1" ht="15">
      <c r="A9" s="16" t="s">
        <v>150</v>
      </c>
      <c r="B9" s="107">
        <v>53.494981921392004</v>
      </c>
      <c r="C9" s="107">
        <v>52.723970708888864</v>
      </c>
      <c r="D9" s="107">
        <v>51.402602458171891</v>
      </c>
      <c r="E9" s="107">
        <v>49.061408450492536</v>
      </c>
      <c r="F9" s="137"/>
      <c r="H9" s="260"/>
      <c r="I9" s="260"/>
      <c r="J9" s="37"/>
      <c r="K9" s="59"/>
      <c r="L9" s="59"/>
      <c r="M9" s="59"/>
      <c r="N9" s="59"/>
      <c r="O9" s="139"/>
      <c r="P9" s="3"/>
      <c r="Q9" s="3"/>
    </row>
    <row r="10" spans="1:17" s="74" customFormat="1">
      <c r="A10" s="16" t="s">
        <v>159</v>
      </c>
      <c r="B10" s="107">
        <v>51.944514238273406</v>
      </c>
      <c r="C10" s="107">
        <v>51.753576813312797</v>
      </c>
      <c r="D10" s="107">
        <v>49.936921613254334</v>
      </c>
      <c r="E10" s="107">
        <v>47.993310076994348</v>
      </c>
      <c r="F10" s="107">
        <v>45.978313115681111</v>
      </c>
      <c r="J10" s="37"/>
      <c r="K10" s="59"/>
      <c r="L10" s="59"/>
      <c r="M10" s="59"/>
      <c r="N10" s="59"/>
      <c r="O10" s="59"/>
      <c r="P10" s="3"/>
      <c r="Q10" s="3"/>
    </row>
    <row r="11" spans="1:17" s="74" customFormat="1">
      <c r="A11" s="16" t="s">
        <v>158</v>
      </c>
      <c r="B11" s="107">
        <v>51.94451557871907</v>
      </c>
      <c r="C11" s="107">
        <v>51.116082340070129</v>
      </c>
      <c r="D11" s="107">
        <v>49.945843575777936</v>
      </c>
      <c r="E11" s="107">
        <v>47.827914878975811</v>
      </c>
      <c r="F11" s="107">
        <v>45.509670510470727</v>
      </c>
      <c r="J11" s="39"/>
      <c r="K11" s="56"/>
      <c r="L11" s="56"/>
      <c r="M11" s="56"/>
      <c r="N11" s="56"/>
      <c r="O11" s="56"/>
      <c r="P11" s="3"/>
      <c r="Q11" s="3"/>
    </row>
    <row r="12" spans="1:17" s="74" customFormat="1">
      <c r="A12" s="116" t="s">
        <v>134</v>
      </c>
      <c r="B12" s="137">
        <f>B11-B9</f>
        <v>-1.5504663426729337</v>
      </c>
      <c r="C12" s="137">
        <f t="shared" ref="C12:E12" si="2">C11-C9</f>
        <v>-1.6078883688187346</v>
      </c>
      <c r="D12" s="137">
        <f t="shared" si="2"/>
        <v>-1.4567588823939559</v>
      </c>
      <c r="E12" s="137">
        <f t="shared" si="2"/>
        <v>-1.2334935715167248</v>
      </c>
      <c r="F12" s="138"/>
      <c r="J12" s="39"/>
      <c r="K12" s="56"/>
      <c r="L12" s="56"/>
      <c r="M12" s="56"/>
      <c r="N12" s="56"/>
      <c r="O12" s="56"/>
      <c r="P12" s="3"/>
      <c r="Q12" s="3"/>
    </row>
    <row r="13" spans="1:17" s="74" customFormat="1" ht="15">
      <c r="A13" s="217" t="s">
        <v>161</v>
      </c>
      <c r="B13" s="218">
        <f>B5-B4</f>
        <v>-0.50821817148555626</v>
      </c>
      <c r="C13" s="218">
        <f t="shared" ref="C13:E13" si="3">C5-C4</f>
        <v>-0.39000043130584872</v>
      </c>
      <c r="D13" s="218">
        <f t="shared" si="3"/>
        <v>-0.32999969762914283</v>
      </c>
      <c r="E13" s="218">
        <f t="shared" si="3"/>
        <v>-0.32484167369140921</v>
      </c>
      <c r="F13" s="219"/>
      <c r="J13" s="136"/>
      <c r="K13" s="141"/>
      <c r="L13" s="141"/>
      <c r="M13" s="141"/>
      <c r="N13" s="141"/>
      <c r="O13" s="142"/>
      <c r="P13" s="3"/>
      <c r="Q13" s="3"/>
    </row>
    <row r="14" spans="1:17" s="74" customFormat="1">
      <c r="A14" s="106" t="s">
        <v>162</v>
      </c>
      <c r="B14" s="109">
        <f>B6-B4</f>
        <v>-0.50937026560092091</v>
      </c>
      <c r="C14" s="109">
        <f t="shared" ref="C14:F14" si="4">C6-C4</f>
        <v>-0.38595433442060911</v>
      </c>
      <c r="D14" s="109">
        <f t="shared" si="4"/>
        <v>-0.32999969762914283</v>
      </c>
      <c r="E14" s="109">
        <f t="shared" si="4"/>
        <v>-0.10000013791542728</v>
      </c>
      <c r="F14" s="109">
        <f t="shared" si="4"/>
        <v>0</v>
      </c>
      <c r="J14" s="136"/>
      <c r="K14" s="141"/>
      <c r="L14" s="141"/>
      <c r="M14" s="141"/>
      <c r="N14" s="141"/>
      <c r="O14" s="141"/>
      <c r="P14" s="3"/>
      <c r="Q14" s="3"/>
    </row>
    <row r="15" spans="1:17" s="74" customFormat="1">
      <c r="A15" s="106" t="s">
        <v>163</v>
      </c>
      <c r="B15" s="109">
        <f>B11-B10</f>
        <v>1.3404456637999829E-6</v>
      </c>
      <c r="C15" s="109">
        <f t="shared" ref="C15:F15" si="5">C11-C10</f>
        <v>-0.63749447324266839</v>
      </c>
      <c r="D15" s="109">
        <f t="shared" si="5"/>
        <v>8.9219625236012234E-3</v>
      </c>
      <c r="E15" s="109">
        <f t="shared" si="5"/>
        <v>-0.16539519801853686</v>
      </c>
      <c r="F15" s="109">
        <f t="shared" si="5"/>
        <v>-0.46864260521038403</v>
      </c>
      <c r="J15" s="1478"/>
      <c r="K15" s="1478"/>
      <c r="L15" s="1478"/>
      <c r="M15" s="1478"/>
      <c r="N15" s="1478"/>
      <c r="O15" s="133"/>
      <c r="P15" s="3"/>
      <c r="Q15" s="3"/>
    </row>
    <row r="16" spans="1:17">
      <c r="F16" s="66" t="s">
        <v>6</v>
      </c>
    </row>
    <row r="19" spans="8:23" ht="13.5" customHeight="1">
      <c r="H19" s="67"/>
      <c r="I19" s="67"/>
      <c r="R19" s="172"/>
      <c r="S19" s="172"/>
      <c r="T19" s="172"/>
      <c r="U19" s="172"/>
      <c r="V19" s="172"/>
      <c r="W19" s="169"/>
    </row>
    <row r="20" spans="8:23" s="74" customFormat="1" ht="13.5" customHeight="1">
      <c r="H20" s="67"/>
      <c r="I20" s="67"/>
      <c r="R20" s="168"/>
      <c r="S20" s="174"/>
      <c r="T20" s="174"/>
      <c r="U20" s="174"/>
      <c r="V20" s="174"/>
      <c r="W20" s="174"/>
    </row>
    <row r="21" spans="8:23" ht="15" customHeight="1">
      <c r="R21" s="58"/>
      <c r="S21" s="54"/>
      <c r="T21" s="54"/>
      <c r="U21" s="54"/>
      <c r="V21" s="54"/>
      <c r="W21" s="169"/>
    </row>
    <row r="22" spans="8:23">
      <c r="R22" s="58"/>
      <c r="S22" s="54"/>
      <c r="T22" s="54"/>
      <c r="U22" s="54"/>
      <c r="V22" s="54"/>
      <c r="W22" s="54"/>
    </row>
    <row r="23" spans="8:23">
      <c r="R23" s="58"/>
      <c r="S23" s="54"/>
      <c r="T23" s="54"/>
      <c r="U23" s="54"/>
      <c r="V23" s="54"/>
      <c r="W23" s="54"/>
    </row>
    <row r="24" spans="8:23">
      <c r="R24" s="58"/>
      <c r="S24" s="54"/>
      <c r="T24" s="54"/>
      <c r="U24" s="54"/>
      <c r="V24" s="54"/>
      <c r="W24" s="54"/>
    </row>
  </sheetData>
  <mergeCells count="3">
    <mergeCell ref="J1:N1"/>
    <mergeCell ref="J15:N15"/>
    <mergeCell ref="A1:E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selection sqref="A1:I1"/>
    </sheetView>
  </sheetViews>
  <sheetFormatPr defaultRowHeight="15"/>
  <cols>
    <col min="1" max="1" width="35.5703125" style="530" customWidth="1"/>
    <col min="2" max="16384" width="9.140625" style="530"/>
  </cols>
  <sheetData>
    <row r="1" spans="1:9">
      <c r="A1" s="1526" t="s">
        <v>608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683"/>
      <c r="B2" s="1527" t="s">
        <v>410</v>
      </c>
      <c r="C2" s="1528"/>
      <c r="D2" s="1527" t="s">
        <v>609</v>
      </c>
      <c r="E2" s="1529"/>
      <c r="F2" s="1530" t="s">
        <v>610</v>
      </c>
      <c r="G2" s="1530"/>
      <c r="H2" s="1530" t="s">
        <v>611</v>
      </c>
      <c r="I2" s="1530"/>
    </row>
    <row r="3" spans="1:9">
      <c r="A3" s="684"/>
      <c r="B3" s="685" t="s">
        <v>612</v>
      </c>
      <c r="C3" s="685" t="s">
        <v>613</v>
      </c>
      <c r="D3" s="685" t="s">
        <v>612</v>
      </c>
      <c r="E3" s="685" t="s">
        <v>613</v>
      </c>
      <c r="F3" s="685" t="s">
        <v>612</v>
      </c>
      <c r="G3" s="685" t="s">
        <v>613</v>
      </c>
      <c r="H3" s="685" t="s">
        <v>612</v>
      </c>
      <c r="I3" s="685" t="s">
        <v>613</v>
      </c>
    </row>
    <row r="4" spans="1:9">
      <c r="A4" s="639" t="s">
        <v>614</v>
      </c>
      <c r="B4" s="639"/>
      <c r="C4" s="639"/>
      <c r="D4" s="686"/>
      <c r="E4" s="686"/>
      <c r="F4" s="686"/>
      <c r="G4" s="686"/>
      <c r="H4" s="639"/>
      <c r="I4" s="639"/>
    </row>
    <row r="5" spans="1:9">
      <c r="A5" s="687" t="s">
        <v>615</v>
      </c>
      <c r="B5" s="688">
        <f>SUM(B6:B7)</f>
        <v>310</v>
      </c>
      <c r="C5" s="688">
        <f t="shared" ref="C5:I5" si="0">SUM(C6:C7)</f>
        <v>310</v>
      </c>
      <c r="D5" s="688">
        <f t="shared" si="0"/>
        <v>300</v>
      </c>
      <c r="E5" s="688">
        <f t="shared" si="0"/>
        <v>300</v>
      </c>
      <c r="F5" s="688">
        <f t="shared" si="0"/>
        <v>300</v>
      </c>
      <c r="G5" s="688">
        <f t="shared" si="0"/>
        <v>300</v>
      </c>
      <c r="H5" s="688">
        <f t="shared" si="0"/>
        <v>300</v>
      </c>
      <c r="I5" s="688">
        <f t="shared" si="0"/>
        <v>300</v>
      </c>
    </row>
    <row r="6" spans="1:9">
      <c r="A6" s="687" t="s">
        <v>616</v>
      </c>
      <c r="B6" s="688">
        <v>310</v>
      </c>
      <c r="C6" s="688">
        <v>245</v>
      </c>
      <c r="D6" s="688">
        <v>300</v>
      </c>
      <c r="E6" s="688">
        <v>250</v>
      </c>
      <c r="F6" s="688">
        <v>300</v>
      </c>
      <c r="G6" s="688">
        <v>250</v>
      </c>
      <c r="H6" s="688">
        <v>300</v>
      </c>
      <c r="I6" s="688">
        <v>250</v>
      </c>
    </row>
    <row r="7" spans="1:9">
      <c r="A7" s="689" t="s">
        <v>617</v>
      </c>
      <c r="B7" s="690" t="s">
        <v>1</v>
      </c>
      <c r="C7" s="690">
        <v>65</v>
      </c>
      <c r="D7" s="690" t="s">
        <v>1</v>
      </c>
      <c r="E7" s="690">
        <v>50</v>
      </c>
      <c r="F7" s="690" t="s">
        <v>1</v>
      </c>
      <c r="G7" s="690">
        <v>50</v>
      </c>
      <c r="H7" s="690" t="s">
        <v>1</v>
      </c>
      <c r="I7" s="690">
        <v>50</v>
      </c>
    </row>
    <row r="8" spans="1:9" ht="15" customHeight="1">
      <c r="A8" s="639" t="s">
        <v>618</v>
      </c>
      <c r="B8" s="639"/>
      <c r="C8" s="639"/>
      <c r="D8" s="686"/>
      <c r="E8" s="686"/>
      <c r="F8" s="686"/>
      <c r="G8" s="686"/>
      <c r="H8" s="639"/>
      <c r="I8" s="639"/>
    </row>
    <row r="9" spans="1:9">
      <c r="A9" s="687" t="s">
        <v>615</v>
      </c>
      <c r="B9" s="688">
        <f>SUM(B10:B11)</f>
        <v>29</v>
      </c>
      <c r="C9" s="688">
        <f t="shared" ref="C9:I9" si="1">SUM(C10:C11)</f>
        <v>29</v>
      </c>
      <c r="D9" s="688">
        <f t="shared" si="1"/>
        <v>32</v>
      </c>
      <c r="E9" s="688">
        <f t="shared" si="1"/>
        <v>32</v>
      </c>
      <c r="F9" s="688">
        <f t="shared" si="1"/>
        <v>38</v>
      </c>
      <c r="G9" s="688">
        <f t="shared" si="1"/>
        <v>38</v>
      </c>
      <c r="H9" s="688">
        <f t="shared" si="1"/>
        <v>38</v>
      </c>
      <c r="I9" s="688">
        <f t="shared" si="1"/>
        <v>38</v>
      </c>
    </row>
    <row r="10" spans="1:9">
      <c r="A10" s="687" t="s">
        <v>616</v>
      </c>
      <c r="B10" s="688">
        <v>21</v>
      </c>
      <c r="C10" s="688">
        <v>21</v>
      </c>
      <c r="D10" s="688">
        <v>32</v>
      </c>
      <c r="E10" s="688">
        <v>18</v>
      </c>
      <c r="F10" s="688">
        <v>38</v>
      </c>
      <c r="G10" s="688">
        <v>20</v>
      </c>
      <c r="H10" s="688">
        <v>38</v>
      </c>
      <c r="I10" s="688">
        <v>20</v>
      </c>
    </row>
    <row r="11" spans="1:9">
      <c r="A11" s="689" t="s">
        <v>617</v>
      </c>
      <c r="B11" s="690">
        <v>8</v>
      </c>
      <c r="C11" s="690">
        <v>8</v>
      </c>
      <c r="D11" s="690" t="s">
        <v>1</v>
      </c>
      <c r="E11" s="690">
        <v>14</v>
      </c>
      <c r="F11" s="690" t="s">
        <v>1</v>
      </c>
      <c r="G11" s="690">
        <v>18</v>
      </c>
      <c r="H11" s="690" t="s">
        <v>1</v>
      </c>
      <c r="I11" s="690">
        <v>18</v>
      </c>
    </row>
    <row r="12" spans="1:9">
      <c r="A12" s="691" t="s">
        <v>619</v>
      </c>
      <c r="B12" s="692">
        <f>B10+B6</f>
        <v>331</v>
      </c>
      <c r="C12" s="692">
        <f t="shared" ref="C12:I12" si="2">C10+C6</f>
        <v>266</v>
      </c>
      <c r="D12" s="692">
        <f t="shared" si="2"/>
        <v>332</v>
      </c>
      <c r="E12" s="692">
        <f t="shared" si="2"/>
        <v>268</v>
      </c>
      <c r="F12" s="692">
        <f t="shared" si="2"/>
        <v>338</v>
      </c>
      <c r="G12" s="692">
        <f t="shared" si="2"/>
        <v>270</v>
      </c>
      <c r="H12" s="692">
        <f t="shared" si="2"/>
        <v>338</v>
      </c>
      <c r="I12" s="692">
        <f t="shared" si="2"/>
        <v>270</v>
      </c>
    </row>
    <row r="13" spans="1:9">
      <c r="A13" s="684" t="s">
        <v>620</v>
      </c>
      <c r="B13" s="693" t="s">
        <v>1</v>
      </c>
      <c r="C13" s="693">
        <f>C12-B12</f>
        <v>-65</v>
      </c>
      <c r="D13" s="693" t="s">
        <v>1</v>
      </c>
      <c r="E13" s="693">
        <f>E12-D12</f>
        <v>-64</v>
      </c>
      <c r="F13" s="693" t="s">
        <v>1</v>
      </c>
      <c r="G13" s="693">
        <f>G12-F12</f>
        <v>-68</v>
      </c>
      <c r="H13" s="693" t="s">
        <v>1</v>
      </c>
      <c r="I13" s="693">
        <f>I12-H12</f>
        <v>-68</v>
      </c>
    </row>
    <row r="14" spans="1:9">
      <c r="A14" s="1524" t="s">
        <v>621</v>
      </c>
      <c r="B14" s="1524"/>
      <c r="C14" s="1524"/>
      <c r="D14" s="1524"/>
      <c r="E14" s="1524"/>
      <c r="F14" s="1524"/>
      <c r="G14" s="1524"/>
      <c r="H14" s="1525" t="s">
        <v>607</v>
      </c>
      <c r="I14" s="1525"/>
    </row>
  </sheetData>
  <mergeCells count="7">
    <mergeCell ref="A14:G14"/>
    <mergeCell ref="H14:I14"/>
    <mergeCell ref="A1:I1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"/>
  <sheetViews>
    <sheetView showGridLines="0" zoomScaleNormal="100" workbookViewId="0">
      <selection sqref="A1:N1"/>
    </sheetView>
  </sheetViews>
  <sheetFormatPr defaultRowHeight="15"/>
  <cols>
    <col min="1" max="1" width="5" style="530" customWidth="1"/>
    <col min="2" max="7" width="6.85546875" style="530" customWidth="1"/>
    <col min="8" max="10" width="7.85546875" style="530" customWidth="1"/>
    <col min="11" max="12" width="6.85546875" style="530" customWidth="1"/>
    <col min="13" max="13" width="6.85546875" style="614" customWidth="1"/>
    <col min="14" max="14" width="6.85546875" style="530" customWidth="1"/>
    <col min="15" max="15" width="8.42578125" style="530" customWidth="1"/>
    <col min="16" max="16384" width="9.140625" style="530"/>
  </cols>
  <sheetData>
    <row r="1" spans="1:14">
      <c r="A1" s="1532" t="s">
        <v>622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</row>
    <row r="2" spans="1:14" ht="46.5" customHeight="1">
      <c r="A2" s="1533" t="s">
        <v>623</v>
      </c>
      <c r="B2" s="1535" t="s">
        <v>624</v>
      </c>
      <c r="C2" s="1536"/>
      <c r="D2" s="1535" t="s">
        <v>625</v>
      </c>
      <c r="E2" s="1536"/>
      <c r="F2" s="1535" t="s">
        <v>626</v>
      </c>
      <c r="G2" s="1536"/>
      <c r="H2" s="1539" t="s">
        <v>627</v>
      </c>
      <c r="I2" s="1539" t="s">
        <v>628</v>
      </c>
      <c r="J2" s="1539" t="s">
        <v>629</v>
      </c>
      <c r="K2" s="1535" t="s">
        <v>630</v>
      </c>
      <c r="L2" s="1536"/>
      <c r="M2" s="1535" t="s">
        <v>631</v>
      </c>
      <c r="N2" s="1541"/>
    </row>
    <row r="3" spans="1:14">
      <c r="A3" s="1534"/>
      <c r="B3" s="1537"/>
      <c r="C3" s="1538"/>
      <c r="D3" s="1537"/>
      <c r="E3" s="1538"/>
      <c r="F3" s="1537"/>
      <c r="G3" s="1538"/>
      <c r="H3" s="1540"/>
      <c r="I3" s="1540"/>
      <c r="J3" s="1540"/>
      <c r="K3" s="694" t="s">
        <v>632</v>
      </c>
      <c r="L3" s="695" t="s">
        <v>633</v>
      </c>
      <c r="M3" s="694" t="s">
        <v>632</v>
      </c>
      <c r="N3" s="696" t="s">
        <v>633</v>
      </c>
    </row>
    <row r="4" spans="1:14" s="701" customFormat="1">
      <c r="A4" s="697"/>
      <c r="B4" s="698" t="s">
        <v>634</v>
      </c>
      <c r="C4" s="699" t="s">
        <v>635</v>
      </c>
      <c r="D4" s="698" t="s">
        <v>634</v>
      </c>
      <c r="E4" s="699" t="s">
        <v>635</v>
      </c>
      <c r="F4" s="698" t="s">
        <v>634</v>
      </c>
      <c r="G4" s="699" t="s">
        <v>635</v>
      </c>
      <c r="H4" s="700" t="s">
        <v>636</v>
      </c>
      <c r="I4" s="700" t="s">
        <v>636</v>
      </c>
      <c r="J4" s="700" t="s">
        <v>635</v>
      </c>
      <c r="K4" s="698" t="s">
        <v>635</v>
      </c>
      <c r="L4" s="699" t="s">
        <v>635</v>
      </c>
      <c r="M4" s="698" t="s">
        <v>634</v>
      </c>
      <c r="N4" s="698" t="s">
        <v>634</v>
      </c>
    </row>
    <row r="5" spans="1:14" ht="22.5">
      <c r="A5" s="702">
        <v>1</v>
      </c>
      <c r="B5" s="703">
        <v>2</v>
      </c>
      <c r="C5" s="704" t="s">
        <v>637</v>
      </c>
      <c r="D5" s="705">
        <v>4</v>
      </c>
      <c r="E5" s="706" t="s">
        <v>638</v>
      </c>
      <c r="F5" s="703">
        <v>6</v>
      </c>
      <c r="G5" s="704" t="s">
        <v>639</v>
      </c>
      <c r="H5" s="707">
        <v>8</v>
      </c>
      <c r="I5" s="707" t="s">
        <v>640</v>
      </c>
      <c r="J5" s="707" t="s">
        <v>641</v>
      </c>
      <c r="K5" s="705">
        <v>11</v>
      </c>
      <c r="L5" s="706" t="s">
        <v>642</v>
      </c>
      <c r="M5" s="705">
        <v>13</v>
      </c>
      <c r="N5" s="708" t="s">
        <v>643</v>
      </c>
    </row>
    <row r="6" spans="1:14" hidden="1">
      <c r="A6" s="709">
        <v>2014</v>
      </c>
      <c r="B6" s="710">
        <v>15.674222</v>
      </c>
      <c r="C6" s="711">
        <v>90.126776500000005</v>
      </c>
      <c r="D6" s="710">
        <v>9.7490000000000006</v>
      </c>
      <c r="E6" s="711">
        <v>57.577579759999999</v>
      </c>
      <c r="F6" s="710">
        <v>20.918068999999999</v>
      </c>
      <c r="G6" s="711">
        <v>120.27889675</v>
      </c>
      <c r="H6" s="712">
        <v>5.75</v>
      </c>
      <c r="I6" s="712">
        <v>2.5649411167994338</v>
      </c>
      <c r="J6" s="713">
        <v>53.653615262147611</v>
      </c>
      <c r="K6" s="714">
        <v>59.083177521009979</v>
      </c>
      <c r="L6" s="715">
        <v>63.007142018862361</v>
      </c>
      <c r="M6" s="714">
        <v>23.034905999999999</v>
      </c>
      <c r="N6" s="715">
        <v>27.540058999999999</v>
      </c>
    </row>
    <row r="7" spans="1:14">
      <c r="A7" s="709">
        <v>2015</v>
      </c>
      <c r="B7" s="710">
        <v>14.904201</v>
      </c>
      <c r="C7" s="711">
        <v>113.66837530204072</v>
      </c>
      <c r="D7" s="710">
        <v>11.055</v>
      </c>
      <c r="E7" s="711">
        <v>84.312060000000002</v>
      </c>
      <c r="F7" s="710">
        <v>21.181215999999999</v>
      </c>
      <c r="G7" s="711">
        <v>161.54065619764449</v>
      </c>
      <c r="H7" s="712">
        <v>7.6265997286295795</v>
      </c>
      <c r="I7" s="712">
        <v>2.2878361305929795</v>
      </c>
      <c r="J7" s="713">
        <v>48.459151254694106</v>
      </c>
      <c r="K7" s="714">
        <v>63.007142018862361</v>
      </c>
      <c r="L7" s="715">
        <v>98.860050764168264</v>
      </c>
      <c r="M7" s="714">
        <v>27.540058999999999</v>
      </c>
      <c r="N7" s="715">
        <v>32.318044</v>
      </c>
    </row>
    <row r="8" spans="1:14">
      <c r="A8" s="709">
        <v>2016</v>
      </c>
      <c r="B8" s="710">
        <v>14.433933</v>
      </c>
      <c r="C8" s="711">
        <v>75.948762797212154</v>
      </c>
      <c r="D8" s="710">
        <v>12.349608182943157</v>
      </c>
      <c r="E8" s="711">
        <v>64.98142</v>
      </c>
      <c r="F8" s="710">
        <v>21.264044999999999</v>
      </c>
      <c r="G8" s="711">
        <v>111.88758530431345</v>
      </c>
      <c r="H8" s="712">
        <v>5.2618203782165365</v>
      </c>
      <c r="I8" s="712">
        <v>3.05897382787672</v>
      </c>
      <c r="J8" s="713">
        <v>65.046157129792832</v>
      </c>
      <c r="K8" s="714">
        <v>98.860050764168264</v>
      </c>
      <c r="L8" s="715">
        <v>98.795313634375418</v>
      </c>
      <c r="M8" s="714">
        <v>32.318044</v>
      </c>
      <c r="N8" s="715">
        <v>37.837540182943158</v>
      </c>
    </row>
    <row r="9" spans="1:14">
      <c r="A9" s="709">
        <v>2017</v>
      </c>
      <c r="B9" s="710">
        <v>13.701783855352724</v>
      </c>
      <c r="C9" s="711">
        <v>74.913312832690622</v>
      </c>
      <c r="D9" s="710">
        <v>15.121</v>
      </c>
      <c r="E9" s="711">
        <v>82.672753803556049</v>
      </c>
      <c r="F9" s="710">
        <v>21.199405600000002</v>
      </c>
      <c r="G9" s="711">
        <v>115.9059083361238</v>
      </c>
      <c r="H9" s="712">
        <v>5.4674131210605159</v>
      </c>
      <c r="I9" s="712">
        <v>2.6110395431812852</v>
      </c>
      <c r="J9" s="713">
        <v>55.352486313538783</v>
      </c>
      <c r="K9" s="714">
        <v>98.795313634375418</v>
      </c>
      <c r="L9" s="715">
        <v>126.11558112439269</v>
      </c>
      <c r="M9" s="714">
        <v>37.837540182943158</v>
      </c>
      <c r="N9" s="715">
        <v>45.460918438295877</v>
      </c>
    </row>
    <row r="10" spans="1:14">
      <c r="A10" s="709">
        <v>2018</v>
      </c>
      <c r="B10" s="710">
        <v>13.312124092363835</v>
      </c>
      <c r="C10" s="711">
        <v>90.78868630992136</v>
      </c>
      <c r="D10" s="710">
        <v>16.54999172001305</v>
      </c>
      <c r="E10" s="711">
        <v>112.87094353048901</v>
      </c>
      <c r="F10" s="710">
        <v>21.199405600000002</v>
      </c>
      <c r="G10" s="711">
        <v>144.57994619199999</v>
      </c>
      <c r="H10" s="712">
        <v>6.82</v>
      </c>
      <c r="I10" s="712">
        <v>2.7741538327161033</v>
      </c>
      <c r="J10" s="713">
        <v>58.810412296543227</v>
      </c>
      <c r="K10" s="714">
        <v>126.11558112439269</v>
      </c>
      <c r="L10" s="715">
        <v>180.17611235833849</v>
      </c>
      <c r="M10" s="714">
        <v>45.460918438295877</v>
      </c>
      <c r="N10" s="715">
        <v>54.123628650672757</v>
      </c>
    </row>
    <row r="11" spans="1:14">
      <c r="A11" s="709">
        <v>2019</v>
      </c>
      <c r="B11" s="710">
        <v>12.936173628030499</v>
      </c>
      <c r="C11" s="711">
        <v>88.224704143168012</v>
      </c>
      <c r="D11" s="710">
        <v>16.651677610935696</v>
      </c>
      <c r="E11" s="711">
        <v>113.56444130658146</v>
      </c>
      <c r="F11" s="710">
        <v>21.199405600000002</v>
      </c>
      <c r="G11" s="711">
        <v>144.57994619199999</v>
      </c>
      <c r="H11" s="712">
        <v>6.82</v>
      </c>
      <c r="I11" s="712">
        <v>3.3289732571561217</v>
      </c>
      <c r="J11" s="713">
        <v>70.572254310005718</v>
      </c>
      <c r="K11" s="714">
        <v>180.17611235833849</v>
      </c>
      <c r="L11" s="715">
        <v>223.16829935491418</v>
      </c>
      <c r="M11" s="714">
        <v>54.123628650672757</v>
      </c>
      <c r="N11" s="715">
        <v>62.51207428963896</v>
      </c>
    </row>
    <row r="12" spans="1:14">
      <c r="A12" s="716">
        <v>2020</v>
      </c>
      <c r="B12" s="717">
        <v>12.565575845692152</v>
      </c>
      <c r="C12" s="718">
        <v>85.697227267620477</v>
      </c>
      <c r="D12" s="717">
        <v>17.124551842935972</v>
      </c>
      <c r="E12" s="718">
        <v>116.78944356882334</v>
      </c>
      <c r="F12" s="717">
        <v>21.199405600000002</v>
      </c>
      <c r="G12" s="718">
        <v>144.57994619199999</v>
      </c>
      <c r="H12" s="719">
        <v>6.82</v>
      </c>
      <c r="I12" s="719">
        <v>3.5700031056544725</v>
      </c>
      <c r="J12" s="720">
        <v>75.681943830028814</v>
      </c>
      <c r="K12" s="721">
        <v>223.16829935491418</v>
      </c>
      <c r="L12" s="722">
        <v>264.27579909370871</v>
      </c>
      <c r="M12" s="721">
        <v>62.51207428963896</v>
      </c>
      <c r="N12" s="722">
        <v>71.002796378267078</v>
      </c>
    </row>
    <row r="13" spans="1:14">
      <c r="A13" s="723"/>
      <c r="J13" s="1531" t="s">
        <v>644</v>
      </c>
      <c r="K13" s="1531"/>
      <c r="L13" s="1531"/>
      <c r="M13" s="1531"/>
      <c r="N13" s="1531"/>
    </row>
  </sheetData>
  <mergeCells count="11">
    <mergeCell ref="J13:N13"/>
    <mergeCell ref="A1:N1"/>
    <mergeCell ref="A2:A3"/>
    <mergeCell ref="B2:C3"/>
    <mergeCell ref="D2:E3"/>
    <mergeCell ref="F2:G3"/>
    <mergeCell ref="H2:H3"/>
    <mergeCell ref="I2:I3"/>
    <mergeCell ref="J2:J3"/>
    <mergeCell ref="K2:L2"/>
    <mergeCell ref="M2:N2"/>
  </mergeCells>
  <pageMargins left="0.25" right="0.25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showGridLines="0" workbookViewId="0">
      <selection sqref="A1:E1"/>
    </sheetView>
  </sheetViews>
  <sheetFormatPr defaultRowHeight="15"/>
  <cols>
    <col min="1" max="1" width="44.85546875" style="530" customWidth="1"/>
    <col min="2" max="16384" width="9.140625" style="530"/>
  </cols>
  <sheetData>
    <row r="1" spans="1:6">
      <c r="A1" s="1542" t="s">
        <v>645</v>
      </c>
      <c r="B1" s="1542"/>
      <c r="C1" s="1542"/>
      <c r="D1" s="1542"/>
      <c r="E1" s="1542"/>
      <c r="F1" s="628"/>
    </row>
    <row r="2" spans="1:6">
      <c r="A2" s="724"/>
      <c r="B2" s="725">
        <v>2017</v>
      </c>
      <c r="C2" s="724">
        <v>2018</v>
      </c>
      <c r="D2" s="724">
        <f>C2+1</f>
        <v>2019</v>
      </c>
      <c r="E2" s="724">
        <f>D2+1</f>
        <v>2020</v>
      </c>
      <c r="F2" s="628"/>
    </row>
    <row r="3" spans="1:6">
      <c r="A3" s="628" t="s">
        <v>646</v>
      </c>
      <c r="B3" s="726">
        <v>83.165999999999997</v>
      </c>
      <c r="C3" s="726">
        <v>116.65900000000001</v>
      </c>
      <c r="D3" s="726">
        <v>116.65900000000001</v>
      </c>
      <c r="E3" s="726">
        <v>116.65900000000001</v>
      </c>
      <c r="F3" s="628"/>
    </row>
    <row r="4" spans="1:6">
      <c r="A4" s="628" t="s">
        <v>647</v>
      </c>
      <c r="B4" s="727">
        <v>55.352486313538783</v>
      </c>
      <c r="C4" s="727">
        <v>58.810412296543227</v>
      </c>
      <c r="D4" s="727">
        <v>70.572254310005718</v>
      </c>
      <c r="E4" s="727">
        <v>75.681943830028814</v>
      </c>
      <c r="F4" s="628"/>
    </row>
    <row r="5" spans="1:6">
      <c r="A5" s="633" t="s">
        <v>648</v>
      </c>
      <c r="B5" s="728">
        <f>B4-B3</f>
        <v>-27.813513686461214</v>
      </c>
      <c r="C5" s="728">
        <f>C4-C3</f>
        <v>-57.848587703456779</v>
      </c>
      <c r="D5" s="728">
        <f>D4-D3</f>
        <v>-46.086745689994288</v>
      </c>
      <c r="E5" s="728">
        <f>E4-E3</f>
        <v>-40.977056169971192</v>
      </c>
      <c r="F5" s="628"/>
    </row>
    <row r="6" spans="1:6">
      <c r="A6" s="628"/>
      <c r="B6" s="628"/>
      <c r="C6" s="628"/>
      <c r="D6" s="1543" t="s">
        <v>607</v>
      </c>
      <c r="E6" s="1543"/>
      <c r="F6" s="628"/>
    </row>
    <row r="7" spans="1:6">
      <c r="A7" s="628"/>
      <c r="B7" s="628"/>
      <c r="C7" s="628"/>
      <c r="D7" s="628"/>
      <c r="E7" s="628"/>
      <c r="F7" s="628"/>
    </row>
    <row r="8" spans="1:6">
      <c r="A8" s="628"/>
      <c r="B8" s="628"/>
      <c r="C8" s="628"/>
      <c r="D8" s="628"/>
      <c r="E8" s="628"/>
      <c r="F8" s="628"/>
    </row>
    <row r="9" spans="1:6">
      <c r="A9" s="628"/>
      <c r="B9" s="628"/>
      <c r="C9" s="628"/>
      <c r="D9" s="628"/>
      <c r="E9" s="628"/>
      <c r="F9" s="628"/>
    </row>
    <row r="10" spans="1:6">
      <c r="A10" s="628"/>
      <c r="B10" s="628"/>
      <c r="C10" s="628"/>
      <c r="D10" s="628"/>
      <c r="E10" s="628"/>
      <c r="F10" s="628"/>
    </row>
    <row r="11" spans="1:6">
      <c r="A11" s="628"/>
      <c r="B11" s="628"/>
      <c r="C11" s="628"/>
      <c r="D11" s="628"/>
      <c r="E11" s="628"/>
      <c r="F11" s="628"/>
    </row>
    <row r="12" spans="1:6">
      <c r="A12" s="628"/>
      <c r="B12" s="628"/>
      <c r="C12" s="628"/>
      <c r="D12" s="628"/>
      <c r="E12" s="628"/>
      <c r="F12" s="628"/>
    </row>
    <row r="13" spans="1:6">
      <c r="A13" s="628"/>
      <c r="B13" s="628"/>
      <c r="C13" s="628"/>
      <c r="D13" s="628"/>
      <c r="E13" s="628"/>
      <c r="F13" s="628"/>
    </row>
    <row r="14" spans="1:6">
      <c r="A14" s="628"/>
      <c r="B14" s="628"/>
      <c r="C14" s="628"/>
      <c r="D14" s="628"/>
      <c r="E14" s="628"/>
      <c r="F14" s="628"/>
    </row>
    <row r="15" spans="1:6">
      <c r="A15" s="628"/>
      <c r="B15" s="628"/>
      <c r="C15" s="628"/>
      <c r="D15" s="628"/>
      <c r="E15" s="628"/>
      <c r="F15" s="628"/>
    </row>
    <row r="16" spans="1:6">
      <c r="A16" s="628"/>
      <c r="B16" s="628"/>
      <c r="C16" s="628"/>
      <c r="D16" s="628"/>
      <c r="E16" s="628"/>
      <c r="F16" s="628"/>
    </row>
    <row r="17" spans="1:6">
      <c r="A17" s="628"/>
      <c r="B17" s="628"/>
      <c r="C17" s="628"/>
      <c r="D17" s="628"/>
      <c r="E17" s="628"/>
      <c r="F17" s="628"/>
    </row>
    <row r="18" spans="1:6">
      <c r="A18" s="628"/>
      <c r="B18" s="628"/>
      <c r="C18" s="628"/>
      <c r="D18" s="628"/>
      <c r="E18" s="628"/>
      <c r="F18" s="628"/>
    </row>
    <row r="19" spans="1:6">
      <c r="A19" s="628"/>
      <c r="B19" s="628"/>
      <c r="C19" s="628"/>
      <c r="D19" s="628"/>
      <c r="E19" s="628"/>
      <c r="F19" s="628"/>
    </row>
    <row r="20" spans="1:6">
      <c r="A20" s="628"/>
      <c r="B20" s="628"/>
      <c r="C20" s="628"/>
      <c r="D20" s="628"/>
      <c r="E20" s="628"/>
      <c r="F20" s="628"/>
    </row>
    <row r="21" spans="1:6">
      <c r="A21" s="628"/>
      <c r="B21" s="628"/>
      <c r="C21" s="628"/>
      <c r="D21" s="628"/>
      <c r="E21" s="628"/>
      <c r="F21" s="628"/>
    </row>
  </sheetData>
  <mergeCells count="2">
    <mergeCell ref="A1:E1"/>
    <mergeCell ref="D6:E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showGridLines="0" workbookViewId="0">
      <selection sqref="A1:J1"/>
    </sheetView>
  </sheetViews>
  <sheetFormatPr defaultColWidth="9.140625" defaultRowHeight="15"/>
  <cols>
    <col min="1" max="1" width="35" style="729" customWidth="1"/>
    <col min="2" max="10" width="8" style="729" customWidth="1"/>
    <col min="11" max="16384" width="9.140625" style="729"/>
  </cols>
  <sheetData>
    <row r="1" spans="1:10" ht="15" customHeight="1">
      <c r="A1" s="1544" t="s">
        <v>649</v>
      </c>
      <c r="B1" s="1544"/>
      <c r="C1" s="1544"/>
      <c r="D1" s="1544"/>
      <c r="E1" s="1544"/>
      <c r="F1" s="1544"/>
      <c r="G1" s="1544"/>
      <c r="H1" s="1544"/>
      <c r="I1" s="1544"/>
      <c r="J1" s="1544"/>
    </row>
    <row r="2" spans="1:10" s="732" customFormat="1" ht="15" customHeight="1">
      <c r="A2" s="730"/>
      <c r="B2" s="731">
        <v>2008</v>
      </c>
      <c r="C2" s="731">
        <v>2009</v>
      </c>
      <c r="D2" s="731">
        <v>2010</v>
      </c>
      <c r="E2" s="731">
        <v>2011</v>
      </c>
      <c r="F2" s="731">
        <v>2012</v>
      </c>
      <c r="G2" s="731">
        <v>2013</v>
      </c>
      <c r="H2" s="731">
        <v>2014</v>
      </c>
      <c r="I2" s="731">
        <v>2015</v>
      </c>
      <c r="J2" s="731">
        <v>2016</v>
      </c>
    </row>
    <row r="3" spans="1:10" s="732" customFormat="1" ht="15" customHeight="1">
      <c r="A3" s="732" t="s">
        <v>650</v>
      </c>
      <c r="B3" s="733">
        <v>3159.6959999999999</v>
      </c>
      <c r="C3" s="733">
        <v>3285.4580000000001</v>
      </c>
      <c r="D3" s="733">
        <v>3481.9090000000001</v>
      </c>
      <c r="E3" s="733">
        <v>3392.87</v>
      </c>
      <c r="F3" s="733">
        <v>3501.51</v>
      </c>
      <c r="G3" s="733">
        <v>3664.453</v>
      </c>
      <c r="H3" s="733">
        <v>3846.3739999999998</v>
      </c>
      <c r="I3" s="733">
        <v>3992.864</v>
      </c>
      <c r="J3" s="734">
        <v>4238.43</v>
      </c>
    </row>
    <row r="4" spans="1:10" s="732" customFormat="1" ht="15" customHeight="1">
      <c r="A4" s="732" t="s">
        <v>651</v>
      </c>
      <c r="B4" s="735" t="s">
        <v>1</v>
      </c>
      <c r="C4" s="736">
        <f t="shared" ref="C4:J4" si="0">C3/B3-1</f>
        <v>3.9801930312283185E-2</v>
      </c>
      <c r="D4" s="736">
        <f t="shared" si="0"/>
        <v>5.9794098722309119E-2</v>
      </c>
      <c r="E4" s="736">
        <f t="shared" si="0"/>
        <v>-2.5571891740996167E-2</v>
      </c>
      <c r="F4" s="736">
        <f t="shared" si="0"/>
        <v>3.2020089187030587E-2</v>
      </c>
      <c r="G4" s="736">
        <f t="shared" si="0"/>
        <v>4.6535066299967731E-2</v>
      </c>
      <c r="H4" s="736">
        <f t="shared" si="0"/>
        <v>4.9644790095547675E-2</v>
      </c>
      <c r="I4" s="736">
        <f t="shared" si="0"/>
        <v>3.8085220002007203E-2</v>
      </c>
      <c r="J4" s="736">
        <f t="shared" si="0"/>
        <v>6.1501218173221073E-2</v>
      </c>
    </row>
    <row r="5" spans="1:10" s="732" customFormat="1" ht="15" customHeight="1">
      <c r="A5" s="732" t="s">
        <v>652</v>
      </c>
      <c r="B5" s="733">
        <v>-48.136150000000001</v>
      </c>
      <c r="C5" s="733">
        <v>20.142578999999898</v>
      </c>
      <c r="D5" s="733">
        <v>-108.556588</v>
      </c>
      <c r="E5" s="733">
        <f>(244850.724-350000+1447)/1000</f>
        <v>-103.70227600000001</v>
      </c>
      <c r="F5" s="733">
        <f>(-73741.605+1374)/1000</f>
        <v>-72.367604999999998</v>
      </c>
      <c r="G5" s="733">
        <v>-30.198</v>
      </c>
      <c r="H5" s="733">
        <v>-61.935000000000002</v>
      </c>
      <c r="I5" s="733">
        <f>-72.517+3.144+1.64</f>
        <v>-67.73299999999999</v>
      </c>
      <c r="J5" s="737">
        <f>-76.846+3.687</f>
        <v>-73.159000000000006</v>
      </c>
    </row>
    <row r="6" spans="1:10" s="732" customFormat="1" ht="15" customHeight="1">
      <c r="A6" s="738" t="s">
        <v>509</v>
      </c>
      <c r="B6" s="739">
        <f t="shared" ref="B6:J6" si="1">B5/B9*100</f>
        <v>-7.0280370147580137E-2</v>
      </c>
      <c r="C6" s="739">
        <f t="shared" si="1"/>
        <v>3.1461424079746059E-2</v>
      </c>
      <c r="D6" s="739">
        <f t="shared" si="1"/>
        <v>-0.16064061156630999</v>
      </c>
      <c r="E6" s="739">
        <f t="shared" si="1"/>
        <v>-0.14683050722667756</v>
      </c>
      <c r="F6" s="739">
        <f t="shared" si="1"/>
        <v>-9.9537993356578439E-2</v>
      </c>
      <c r="G6" s="739">
        <f t="shared" si="1"/>
        <v>-4.0714629519522073E-2</v>
      </c>
      <c r="H6" s="739">
        <f t="shared" si="1"/>
        <v>-8.1399383343978934E-2</v>
      </c>
      <c r="I6" s="739">
        <f t="shared" si="1"/>
        <v>-8.5850558453871142E-2</v>
      </c>
      <c r="J6" s="739">
        <f t="shared" si="1"/>
        <v>-9.0148359908322456E-2</v>
      </c>
    </row>
    <row r="7" spans="1:10" s="732" customFormat="1" ht="15" customHeight="1">
      <c r="A7" s="740" t="s">
        <v>653</v>
      </c>
      <c r="H7" s="741"/>
      <c r="I7" s="1545" t="s">
        <v>654</v>
      </c>
      <c r="J7" s="1545"/>
    </row>
    <row r="8" spans="1:10" s="732" customFormat="1" ht="15" customHeight="1">
      <c r="B8" s="742"/>
      <c r="C8" s="742"/>
      <c r="D8" s="742"/>
      <c r="E8" s="742"/>
      <c r="F8" s="742"/>
      <c r="G8" s="742"/>
      <c r="H8" s="742"/>
      <c r="I8" s="742"/>
      <c r="J8" s="742"/>
    </row>
    <row r="9" spans="1:10">
      <c r="A9" s="743" t="s">
        <v>12</v>
      </c>
      <c r="B9" s="733">
        <v>68491.600000000006</v>
      </c>
      <c r="C9" s="733">
        <v>64023.1</v>
      </c>
      <c r="D9" s="733">
        <v>67577.3</v>
      </c>
      <c r="E9" s="733">
        <v>70627.199999999997</v>
      </c>
      <c r="F9" s="733">
        <v>72703.5</v>
      </c>
      <c r="G9" s="733">
        <v>74169.899999999994</v>
      </c>
      <c r="H9" s="733">
        <v>76087.8</v>
      </c>
      <c r="I9" s="733">
        <v>78896.399999999994</v>
      </c>
      <c r="J9" s="733">
        <v>81154</v>
      </c>
    </row>
  </sheetData>
  <mergeCells count="2">
    <mergeCell ref="A1:J1"/>
    <mergeCell ref="I7:J7"/>
  </mergeCells>
  <pageMargins left="0.7" right="0.7" top="0.75" bottom="0.75" header="0.3" footer="0.3"/>
  <pageSetup orientation="portrait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workbookViewId="0">
      <selection sqref="A1:F1"/>
    </sheetView>
  </sheetViews>
  <sheetFormatPr defaultRowHeight="15"/>
  <cols>
    <col min="1" max="1" width="45.7109375" style="530" customWidth="1"/>
    <col min="2" max="9" width="7.85546875" style="530" customWidth="1"/>
    <col min="10" max="16384" width="9.140625" style="530"/>
  </cols>
  <sheetData>
    <row r="1" spans="1:11">
      <c r="A1" s="1546" t="s">
        <v>655</v>
      </c>
      <c r="B1" s="1546"/>
      <c r="C1" s="1546"/>
      <c r="D1" s="1546"/>
      <c r="E1" s="1546"/>
      <c r="F1" s="1546"/>
      <c r="G1" s="744"/>
      <c r="H1" s="744"/>
      <c r="I1" s="744"/>
    </row>
    <row r="2" spans="1:11">
      <c r="A2" s="745"/>
      <c r="B2" s="746" t="s">
        <v>656</v>
      </c>
      <c r="C2" s="746" t="s">
        <v>657</v>
      </c>
      <c r="D2" s="747" t="s">
        <v>658</v>
      </c>
      <c r="E2" s="748" t="s">
        <v>659</v>
      </c>
      <c r="F2" s="747" t="s">
        <v>660</v>
      </c>
      <c r="G2" s="749" t="s">
        <v>661</v>
      </c>
      <c r="H2" s="749" t="s">
        <v>662</v>
      </c>
      <c r="I2" s="749" t="s">
        <v>663</v>
      </c>
    </row>
    <row r="3" spans="1:11">
      <c r="A3" s="750" t="s">
        <v>664</v>
      </c>
      <c r="B3" s="732"/>
      <c r="C3" s="732"/>
      <c r="D3" s="732"/>
      <c r="E3" s="732"/>
      <c r="F3" s="732"/>
      <c r="G3" s="732"/>
      <c r="H3" s="732"/>
      <c r="I3" s="732"/>
    </row>
    <row r="4" spans="1:11">
      <c r="A4" s="751" t="s">
        <v>665</v>
      </c>
      <c r="B4" s="752">
        <v>29825</v>
      </c>
      <c r="C4" s="752">
        <f t="shared" ref="C4:I4" si="0">B11</f>
        <v>469046</v>
      </c>
      <c r="D4" s="752">
        <f t="shared" si="0"/>
        <v>478059.15899999999</v>
      </c>
      <c r="E4" s="752">
        <f t="shared" si="0"/>
        <v>337837.54399999999</v>
      </c>
      <c r="F4" s="752">
        <f t="shared" si="0"/>
        <v>335693.35399999999</v>
      </c>
      <c r="G4" s="752">
        <f t="shared" si="0"/>
        <v>233786.54699999999</v>
      </c>
      <c r="H4" s="752">
        <f t="shared" si="0"/>
        <v>220932.997</v>
      </c>
      <c r="I4" s="752">
        <f t="shared" si="0"/>
        <v>224443.133</v>
      </c>
    </row>
    <row r="5" spans="1:11">
      <c r="A5" s="732" t="s">
        <v>666</v>
      </c>
      <c r="B5" s="742">
        <v>-29825</v>
      </c>
      <c r="C5" s="732">
        <v>0</v>
      </c>
      <c r="D5" s="732">
        <v>0</v>
      </c>
      <c r="E5" s="732">
        <v>0</v>
      </c>
      <c r="F5" s="732">
        <v>0</v>
      </c>
      <c r="G5" s="732">
        <v>0</v>
      </c>
      <c r="H5" s="732">
        <v>0</v>
      </c>
      <c r="I5" s="732">
        <v>0</v>
      </c>
    </row>
    <row r="6" spans="1:11">
      <c r="A6" s="732" t="s">
        <v>667</v>
      </c>
      <c r="B6" s="742">
        <v>469046</v>
      </c>
      <c r="C6" s="742">
        <v>16238</v>
      </c>
      <c r="D6" s="742">
        <v>39278.385000000002</v>
      </c>
      <c r="E6" s="742">
        <v>47855.81</v>
      </c>
      <c r="F6" s="742">
        <v>46498.192999999999</v>
      </c>
      <c r="G6" s="742">
        <v>2261.902</v>
      </c>
      <c r="H6" s="742">
        <v>3510.136</v>
      </c>
      <c r="I6" s="742">
        <v>12763.736000000001</v>
      </c>
    </row>
    <row r="7" spans="1:11">
      <c r="A7" s="732" t="s">
        <v>668</v>
      </c>
      <c r="B7" s="742">
        <v>0</v>
      </c>
      <c r="C7" s="742">
        <v>0</v>
      </c>
      <c r="D7" s="742">
        <v>-179500</v>
      </c>
      <c r="E7" s="742">
        <v>0</v>
      </c>
      <c r="F7" s="742">
        <v>-87405</v>
      </c>
      <c r="G7" s="742">
        <v>0</v>
      </c>
      <c r="H7" s="742">
        <v>0</v>
      </c>
      <c r="I7" s="742">
        <v>0</v>
      </c>
    </row>
    <row r="8" spans="1:11">
      <c r="A8" s="732" t="s">
        <v>669</v>
      </c>
      <c r="B8" s="742">
        <v>0</v>
      </c>
      <c r="C8" s="742">
        <v>0</v>
      </c>
      <c r="D8" s="742">
        <v>0</v>
      </c>
      <c r="E8" s="742">
        <v>-50000</v>
      </c>
      <c r="F8" s="742">
        <v>-61000</v>
      </c>
      <c r="G8" s="742">
        <v>0</v>
      </c>
      <c r="H8" s="742">
        <v>0</v>
      </c>
      <c r="I8" s="742">
        <v>0</v>
      </c>
    </row>
    <row r="9" spans="1:11">
      <c r="A9" s="732" t="s">
        <v>670</v>
      </c>
      <c r="B9" s="742">
        <v>0</v>
      </c>
      <c r="C9" s="742">
        <v>0</v>
      </c>
      <c r="D9" s="742">
        <v>0</v>
      </c>
      <c r="E9" s="742">
        <v>0</v>
      </c>
      <c r="F9" s="742">
        <v>0</v>
      </c>
      <c r="G9" s="742">
        <v>-15115.451999999999</v>
      </c>
      <c r="H9" s="742">
        <v>0</v>
      </c>
      <c r="I9" s="742">
        <v>0</v>
      </c>
    </row>
    <row r="10" spans="1:11">
      <c r="A10" s="732" t="s">
        <v>671</v>
      </c>
      <c r="B10" s="732">
        <v>0</v>
      </c>
      <c r="C10" s="742">
        <v>-7224.8410000000149</v>
      </c>
      <c r="D10" s="732">
        <v>0</v>
      </c>
      <c r="E10" s="732">
        <v>0</v>
      </c>
      <c r="F10" s="732">
        <v>0</v>
      </c>
      <c r="G10" s="732">
        <v>0</v>
      </c>
      <c r="H10" s="732">
        <v>0</v>
      </c>
      <c r="I10" s="732">
        <v>0</v>
      </c>
    </row>
    <row r="11" spans="1:11">
      <c r="A11" s="753" t="s">
        <v>672</v>
      </c>
      <c r="B11" s="754">
        <f t="shared" ref="B11:H11" si="1">B4+SUM(B5:B10)</f>
        <v>469046</v>
      </c>
      <c r="C11" s="754">
        <f t="shared" si="1"/>
        <v>478059.15899999999</v>
      </c>
      <c r="D11" s="754">
        <f t="shared" si="1"/>
        <v>337837.54399999999</v>
      </c>
      <c r="E11" s="754">
        <f t="shared" si="1"/>
        <v>335693.35399999999</v>
      </c>
      <c r="F11" s="754">
        <f t="shared" si="1"/>
        <v>233786.54699999999</v>
      </c>
      <c r="G11" s="754">
        <f t="shared" si="1"/>
        <v>220932.997</v>
      </c>
      <c r="H11" s="754">
        <f t="shared" si="1"/>
        <v>224443.133</v>
      </c>
      <c r="I11" s="754">
        <f t="shared" ref="I11" si="2">I4+SUM(I5:I10)</f>
        <v>237206.86900000001</v>
      </c>
      <c r="K11" s="755"/>
    </row>
    <row r="12" spans="1:11">
      <c r="A12" s="756" t="s">
        <v>673</v>
      </c>
      <c r="B12" s="756">
        <v>0</v>
      </c>
      <c r="C12" s="756">
        <v>0</v>
      </c>
      <c r="D12" s="757">
        <v>-11738</v>
      </c>
      <c r="E12" s="757">
        <v>-25806.524000000001</v>
      </c>
      <c r="F12" s="757">
        <v>-19357.143</v>
      </c>
      <c r="G12" s="757">
        <v>-26250</v>
      </c>
      <c r="H12" s="757">
        <f>139318-183750</f>
        <v>-44432</v>
      </c>
      <c r="I12" s="757">
        <v>-46614</v>
      </c>
    </row>
    <row r="13" spans="1:11">
      <c r="A13" s="732"/>
      <c r="B13" s="732"/>
      <c r="C13" s="758"/>
      <c r="D13" s="758"/>
      <c r="E13" s="758"/>
      <c r="F13" s="759"/>
      <c r="G13" s="759"/>
      <c r="H13" s="759"/>
      <c r="I13" s="759"/>
    </row>
    <row r="14" spans="1:11">
      <c r="A14" s="750" t="s">
        <v>674</v>
      </c>
      <c r="B14" s="732"/>
      <c r="C14" s="732"/>
      <c r="D14" s="732"/>
      <c r="E14" s="732"/>
      <c r="F14" s="732"/>
      <c r="G14" s="732"/>
      <c r="H14" s="732"/>
      <c r="I14" s="732"/>
    </row>
    <row r="15" spans="1:11">
      <c r="A15" s="751" t="s">
        <v>675</v>
      </c>
      <c r="B15" s="752">
        <v>-39915.671000000002</v>
      </c>
      <c r="C15" s="752">
        <f t="shared" ref="C15:I15" si="3">B21</f>
        <v>-56432.303000000007</v>
      </c>
      <c r="D15" s="752">
        <f t="shared" si="3"/>
        <v>-58697.303000000007</v>
      </c>
      <c r="E15" s="752">
        <f t="shared" si="3"/>
        <v>-49696.918000000005</v>
      </c>
      <c r="F15" s="752">
        <f t="shared" si="3"/>
        <v>-35512.995000000003</v>
      </c>
      <c r="G15" s="752">
        <f t="shared" si="3"/>
        <v>19391.635999999991</v>
      </c>
      <c r="H15" s="752">
        <f t="shared" si="3"/>
        <v>-713.60400000001027</v>
      </c>
      <c r="I15" s="752">
        <f t="shared" si="3"/>
        <v>-2490.04000000001</v>
      </c>
    </row>
    <row r="16" spans="1:11">
      <c r="A16" s="732" t="s">
        <v>667</v>
      </c>
      <c r="B16" s="742">
        <v>-16513</v>
      </c>
      <c r="C16" s="742">
        <v>-2265</v>
      </c>
      <c r="D16" s="742">
        <v>9000.3850000000002</v>
      </c>
      <c r="E16" s="742">
        <v>15984</v>
      </c>
      <c r="F16" s="742">
        <v>6605.3289999999997</v>
      </c>
      <c r="G16" s="742">
        <v>-8926.4590000000007</v>
      </c>
      <c r="H16" s="742">
        <v>-1776.4359999999999</v>
      </c>
      <c r="I16" s="742">
        <v>1872.5260000000001</v>
      </c>
    </row>
    <row r="17" spans="1:9">
      <c r="A17" s="732" t="s">
        <v>676</v>
      </c>
      <c r="B17" s="742">
        <v>0</v>
      </c>
      <c r="C17" s="742">
        <v>0</v>
      </c>
      <c r="D17" s="742">
        <v>0</v>
      </c>
      <c r="E17" s="742">
        <v>0</v>
      </c>
      <c r="F17" s="742">
        <v>68516</v>
      </c>
      <c r="G17" s="742">
        <v>0</v>
      </c>
      <c r="H17" s="742">
        <v>0</v>
      </c>
      <c r="I17" s="742">
        <v>0</v>
      </c>
    </row>
    <row r="18" spans="1:9">
      <c r="A18" s="732" t="s">
        <v>677</v>
      </c>
      <c r="B18" s="742">
        <v>0</v>
      </c>
      <c r="C18" s="742">
        <v>0</v>
      </c>
      <c r="D18" s="742">
        <v>0</v>
      </c>
      <c r="E18" s="742">
        <v>0</v>
      </c>
      <c r="F18" s="742">
        <v>-17019.842000000001</v>
      </c>
      <c r="G18" s="742">
        <v>-11178.781000000001</v>
      </c>
      <c r="H18" s="742">
        <v>0</v>
      </c>
      <c r="I18" s="742">
        <v>0</v>
      </c>
    </row>
    <row r="19" spans="1:9">
      <c r="A19" s="732" t="s">
        <v>678</v>
      </c>
      <c r="B19" s="742">
        <v>0</v>
      </c>
      <c r="C19" s="742">
        <v>0</v>
      </c>
      <c r="D19" s="742">
        <v>0</v>
      </c>
      <c r="E19" s="742">
        <v>-1800.077</v>
      </c>
      <c r="F19" s="742">
        <v>-3196.8560000000002</v>
      </c>
      <c r="G19" s="742">
        <v>0</v>
      </c>
      <c r="H19" s="742">
        <v>0</v>
      </c>
      <c r="I19" s="742">
        <v>0</v>
      </c>
    </row>
    <row r="20" spans="1:9">
      <c r="A20" s="732" t="s">
        <v>671</v>
      </c>
      <c r="B20" s="742">
        <v>-3.6320000000050072</v>
      </c>
      <c r="C20" s="742">
        <v>0</v>
      </c>
      <c r="D20" s="742">
        <v>0</v>
      </c>
      <c r="E20" s="742">
        <v>0</v>
      </c>
      <c r="F20" s="742">
        <v>0</v>
      </c>
      <c r="G20" s="742">
        <v>0</v>
      </c>
      <c r="H20" s="742">
        <v>0</v>
      </c>
      <c r="I20" s="742">
        <v>0</v>
      </c>
    </row>
    <row r="21" spans="1:9">
      <c r="A21" s="753" t="s">
        <v>679</v>
      </c>
      <c r="B21" s="754">
        <f t="shared" ref="B21:I21" si="4">B15+SUM(B16:B20)</f>
        <v>-56432.303000000007</v>
      </c>
      <c r="C21" s="754">
        <f t="shared" si="4"/>
        <v>-58697.303000000007</v>
      </c>
      <c r="D21" s="754">
        <f t="shared" si="4"/>
        <v>-49696.918000000005</v>
      </c>
      <c r="E21" s="754">
        <f t="shared" si="4"/>
        <v>-35512.995000000003</v>
      </c>
      <c r="F21" s="754">
        <f t="shared" si="4"/>
        <v>19391.635999999991</v>
      </c>
      <c r="G21" s="754">
        <f t="shared" si="4"/>
        <v>-713.60400000001027</v>
      </c>
      <c r="H21" s="754">
        <f t="shared" si="4"/>
        <v>-2490.04000000001</v>
      </c>
      <c r="I21" s="754">
        <f t="shared" si="4"/>
        <v>-617.5140000000099</v>
      </c>
    </row>
    <row r="22" spans="1:9">
      <c r="A22" s="760" t="s">
        <v>680</v>
      </c>
      <c r="B22" s="760"/>
      <c r="C22" s="1547" t="s">
        <v>681</v>
      </c>
      <c r="D22" s="1547"/>
      <c r="E22" s="1547"/>
      <c r="F22" s="1547"/>
      <c r="G22" s="1547"/>
      <c r="H22" s="1547"/>
      <c r="I22" s="1547"/>
    </row>
    <row r="23" spans="1:9">
      <c r="A23" s="760" t="s">
        <v>682</v>
      </c>
      <c r="B23" s="732"/>
      <c r="C23" s="732"/>
      <c r="D23" s="732"/>
      <c r="E23" s="742"/>
      <c r="F23" s="732"/>
      <c r="G23" s="732"/>
      <c r="H23" s="732"/>
      <c r="I23" s="732"/>
    </row>
  </sheetData>
  <mergeCells count="2">
    <mergeCell ref="A1:F1"/>
    <mergeCell ref="C22:I22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9"/>
  <sheetViews>
    <sheetView showGridLines="0" workbookViewId="0">
      <selection sqref="A1:E1"/>
    </sheetView>
  </sheetViews>
  <sheetFormatPr defaultColWidth="9.140625" defaultRowHeight="15"/>
  <cols>
    <col min="1" max="1" width="48" style="729" customWidth="1"/>
    <col min="2" max="5" width="7.7109375" style="729" customWidth="1"/>
    <col min="6" max="16384" width="9.140625" style="729"/>
  </cols>
  <sheetData>
    <row r="1" spans="1:6">
      <c r="A1" s="1549" t="s">
        <v>683</v>
      </c>
      <c r="B1" s="1549"/>
      <c r="C1" s="1549"/>
      <c r="D1" s="1549"/>
      <c r="E1" s="1549"/>
    </row>
    <row r="2" spans="1:6">
      <c r="A2" s="730"/>
      <c r="B2" s="730" t="s">
        <v>541</v>
      </c>
      <c r="C2" s="730">
        <v>2018</v>
      </c>
      <c r="D2" s="730">
        <v>2019</v>
      </c>
      <c r="E2" s="730">
        <v>2020</v>
      </c>
    </row>
    <row r="3" spans="1:6">
      <c r="A3" s="1550" t="s">
        <v>684</v>
      </c>
      <c r="B3" s="1550"/>
      <c r="C3" s="1550"/>
      <c r="D3" s="1550"/>
      <c r="E3" s="1550"/>
    </row>
    <row r="4" spans="1:6">
      <c r="A4" s="761" t="s">
        <v>650</v>
      </c>
      <c r="B4" s="733">
        <v>4375.9259999999995</v>
      </c>
      <c r="C4" s="733">
        <v>4466.88</v>
      </c>
      <c r="D4" s="733">
        <v>4762.9939999999997</v>
      </c>
      <c r="E4" s="733">
        <v>5061.7550000000001</v>
      </c>
      <c r="F4" s="762"/>
    </row>
    <row r="5" spans="1:6">
      <c r="A5" s="763" t="s">
        <v>394</v>
      </c>
      <c r="B5" s="764">
        <v>-24.861999999999998</v>
      </c>
      <c r="C5" s="764">
        <v>-16.64</v>
      </c>
      <c r="D5" s="764">
        <v>-1.4510000000000001</v>
      </c>
      <c r="E5" s="764">
        <v>5.0190000000000001</v>
      </c>
    </row>
    <row r="6" spans="1:6">
      <c r="A6" s="763" t="s">
        <v>685</v>
      </c>
      <c r="B6" s="764">
        <v>0</v>
      </c>
      <c r="C6" s="764">
        <v>0</v>
      </c>
      <c r="D6" s="764">
        <v>0</v>
      </c>
      <c r="E6" s="764">
        <v>0</v>
      </c>
    </row>
    <row r="7" spans="1:6">
      <c r="A7" s="765" t="s">
        <v>686</v>
      </c>
      <c r="B7" s="766">
        <v>22.856999999999999</v>
      </c>
      <c r="C7" s="766">
        <v>22.614000000000001</v>
      </c>
      <c r="D7" s="766">
        <v>22.614000000000001</v>
      </c>
      <c r="E7" s="766">
        <v>22.614000000000001</v>
      </c>
    </row>
    <row r="8" spans="1:6">
      <c r="A8" s="1550" t="s">
        <v>687</v>
      </c>
      <c r="B8" s="1550"/>
      <c r="C8" s="1550"/>
      <c r="D8" s="1550"/>
      <c r="E8" s="1550"/>
    </row>
    <row r="9" spans="1:6">
      <c r="A9" s="761" t="s">
        <v>650</v>
      </c>
      <c r="B9" s="733">
        <v>4365.6117346700003</v>
      </c>
      <c r="C9" s="733">
        <v>4528.8722724501322</v>
      </c>
      <c r="D9" s="733">
        <v>4698.2382554270007</v>
      </c>
      <c r="E9" s="733">
        <v>4873.9380085930216</v>
      </c>
      <c r="F9" s="767"/>
    </row>
    <row r="10" spans="1:6">
      <c r="A10" s="761" t="s">
        <v>688</v>
      </c>
      <c r="B10" s="733">
        <v>0</v>
      </c>
      <c r="C10" s="733">
        <v>-30.759</v>
      </c>
      <c r="D10" s="733">
        <v>9.5260868999999992</v>
      </c>
      <c r="E10" s="733">
        <v>20.201470799999999</v>
      </c>
    </row>
    <row r="11" spans="1:6">
      <c r="A11" s="763" t="s">
        <v>394</v>
      </c>
      <c r="B11" s="734">
        <v>-91.662063440000054</v>
      </c>
      <c r="C11" s="734">
        <v>-95.089944497861055</v>
      </c>
      <c r="D11" s="734">
        <v>-98.646017831848738</v>
      </c>
      <c r="E11" s="734">
        <v>-102.3350774413409</v>
      </c>
      <c r="F11" s="767"/>
    </row>
    <row r="12" spans="1:6">
      <c r="A12" s="765" t="s">
        <v>686</v>
      </c>
      <c r="B12" s="766">
        <v>47.614000000000004</v>
      </c>
      <c r="C12" s="766">
        <v>47.614000000000004</v>
      </c>
      <c r="D12" s="766">
        <v>47.614000000000004</v>
      </c>
      <c r="E12" s="766">
        <v>47.614000000000004</v>
      </c>
    </row>
    <row r="13" spans="1:6">
      <c r="A13" s="751" t="s">
        <v>689</v>
      </c>
      <c r="B13" s="768">
        <f>B14+B15</f>
        <v>81.242798110000848</v>
      </c>
      <c r="C13" s="768">
        <f t="shared" ref="C13:E13" si="0">C14+C15</f>
        <v>134.68321694799312</v>
      </c>
      <c r="D13" s="768">
        <f t="shared" si="0"/>
        <v>66.965360158850089</v>
      </c>
      <c r="E13" s="768">
        <f t="shared" si="0"/>
        <v>-35.261443165637957</v>
      </c>
    </row>
    <row r="14" spans="1:6">
      <c r="A14" s="761" t="s">
        <v>690</v>
      </c>
      <c r="B14" s="769">
        <f>B9+B10-B4-B11+B5</f>
        <v>56.485798110000843</v>
      </c>
      <c r="C14" s="769">
        <f t="shared" ref="C14:E14" si="1">C9+C10-C4-C11+C5</f>
        <v>109.68321694799312</v>
      </c>
      <c r="D14" s="769">
        <f t="shared" si="1"/>
        <v>41.965360158850082</v>
      </c>
      <c r="E14" s="769">
        <f t="shared" si="1"/>
        <v>-60.261443165637964</v>
      </c>
    </row>
    <row r="15" spans="1:6">
      <c r="A15" s="765" t="s">
        <v>691</v>
      </c>
      <c r="B15" s="770">
        <f>B12-B7</f>
        <v>24.757000000000005</v>
      </c>
      <c r="C15" s="770">
        <f>C12-C7</f>
        <v>25.000000000000004</v>
      </c>
      <c r="D15" s="770">
        <f>D12-D7</f>
        <v>25.000000000000004</v>
      </c>
      <c r="E15" s="770">
        <f>E12-E7</f>
        <v>25.000000000000004</v>
      </c>
    </row>
    <row r="16" spans="1:6">
      <c r="A16" s="771" t="s">
        <v>692</v>
      </c>
      <c r="B16" s="772">
        <v>0</v>
      </c>
      <c r="C16" s="772">
        <v>0</v>
      </c>
      <c r="D16" s="772">
        <v>0</v>
      </c>
      <c r="E16" s="772">
        <v>0</v>
      </c>
    </row>
    <row r="17" spans="1:5" ht="38.25" customHeight="1">
      <c r="A17" s="1551" t="s">
        <v>693</v>
      </c>
      <c r="B17" s="1551"/>
      <c r="C17" s="1551"/>
      <c r="D17" s="1551"/>
      <c r="E17" s="1551"/>
    </row>
    <row r="18" spans="1:5" ht="24.75" customHeight="1">
      <c r="A18" s="1492" t="s">
        <v>694</v>
      </c>
      <c r="B18" s="1492"/>
      <c r="C18" s="1492"/>
      <c r="D18" s="1492"/>
      <c r="E18" s="1492"/>
    </row>
    <row r="19" spans="1:5">
      <c r="A19" s="751"/>
      <c r="B19" s="733"/>
      <c r="C19" s="733"/>
      <c r="D19" s="1548" t="s">
        <v>607</v>
      </c>
      <c r="E19" s="1548"/>
    </row>
    <row r="20" spans="1:5">
      <c r="A20" s="763"/>
      <c r="B20" s="733"/>
      <c r="C20" s="733"/>
      <c r="D20" s="733"/>
      <c r="E20" s="733"/>
    </row>
    <row r="21" spans="1:5">
      <c r="A21" s="763"/>
      <c r="B21" s="733"/>
      <c r="C21" s="733"/>
      <c r="D21" s="733"/>
      <c r="E21" s="733"/>
    </row>
    <row r="22" spans="1:5">
      <c r="B22" s="733"/>
      <c r="C22" s="733"/>
      <c r="D22" s="733"/>
      <c r="E22" s="733"/>
    </row>
    <row r="25" spans="1:5">
      <c r="B25" s="733"/>
      <c r="C25" s="733"/>
      <c r="D25" s="733"/>
      <c r="E25" s="733"/>
    </row>
    <row r="26" spans="1:5">
      <c r="C26" s="773"/>
      <c r="D26" s="773"/>
      <c r="E26" s="773"/>
    </row>
    <row r="28" spans="1:5">
      <c r="B28" s="733"/>
      <c r="C28" s="733"/>
      <c r="D28" s="733"/>
      <c r="E28" s="733"/>
    </row>
    <row r="29" spans="1:5">
      <c r="C29" s="773"/>
      <c r="D29" s="773"/>
      <c r="E29" s="773"/>
    </row>
  </sheetData>
  <mergeCells count="6">
    <mergeCell ref="D19:E19"/>
    <mergeCell ref="A1:E1"/>
    <mergeCell ref="A3:E3"/>
    <mergeCell ref="A8:E8"/>
    <mergeCell ref="A17:E17"/>
    <mergeCell ref="A18:E18"/>
  </mergeCells>
  <pageMargins left="0.7" right="0.7" top="0.75" bottom="0.75" header="0.3" footer="0.3"/>
  <pageSetup scale="90" orientation="portrait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G20"/>
  <sheetViews>
    <sheetView showGridLines="0" workbookViewId="0"/>
  </sheetViews>
  <sheetFormatPr defaultRowHeight="12.75"/>
  <cols>
    <col min="1" max="1" width="44.28515625" customWidth="1"/>
  </cols>
  <sheetData>
    <row r="1" spans="1:7">
      <c r="A1" s="31" t="s">
        <v>360</v>
      </c>
      <c r="B1" s="31"/>
      <c r="C1" s="31"/>
      <c r="D1" s="31"/>
    </row>
    <row r="2" spans="1:7">
      <c r="A2" s="154"/>
      <c r="B2" s="20">
        <v>2018</v>
      </c>
      <c r="C2" s="155">
        <v>2019</v>
      </c>
      <c r="D2" s="20">
        <v>2020</v>
      </c>
    </row>
    <row r="3" spans="1:7" ht="14.25" customHeight="1">
      <c r="A3" s="156" t="s">
        <v>182</v>
      </c>
      <c r="B3" s="241">
        <v>170.13499999999999</v>
      </c>
      <c r="C3" s="241">
        <v>174.208</v>
      </c>
      <c r="D3" s="241">
        <v>159.29900000000001</v>
      </c>
    </row>
    <row r="4" spans="1:7" ht="14.25" customHeight="1">
      <c r="A4" s="159" t="s">
        <v>183</v>
      </c>
      <c r="B4" s="242">
        <v>90.093000000000004</v>
      </c>
      <c r="C4" s="242">
        <v>91.766000000000005</v>
      </c>
      <c r="D4" s="242">
        <v>113.786</v>
      </c>
    </row>
    <row r="5" spans="1:7" ht="14.25" customHeight="1">
      <c r="A5" s="160" t="s">
        <v>184</v>
      </c>
      <c r="B5" s="245">
        <v>76.220196915857841</v>
      </c>
      <c r="C5" s="245">
        <v>114.68056974106433</v>
      </c>
      <c r="D5" s="245">
        <v>139.57865501247335</v>
      </c>
    </row>
    <row r="6" spans="1:7" ht="14.25" customHeight="1">
      <c r="A6" s="161" t="s">
        <v>185</v>
      </c>
      <c r="B6" s="247">
        <v>50.55815960773986</v>
      </c>
      <c r="C6" s="247">
        <v>73.612669849030027</v>
      </c>
      <c r="D6" s="247">
        <v>92.207493717994566</v>
      </c>
    </row>
    <row r="7" spans="1:7" ht="14.25" customHeight="1">
      <c r="A7" s="162" t="s">
        <v>103</v>
      </c>
      <c r="B7" s="246">
        <f>(B5+B6)-(B3+B4)</f>
        <v>-133.44964347640231</v>
      </c>
      <c r="C7" s="246">
        <f>(C5+C6)-(C3+C4)</f>
        <v>-77.680760409905645</v>
      </c>
      <c r="D7" s="246">
        <f>(D5+D6)-(D3+D4)</f>
        <v>-41.298851269532122</v>
      </c>
    </row>
    <row r="8" spans="1:7">
      <c r="A8" s="1552"/>
      <c r="B8" s="1552"/>
      <c r="C8" s="1553" t="s">
        <v>59</v>
      </c>
      <c r="D8" s="1553"/>
    </row>
    <row r="10" spans="1:7" s="3" customFormat="1"/>
    <row r="11" spans="1:7" s="3" customFormat="1">
      <c r="A11" s="242"/>
      <c r="B11" s="242"/>
      <c r="C11" s="242"/>
      <c r="D11" s="158"/>
      <c r="E11" s="158"/>
      <c r="F11" s="158"/>
      <c r="G11" s="158"/>
    </row>
    <row r="12" spans="1:7" s="3" customFormat="1">
      <c r="A12" s="242"/>
      <c r="B12" s="242"/>
      <c r="C12" s="242"/>
      <c r="D12" s="157"/>
      <c r="E12" s="157"/>
      <c r="F12" s="157"/>
      <c r="G12" s="157"/>
    </row>
    <row r="13" spans="1:7" s="3" customFormat="1">
      <c r="B13" s="157"/>
      <c r="C13" s="157"/>
      <c r="D13" s="157"/>
    </row>
    <row r="14" spans="1:7">
      <c r="A14" s="3"/>
      <c r="B14" s="3"/>
      <c r="C14" s="3"/>
      <c r="D14" s="3"/>
      <c r="E14" s="3"/>
      <c r="F14" s="3"/>
    </row>
    <row r="15" spans="1:7">
      <c r="A15" s="3"/>
      <c r="B15" s="3"/>
      <c r="C15" s="3"/>
      <c r="D15" s="3"/>
      <c r="E15" s="3"/>
      <c r="F15" s="3"/>
    </row>
    <row r="16" spans="1:7">
      <c r="A16" s="3"/>
      <c r="B16" s="3"/>
      <c r="C16" s="3"/>
      <c r="D16" s="3"/>
      <c r="E16" s="3"/>
      <c r="F16" s="3"/>
    </row>
    <row r="17" spans="1:6">
      <c r="A17" s="3"/>
      <c r="B17" s="3"/>
      <c r="C17" s="3"/>
      <c r="D17" s="3"/>
      <c r="E17" s="3"/>
      <c r="F17" s="3"/>
    </row>
    <row r="18" spans="1:6">
      <c r="A18" s="3"/>
      <c r="B18" s="3"/>
      <c r="C18" s="3"/>
      <c r="D18" s="3"/>
      <c r="E18" s="3"/>
      <c r="F18" s="3"/>
    </row>
    <row r="19" spans="1:6">
      <c r="A19" s="3"/>
      <c r="B19" s="3"/>
      <c r="C19" s="3"/>
      <c r="D19" s="3"/>
      <c r="E19" s="3"/>
      <c r="F19" s="3"/>
    </row>
    <row r="20" spans="1:6">
      <c r="A20" s="3"/>
      <c r="B20" s="3"/>
      <c r="C20" s="3"/>
      <c r="D20" s="3"/>
      <c r="E20" s="3"/>
      <c r="F20" s="3"/>
    </row>
  </sheetData>
  <mergeCells count="2">
    <mergeCell ref="A8:B8"/>
    <mergeCell ref="C8:D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showGridLines="0" workbookViewId="0">
      <selection sqref="A1:E1"/>
    </sheetView>
  </sheetViews>
  <sheetFormatPr defaultRowHeight="15"/>
  <cols>
    <col min="1" max="1" width="49.28515625" style="530" customWidth="1"/>
    <col min="2" max="16384" width="9.140625" style="530"/>
  </cols>
  <sheetData>
    <row r="1" spans="1:6">
      <c r="A1" s="1497" t="s">
        <v>695</v>
      </c>
      <c r="B1" s="1497"/>
      <c r="C1" s="1497"/>
      <c r="D1" s="1497"/>
      <c r="E1" s="1497"/>
      <c r="F1" s="774"/>
    </row>
    <row r="2" spans="1:6">
      <c r="A2" s="775"/>
      <c r="B2" s="776">
        <v>2017</v>
      </c>
      <c r="C2" s="776">
        <v>2018</v>
      </c>
      <c r="D2" s="776">
        <v>2019</v>
      </c>
      <c r="E2" s="776">
        <v>2020</v>
      </c>
      <c r="F2" s="777"/>
    </row>
    <row r="3" spans="1:6">
      <c r="A3" s="617" t="s">
        <v>696</v>
      </c>
      <c r="B3" s="617">
        <v>2449.2289999999998</v>
      </c>
      <c r="C3" s="617">
        <v>2513.8171259999999</v>
      </c>
      <c r="D3" s="617">
        <v>2523.3232589999998</v>
      </c>
      <c r="E3" s="617">
        <v>2528.4559560000002</v>
      </c>
      <c r="F3" s="617"/>
    </row>
    <row r="4" spans="1:6">
      <c r="A4" s="617" t="s">
        <v>697</v>
      </c>
      <c r="B4" s="617">
        <v>2462.3244023360176</v>
      </c>
      <c r="C4" s="617">
        <v>2602.6917305162337</v>
      </c>
      <c r="D4" s="617">
        <v>2814.1551219234266</v>
      </c>
      <c r="E4" s="617">
        <v>3049.6605139346207</v>
      </c>
      <c r="F4" s="617"/>
    </row>
    <row r="5" spans="1:6">
      <c r="A5" s="778" t="s">
        <v>698</v>
      </c>
      <c r="B5" s="778">
        <f>-(B4-B3)</f>
        <v>-13.095402336017742</v>
      </c>
      <c r="C5" s="778">
        <f t="shared" ref="C5:E5" si="0">-(C4-C3)</f>
        <v>-88.874604516233831</v>
      </c>
      <c r="D5" s="778">
        <f t="shared" si="0"/>
        <v>-290.8318629234268</v>
      </c>
      <c r="E5" s="778">
        <f t="shared" si="0"/>
        <v>-521.20455793462042</v>
      </c>
      <c r="F5" s="779"/>
    </row>
    <row r="6" spans="1:6">
      <c r="A6" s="780"/>
      <c r="B6" s="1554" t="s">
        <v>654</v>
      </c>
      <c r="C6" s="1554"/>
      <c r="D6" s="1554"/>
      <c r="E6" s="1554"/>
      <c r="F6" s="781"/>
    </row>
    <row r="7" spans="1:6">
      <c r="A7" s="600"/>
      <c r="B7" s="600"/>
      <c r="C7" s="600"/>
      <c r="D7" s="600"/>
      <c r="E7" s="600"/>
      <c r="F7" s="600"/>
    </row>
    <row r="8" spans="1:6">
      <c r="A8" s="600"/>
      <c r="B8" s="600"/>
      <c r="C8" s="600"/>
      <c r="D8" s="600"/>
      <c r="E8" s="600"/>
      <c r="F8" s="600"/>
    </row>
    <row r="9" spans="1:6">
      <c r="A9" s="600"/>
      <c r="B9" s="600"/>
      <c r="C9" s="600"/>
      <c r="D9" s="600"/>
      <c r="E9" s="600"/>
      <c r="F9" s="600"/>
    </row>
    <row r="10" spans="1:6">
      <c r="A10" s="600"/>
      <c r="B10" s="600"/>
      <c r="C10" s="600"/>
      <c r="D10" s="600"/>
      <c r="E10" s="600"/>
      <c r="F10" s="600"/>
    </row>
    <row r="11" spans="1:6">
      <c r="A11" s="600"/>
      <c r="B11" s="600"/>
      <c r="C11" s="600"/>
      <c r="D11" s="600"/>
      <c r="E11" s="600"/>
      <c r="F11" s="600"/>
    </row>
    <row r="12" spans="1:6">
      <c r="A12" s="600"/>
      <c r="B12" s="600"/>
      <c r="C12" s="600"/>
      <c r="D12" s="600"/>
      <c r="E12" s="600"/>
      <c r="F12" s="600"/>
    </row>
    <row r="13" spans="1:6">
      <c r="A13" s="600"/>
      <c r="B13" s="600"/>
      <c r="C13" s="600"/>
      <c r="D13" s="600"/>
      <c r="E13" s="600"/>
      <c r="F13" s="600"/>
    </row>
  </sheetData>
  <mergeCells count="2">
    <mergeCell ref="A1:E1"/>
    <mergeCell ref="B6:E6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showGridLines="0" workbookViewId="0">
      <selection sqref="A1:F1"/>
    </sheetView>
  </sheetViews>
  <sheetFormatPr defaultRowHeight="15"/>
  <cols>
    <col min="1" max="1" width="36.7109375" style="530" customWidth="1"/>
    <col min="2" max="11" width="9.140625" style="530" customWidth="1"/>
    <col min="12" max="21" width="9.140625" style="530"/>
    <col min="22" max="22" width="11.85546875" style="530" customWidth="1"/>
    <col min="23" max="24" width="9.140625" style="530"/>
    <col min="25" max="25" width="11" style="530" customWidth="1"/>
    <col min="26" max="27" width="9.140625" style="530"/>
    <col min="28" max="30" width="12.28515625" style="530" customWidth="1"/>
    <col min="31" max="16384" width="9.140625" style="530"/>
  </cols>
  <sheetData>
    <row r="1" spans="1:8">
      <c r="A1" s="1497" t="s">
        <v>699</v>
      </c>
      <c r="B1" s="1497"/>
      <c r="C1" s="1497"/>
      <c r="D1" s="1497"/>
      <c r="E1" s="1497"/>
      <c r="F1" s="1497"/>
    </row>
    <row r="2" spans="1:8">
      <c r="A2" s="775"/>
      <c r="B2" s="776">
        <v>2014</v>
      </c>
      <c r="C2" s="776">
        <v>2015</v>
      </c>
      <c r="D2" s="776">
        <v>2016</v>
      </c>
      <c r="E2" s="776" t="s">
        <v>410</v>
      </c>
      <c r="F2" s="776" t="s">
        <v>609</v>
      </c>
      <c r="G2" s="776" t="s">
        <v>610</v>
      </c>
      <c r="H2" s="776" t="s">
        <v>611</v>
      </c>
    </row>
    <row r="3" spans="1:8">
      <c r="A3" s="617" t="s">
        <v>700</v>
      </c>
      <c r="B3" s="617">
        <v>1223.7742881300001</v>
      </c>
      <c r="C3" s="617">
        <v>1292.9549288499998</v>
      </c>
      <c r="D3" s="617">
        <v>1262.5406961300071</v>
      </c>
      <c r="E3" s="617">
        <v>1490.7330000000002</v>
      </c>
      <c r="F3" s="617">
        <v>1488.8240510000001</v>
      </c>
      <c r="G3" s="617">
        <v>1421.0112750000003</v>
      </c>
      <c r="H3" s="617">
        <v>1774.3378259999999</v>
      </c>
    </row>
    <row r="4" spans="1:8">
      <c r="A4" s="617" t="s">
        <v>647</v>
      </c>
      <c r="B4" s="617"/>
      <c r="C4" s="617"/>
      <c r="E4" s="617">
        <v>1448.6733162599999</v>
      </c>
      <c r="F4" s="617">
        <v>1553.5530305126078</v>
      </c>
      <c r="G4" s="617">
        <v>1517.8702527257924</v>
      </c>
      <c r="H4" s="617">
        <v>1873.8177163614587</v>
      </c>
    </row>
    <row r="5" spans="1:8">
      <c r="A5" s="778" t="s">
        <v>698</v>
      </c>
      <c r="B5" s="778"/>
      <c r="C5" s="778"/>
      <c r="D5" s="778"/>
      <c r="E5" s="778">
        <f t="shared" ref="E5:H5" si="0">-(E4-E3)</f>
        <v>42.05968374000031</v>
      </c>
      <c r="F5" s="778">
        <f t="shared" si="0"/>
        <v>-64.728979512607793</v>
      </c>
      <c r="G5" s="778">
        <f t="shared" si="0"/>
        <v>-96.858977725792101</v>
      </c>
      <c r="H5" s="778">
        <f t="shared" si="0"/>
        <v>-99.479890361458729</v>
      </c>
    </row>
    <row r="6" spans="1:8">
      <c r="A6" s="782" t="s">
        <v>701</v>
      </c>
      <c r="B6" s="783"/>
      <c r="C6" s="783"/>
      <c r="D6" s="784"/>
      <c r="E6" s="784">
        <v>1.2606449717224466</v>
      </c>
      <c r="F6" s="784">
        <v>1.7444315435860558</v>
      </c>
      <c r="G6" s="784">
        <v>1.879938784262758</v>
      </c>
      <c r="H6" s="784">
        <v>2.0999194545459732</v>
      </c>
    </row>
    <row r="7" spans="1:8">
      <c r="A7" s="785"/>
      <c r="C7" s="600"/>
      <c r="E7" s="781"/>
      <c r="F7" s="781"/>
      <c r="G7" s="781" t="s">
        <v>702</v>
      </c>
    </row>
    <row r="8" spans="1:8" ht="23.25" customHeight="1">
      <c r="A8" s="1555" t="s">
        <v>703</v>
      </c>
      <c r="B8" s="1555"/>
      <c r="C8" s="1555"/>
      <c r="D8" s="1555"/>
      <c r="E8" s="1555"/>
      <c r="F8" s="1555"/>
      <c r="G8" s="1555"/>
    </row>
  </sheetData>
  <mergeCells count="2">
    <mergeCell ref="A1:F1"/>
    <mergeCell ref="A8:G8"/>
  </mergeCells>
  <pageMargins left="0.7" right="0.7" top="0.75" bottom="0.75" header="0.3" footer="0.3"/>
  <pageSetup orientation="portrait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workbookViewId="0">
      <selection sqref="A1:G1"/>
    </sheetView>
  </sheetViews>
  <sheetFormatPr defaultRowHeight="15"/>
  <cols>
    <col min="1" max="1" width="26.28515625" style="530" customWidth="1"/>
    <col min="2" max="5" width="9.140625" style="530" customWidth="1"/>
    <col min="6" max="16384" width="9.140625" style="530"/>
  </cols>
  <sheetData>
    <row r="1" spans="1:7">
      <c r="A1" s="1497" t="s">
        <v>704</v>
      </c>
      <c r="B1" s="1497"/>
      <c r="C1" s="1497"/>
      <c r="D1" s="1497"/>
      <c r="E1" s="1497"/>
      <c r="F1" s="1497"/>
      <c r="G1" s="1497"/>
    </row>
    <row r="2" spans="1:7">
      <c r="A2" s="786"/>
      <c r="B2" s="776">
        <v>2015</v>
      </c>
      <c r="C2" s="776">
        <v>2016</v>
      </c>
      <c r="D2" s="776">
        <v>2017</v>
      </c>
      <c r="E2" s="776">
        <v>2018</v>
      </c>
      <c r="F2" s="776">
        <v>2019</v>
      </c>
      <c r="G2" s="776">
        <v>2020</v>
      </c>
    </row>
    <row r="3" spans="1:7">
      <c r="A3" s="604" t="s">
        <v>705</v>
      </c>
      <c r="B3" s="617">
        <v>299.78304726000056</v>
      </c>
      <c r="C3" s="617">
        <v>401.81294137999953</v>
      </c>
      <c r="D3" s="617">
        <v>414.71999999999997</v>
      </c>
      <c r="E3" s="617">
        <v>242.31525499999995</v>
      </c>
      <c r="F3" s="617">
        <v>231.21146799999991</v>
      </c>
      <c r="G3" s="617">
        <v>233.01461500000002</v>
      </c>
    </row>
    <row r="4" spans="1:7">
      <c r="A4" s="604" t="s">
        <v>647</v>
      </c>
      <c r="B4" s="604"/>
      <c r="C4" s="604"/>
      <c r="D4" s="617">
        <v>412.82888923000007</v>
      </c>
      <c r="E4" s="617">
        <v>351.22780024512736</v>
      </c>
      <c r="F4" s="787">
        <v>373.85512263069739</v>
      </c>
      <c r="G4" s="787">
        <v>396.40748632028357</v>
      </c>
    </row>
    <row r="5" spans="1:7">
      <c r="A5" s="788" t="s">
        <v>706</v>
      </c>
      <c r="B5" s="788"/>
      <c r="C5" s="788"/>
      <c r="D5" s="789">
        <f>D3-D4</f>
        <v>1.8911107699998979</v>
      </c>
      <c r="E5" s="789">
        <f t="shared" ref="E5:G5" si="0">E3-E4</f>
        <v>-108.9125452451274</v>
      </c>
      <c r="F5" s="789">
        <f t="shared" si="0"/>
        <v>-142.64365463069748</v>
      </c>
      <c r="G5" s="789">
        <f t="shared" si="0"/>
        <v>-163.39287132028355</v>
      </c>
    </row>
    <row r="6" spans="1:7">
      <c r="A6" s="596" t="s">
        <v>707</v>
      </c>
      <c r="B6" s="790"/>
      <c r="C6" s="790"/>
      <c r="D6" s="790"/>
      <c r="E6" s="790"/>
      <c r="F6" s="1556" t="s">
        <v>607</v>
      </c>
      <c r="G6" s="1556"/>
    </row>
    <row r="7" spans="1:7">
      <c r="A7" s="604"/>
      <c r="B7" s="604"/>
      <c r="C7" s="604"/>
      <c r="D7" s="604"/>
      <c r="E7" s="604"/>
      <c r="F7" s="604"/>
      <c r="G7" s="604"/>
    </row>
    <row r="8" spans="1:7">
      <c r="A8" s="604"/>
      <c r="B8" s="604"/>
      <c r="C8" s="604"/>
      <c r="D8" s="604"/>
      <c r="E8" s="604"/>
      <c r="F8" s="604"/>
      <c r="G8" s="604"/>
    </row>
    <row r="9" spans="1:7">
      <c r="A9" s="604"/>
      <c r="B9" s="604"/>
      <c r="C9" s="604"/>
      <c r="D9" s="604"/>
      <c r="E9" s="604"/>
      <c r="F9" s="604"/>
      <c r="G9" s="604"/>
    </row>
    <row r="10" spans="1:7">
      <c r="A10" s="604"/>
      <c r="B10" s="604"/>
      <c r="C10" s="604"/>
      <c r="D10" s="604"/>
      <c r="E10" s="604"/>
      <c r="F10" s="604"/>
      <c r="G10" s="604"/>
    </row>
    <row r="11" spans="1:7">
      <c r="A11" s="604"/>
      <c r="B11" s="604"/>
      <c r="C11" s="604"/>
      <c r="D11" s="604"/>
      <c r="E11" s="604"/>
      <c r="F11" s="604"/>
      <c r="G11" s="604"/>
    </row>
    <row r="12" spans="1:7">
      <c r="A12" s="604"/>
      <c r="B12" s="604"/>
      <c r="C12" s="604"/>
      <c r="D12" s="604"/>
      <c r="E12" s="604"/>
      <c r="F12" s="604"/>
      <c r="G12" s="604"/>
    </row>
    <row r="13" spans="1:7">
      <c r="A13" s="604"/>
      <c r="B13" s="604"/>
      <c r="C13" s="604"/>
      <c r="D13" s="604"/>
      <c r="E13" s="604"/>
      <c r="F13" s="604"/>
      <c r="G13" s="604"/>
    </row>
    <row r="14" spans="1:7">
      <c r="A14" s="604"/>
      <c r="B14" s="604"/>
      <c r="C14" s="604"/>
      <c r="D14" s="604"/>
      <c r="E14" s="604"/>
      <c r="F14" s="604"/>
      <c r="G14" s="604"/>
    </row>
    <row r="15" spans="1:7">
      <c r="A15" s="604"/>
      <c r="B15" s="604"/>
      <c r="C15" s="604"/>
      <c r="D15" s="604"/>
      <c r="E15" s="604"/>
      <c r="F15" s="604"/>
      <c r="G15" s="604"/>
    </row>
    <row r="16" spans="1:7">
      <c r="A16" s="599"/>
      <c r="B16" s="599"/>
      <c r="C16" s="599"/>
      <c r="D16" s="599"/>
      <c r="E16" s="599"/>
      <c r="F16" s="599"/>
      <c r="G16" s="599"/>
    </row>
    <row r="17" spans="1:7">
      <c r="A17" s="599"/>
      <c r="B17" s="599"/>
      <c r="C17" s="599"/>
      <c r="D17" s="599"/>
      <c r="E17" s="599"/>
      <c r="F17" s="599"/>
      <c r="G17" s="599"/>
    </row>
    <row r="18" spans="1:7">
      <c r="A18" s="599"/>
      <c r="B18" s="599"/>
      <c r="C18" s="599"/>
      <c r="D18" s="599"/>
      <c r="E18" s="599"/>
      <c r="F18" s="599"/>
      <c r="G18" s="599"/>
    </row>
    <row r="19" spans="1:7">
      <c r="A19" s="599"/>
      <c r="B19" s="599"/>
      <c r="C19" s="599"/>
      <c r="D19" s="599"/>
      <c r="E19" s="599"/>
      <c r="F19" s="599"/>
      <c r="G19" s="599"/>
    </row>
    <row r="20" spans="1:7">
      <c r="A20" s="599"/>
      <c r="B20" s="599"/>
      <c r="C20" s="599"/>
      <c r="D20" s="599"/>
      <c r="E20" s="599"/>
      <c r="F20" s="599"/>
      <c r="G20" s="599"/>
    </row>
    <row r="21" spans="1:7">
      <c r="A21" s="599"/>
      <c r="B21" s="599"/>
      <c r="C21" s="599"/>
      <c r="D21" s="599"/>
      <c r="E21" s="599"/>
      <c r="F21" s="599"/>
      <c r="G21" s="599"/>
    </row>
    <row r="22" spans="1:7">
      <c r="A22" s="599"/>
      <c r="B22" s="599"/>
      <c r="C22" s="599"/>
      <c r="D22" s="599"/>
      <c r="E22" s="599"/>
      <c r="F22" s="599"/>
      <c r="G22" s="599"/>
    </row>
    <row r="23" spans="1:7">
      <c r="A23" s="599"/>
      <c r="B23" s="599"/>
      <c r="C23" s="599"/>
      <c r="D23" s="599"/>
      <c r="E23" s="599"/>
      <c r="F23" s="599"/>
      <c r="G23" s="599"/>
    </row>
  </sheetData>
  <mergeCells count="2">
    <mergeCell ref="A1:G1"/>
    <mergeCell ref="F6:G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11"/>
  <sheetViews>
    <sheetView showGridLines="0" workbookViewId="0">
      <selection sqref="A1:E1"/>
    </sheetView>
  </sheetViews>
  <sheetFormatPr defaultRowHeight="12.75"/>
  <cols>
    <col min="1" max="1" width="57.140625" customWidth="1"/>
  </cols>
  <sheetData>
    <row r="1" spans="1:7" ht="15.75" customHeight="1">
      <c r="A1" s="1480" t="s">
        <v>164</v>
      </c>
      <c r="B1" s="1480"/>
      <c r="C1" s="1480"/>
      <c r="D1" s="1480"/>
      <c r="E1" s="1480"/>
      <c r="F1" s="74"/>
    </row>
    <row r="2" spans="1:7">
      <c r="A2" s="15"/>
      <c r="B2" s="21">
        <v>2015</v>
      </c>
      <c r="C2" s="21">
        <v>2016</v>
      </c>
      <c r="D2" s="21">
        <v>2017</v>
      </c>
      <c r="E2" s="21">
        <v>2018</v>
      </c>
      <c r="F2" s="21">
        <v>2019</v>
      </c>
      <c r="G2" s="21">
        <v>2020</v>
      </c>
    </row>
    <row r="3" spans="1:7" ht="15" customHeight="1">
      <c r="A3" s="108" t="s">
        <v>64</v>
      </c>
      <c r="B3" s="98">
        <v>-2.7445806862164637</v>
      </c>
      <c r="C3" s="98">
        <v>-2.1911520941153646</v>
      </c>
      <c r="D3" s="98">
        <v>-1.63</v>
      </c>
      <c r="E3" s="98">
        <v>-0.82999969762914805</v>
      </c>
      <c r="F3" s="98">
        <v>-0.32484167369140921</v>
      </c>
      <c r="G3" s="98">
        <v>-0.2703050705834002</v>
      </c>
    </row>
    <row r="4" spans="1:7" ht="15" customHeight="1">
      <c r="A4" s="108" t="s">
        <v>65</v>
      </c>
      <c r="B4" s="98">
        <v>-0.29713538011278506</v>
      </c>
      <c r="C4" s="98">
        <v>-8.260049010237408E-2</v>
      </c>
      <c r="D4" s="98">
        <v>6.0541514146294481E-2</v>
      </c>
      <c r="E4" s="98">
        <v>0.3008132054930735</v>
      </c>
      <c r="F4" s="98">
        <v>0.53012447413590291</v>
      </c>
      <c r="G4" s="98">
        <v>0.52742428767737259</v>
      </c>
    </row>
    <row r="5" spans="1:7" ht="15" customHeight="1">
      <c r="A5" s="108" t="s">
        <v>66</v>
      </c>
      <c r="B5" s="98">
        <v>0</v>
      </c>
      <c r="C5" s="98">
        <v>-4.3429924482821979E-2</v>
      </c>
      <c r="D5" s="98">
        <v>0</v>
      </c>
      <c r="E5" s="98">
        <v>0</v>
      </c>
      <c r="F5" s="98">
        <v>0</v>
      </c>
      <c r="G5" s="98">
        <v>0</v>
      </c>
    </row>
    <row r="6" spans="1:7" ht="15" customHeight="1">
      <c r="A6" s="36" t="s">
        <v>8</v>
      </c>
      <c r="B6" s="57">
        <f>B3-B4-B5</f>
        <v>-2.4474453061036785</v>
      </c>
      <c r="C6" s="57">
        <f t="shared" ref="C6:G6" si="0">C3-C4-C5</f>
        <v>-2.0651216795301686</v>
      </c>
      <c r="D6" s="57">
        <f t="shared" si="0"/>
        <v>-1.6905415141462943</v>
      </c>
      <c r="E6" s="57">
        <f t="shared" si="0"/>
        <v>-1.1308129031222216</v>
      </c>
      <c r="F6" s="57">
        <f t="shared" si="0"/>
        <v>-0.85496614782731206</v>
      </c>
      <c r="G6" s="57">
        <f t="shared" si="0"/>
        <v>-0.79772935826077274</v>
      </c>
    </row>
    <row r="7" spans="1:7" ht="15" customHeight="1">
      <c r="A7" s="295" t="s">
        <v>67</v>
      </c>
      <c r="B7" s="296">
        <v>-0.1</v>
      </c>
      <c r="C7" s="296">
        <f>C6-B6</f>
        <v>0.38232362657350993</v>
      </c>
      <c r="D7" s="297">
        <f t="shared" ref="D7:G7" si="1">D6-C6</f>
        <v>0.37458016538387429</v>
      </c>
      <c r="E7" s="296">
        <f t="shared" si="1"/>
        <v>0.55972861102407268</v>
      </c>
      <c r="F7" s="297">
        <f t="shared" si="1"/>
        <v>0.27584675529490954</v>
      </c>
      <c r="G7" s="296">
        <f t="shared" si="1"/>
        <v>5.7236789566539326E-2</v>
      </c>
    </row>
    <row r="8" spans="1:7" s="74" customFormat="1">
      <c r="A8" s="298" t="s">
        <v>200</v>
      </c>
      <c r="B8" s="275">
        <v>-2.4474453061036785</v>
      </c>
      <c r="C8" s="275">
        <v>-2.0651216795301686</v>
      </c>
      <c r="D8" s="300">
        <v>-1.6864954172610547</v>
      </c>
      <c r="E8" s="275">
        <v>-1.1308129031222216</v>
      </c>
      <c r="F8" s="300">
        <v>-0.63012461205133019</v>
      </c>
      <c r="G8" s="275">
        <v>-0.52742428767737259</v>
      </c>
    </row>
    <row r="9" spans="1:7" s="74" customFormat="1">
      <c r="A9" s="299" t="s">
        <v>201</v>
      </c>
      <c r="B9" s="294">
        <v>-5.0813522331976113E-2</v>
      </c>
      <c r="C9" s="294">
        <v>0.38232362657350993</v>
      </c>
      <c r="D9" s="301">
        <v>0.37862626226911389</v>
      </c>
      <c r="E9" s="294">
        <v>0.55568251413883307</v>
      </c>
      <c r="F9" s="301">
        <v>0.50068829107089141</v>
      </c>
      <c r="G9" s="294">
        <v>0.1027003243739576</v>
      </c>
    </row>
    <row r="10" spans="1:7">
      <c r="A10" s="106" t="s">
        <v>68</v>
      </c>
      <c r="B10" s="73" t="s">
        <v>157</v>
      </c>
      <c r="C10" s="109">
        <v>0.25</v>
      </c>
      <c r="D10" s="109">
        <v>0.5</v>
      </c>
      <c r="E10" s="109">
        <v>0.5</v>
      </c>
      <c r="F10" s="109">
        <v>0.5</v>
      </c>
      <c r="G10" s="73" t="s">
        <v>113</v>
      </c>
    </row>
    <row r="11" spans="1:7">
      <c r="G11" s="66" t="s">
        <v>6</v>
      </c>
    </row>
  </sheetData>
  <mergeCells count="1">
    <mergeCell ref="A1:E1"/>
  </mergeCells>
  <pageMargins left="0.7" right="0.7" top="0.75" bottom="0.75" header="0.3" footer="0.3"/>
  <pageSetup paperSize="9" scale="53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showGridLines="0" workbookViewId="0">
      <selection sqref="A1:F1"/>
    </sheetView>
  </sheetViews>
  <sheetFormatPr defaultRowHeight="15"/>
  <cols>
    <col min="1" max="1" width="32.140625" style="530" customWidth="1"/>
    <col min="2" max="2" width="21.7109375" style="530" customWidth="1"/>
    <col min="3" max="5" width="10.7109375" style="530" customWidth="1"/>
    <col min="6" max="16384" width="9.140625" style="530"/>
  </cols>
  <sheetData>
    <row r="1" spans="1:6">
      <c r="A1" s="1489" t="s">
        <v>708</v>
      </c>
      <c r="B1" s="1489"/>
      <c r="C1" s="1489"/>
      <c r="D1" s="1489"/>
      <c r="E1" s="1489"/>
      <c r="F1" s="1489"/>
    </row>
    <row r="2" spans="1:6" ht="15" customHeight="1">
      <c r="A2" s="791"/>
      <c r="B2" s="791" t="s">
        <v>709</v>
      </c>
      <c r="C2" s="792" t="s">
        <v>710</v>
      </c>
      <c r="D2" s="793" t="s">
        <v>711</v>
      </c>
      <c r="E2" s="792" t="s">
        <v>712</v>
      </c>
      <c r="F2" s="791" t="s">
        <v>713</v>
      </c>
    </row>
    <row r="3" spans="1:6">
      <c r="A3" s="794" t="s">
        <v>714</v>
      </c>
      <c r="B3" s="795"/>
      <c r="C3" s="796">
        <f>SUM(C4:C7)</f>
        <v>-171.91283981340274</v>
      </c>
      <c r="D3" s="797">
        <f>SUM(D4:D7)</f>
        <v>146.74948113181591</v>
      </c>
      <c r="E3" s="796">
        <f>SUM(E4:E7)</f>
        <v>-25.163358681586843</v>
      </c>
      <c r="F3" s="798">
        <v>-2.9744074198540745E-2</v>
      </c>
    </row>
    <row r="4" spans="1:6">
      <c r="A4" s="618" t="s">
        <v>15</v>
      </c>
      <c r="B4" s="799" t="s">
        <v>715</v>
      </c>
      <c r="C4" s="800">
        <v>-41.215513686461257</v>
      </c>
      <c r="D4" s="801">
        <v>-129.58500000000001</v>
      </c>
      <c r="E4" s="800">
        <f>C4+D4</f>
        <v>-170.80051368646127</v>
      </c>
      <c r="F4" s="802">
        <v>-0.20189288785031961</v>
      </c>
    </row>
    <row r="5" spans="1:6">
      <c r="A5" s="618" t="s">
        <v>31</v>
      </c>
      <c r="B5" s="799" t="s">
        <v>716</v>
      </c>
      <c r="C5" s="800">
        <v>97.865409045129098</v>
      </c>
      <c r="D5" s="801">
        <v>88.714617338608889</v>
      </c>
      <c r="E5" s="800">
        <f t="shared" ref="E5:E7" si="0">C5+D5</f>
        <v>186.58002638373799</v>
      </c>
      <c r="F5" s="802">
        <v>0.22054488905666317</v>
      </c>
    </row>
    <row r="6" spans="1:6">
      <c r="A6" s="618" t="s">
        <v>445</v>
      </c>
      <c r="B6" s="799" t="s">
        <v>717</v>
      </c>
      <c r="C6" s="800">
        <v>-70</v>
      </c>
      <c r="D6" s="801">
        <v>155.93833772320701</v>
      </c>
      <c r="E6" s="800">
        <f t="shared" si="0"/>
        <v>85.938337723207013</v>
      </c>
      <c r="F6" s="802">
        <v>0.10158247657172953</v>
      </c>
    </row>
    <row r="7" spans="1:6">
      <c r="A7" s="618" t="s">
        <v>449</v>
      </c>
      <c r="B7" s="799" t="s">
        <v>718</v>
      </c>
      <c r="C7" s="800">
        <v>-158.56273517207057</v>
      </c>
      <c r="D7" s="801">
        <v>31.681526070000004</v>
      </c>
      <c r="E7" s="800">
        <f t="shared" si="0"/>
        <v>-126.88120910207057</v>
      </c>
      <c r="F7" s="802">
        <v>-0.14997855197661389</v>
      </c>
    </row>
    <row r="8" spans="1:6">
      <c r="A8" s="794" t="s">
        <v>719</v>
      </c>
      <c r="B8" s="795"/>
      <c r="C8" s="796">
        <f>SUM(C9:C16)</f>
        <v>-116.20835982877549</v>
      </c>
      <c r="D8" s="797">
        <f>SUM(D9:D16)</f>
        <v>146.74935659181588</v>
      </c>
      <c r="E8" s="796">
        <f>SUM(E9:E16)</f>
        <v>30.540996763040425</v>
      </c>
      <c r="F8" s="798">
        <v>3.6100652751176424E-2</v>
      </c>
    </row>
    <row r="9" spans="1:6">
      <c r="A9" s="618" t="s">
        <v>41</v>
      </c>
      <c r="B9" s="799" t="s">
        <v>720</v>
      </c>
      <c r="C9" s="800">
        <v>-1.273922614718539</v>
      </c>
      <c r="D9" s="801">
        <v>37.310652947299999</v>
      </c>
      <c r="E9" s="800">
        <f>C9+D9</f>
        <v>36.036730332581463</v>
      </c>
      <c r="F9" s="802">
        <v>4.2596824789905688E-2</v>
      </c>
    </row>
    <row r="10" spans="1:6">
      <c r="A10" s="618" t="s">
        <v>42</v>
      </c>
      <c r="B10" s="799" t="s">
        <v>721</v>
      </c>
      <c r="C10" s="800">
        <v>-247.51319957663765</v>
      </c>
      <c r="D10" s="801">
        <v>30.946419156331476</v>
      </c>
      <c r="E10" s="800">
        <f t="shared" ref="E10:E16" si="1">C10+D10</f>
        <v>-216.56678042030617</v>
      </c>
      <c r="F10" s="802">
        <v>-0.25599040522655903</v>
      </c>
    </row>
    <row r="11" spans="1:6">
      <c r="A11" s="618" t="s">
        <v>722</v>
      </c>
      <c r="B11" s="799" t="s">
        <v>723</v>
      </c>
      <c r="C11" s="800">
        <v>-30.137509307966507</v>
      </c>
      <c r="D11" s="801">
        <v>0</v>
      </c>
      <c r="E11" s="800">
        <f t="shared" si="1"/>
        <v>-30.137509307966507</v>
      </c>
      <c r="F11" s="802">
        <v>-3.5623714797314132E-2</v>
      </c>
    </row>
    <row r="12" spans="1:6">
      <c r="A12" s="618" t="s">
        <v>724</v>
      </c>
      <c r="B12" s="799" t="s">
        <v>725</v>
      </c>
      <c r="C12" s="800">
        <v>33.906706365448144</v>
      </c>
      <c r="D12" s="801">
        <v>-35.846000000000004</v>
      </c>
      <c r="E12" s="800">
        <f t="shared" si="1"/>
        <v>-1.9392936345518592</v>
      </c>
      <c r="F12" s="802">
        <v>-2.2923209293629443E-3</v>
      </c>
    </row>
    <row r="13" spans="1:6">
      <c r="A13" s="618" t="s">
        <v>726</v>
      </c>
      <c r="B13" s="799" t="s">
        <v>727</v>
      </c>
      <c r="C13" s="800">
        <v>-15.6628021428513</v>
      </c>
      <c r="D13" s="801">
        <v>100.885657413207</v>
      </c>
      <c r="E13" s="800">
        <f>C13+D13</f>
        <v>85.222855270355694</v>
      </c>
      <c r="F13" s="802">
        <v>0.10073674832715557</v>
      </c>
    </row>
    <row r="14" spans="1:6">
      <c r="A14" s="618" t="s">
        <v>101</v>
      </c>
      <c r="B14" s="799" t="s">
        <v>728</v>
      </c>
      <c r="C14" s="800">
        <v>67.999773975597577</v>
      </c>
      <c r="D14" s="801">
        <v>15.423328019999985</v>
      </c>
      <c r="E14" s="800">
        <f t="shared" si="1"/>
        <v>83.423101995597563</v>
      </c>
      <c r="F14" s="802">
        <v>9.8609369561035443E-2</v>
      </c>
    </row>
    <row r="15" spans="1:6">
      <c r="A15" s="618" t="s">
        <v>729</v>
      </c>
      <c r="B15" s="799" t="s">
        <v>730</v>
      </c>
      <c r="C15" s="800">
        <v>-50.342110023452875</v>
      </c>
      <c r="D15" s="801">
        <v>-19.505700945022561</v>
      </c>
      <c r="E15" s="800">
        <f t="shared" si="1"/>
        <v>-69.847810968475443</v>
      </c>
      <c r="F15" s="802">
        <v>-8.2562844584503914E-2</v>
      </c>
    </row>
    <row r="16" spans="1:6">
      <c r="A16" s="618" t="s">
        <v>38</v>
      </c>
      <c r="B16" s="799" t="s">
        <v>731</v>
      </c>
      <c r="C16" s="800">
        <v>126.81470349580567</v>
      </c>
      <c r="D16" s="801">
        <v>17.535</v>
      </c>
      <c r="E16" s="800">
        <f t="shared" si="1"/>
        <v>144.34970349580567</v>
      </c>
      <c r="F16" s="802">
        <v>0.17062699561081973</v>
      </c>
    </row>
    <row r="17" spans="1:6">
      <c r="A17" s="803" t="s">
        <v>476</v>
      </c>
      <c r="B17" s="804"/>
      <c r="C17" s="805">
        <f>C3-C8</f>
        <v>-55.704479984627255</v>
      </c>
      <c r="D17" s="806">
        <f t="shared" ref="D17:E17" si="2">D3-D8</f>
        <v>1.2454000003003785E-4</v>
      </c>
      <c r="E17" s="805">
        <f t="shared" si="2"/>
        <v>-55.704355444627268</v>
      </c>
      <c r="F17" s="807">
        <v>-6.5844726949717172E-2</v>
      </c>
    </row>
    <row r="18" spans="1:6">
      <c r="A18" s="808"/>
      <c r="C18" s="809"/>
      <c r="D18" s="809"/>
      <c r="E18" s="809"/>
      <c r="F18" s="809" t="s">
        <v>3</v>
      </c>
    </row>
    <row r="20" spans="1:6">
      <c r="A20" s="599"/>
      <c r="B20" s="599"/>
      <c r="C20" s="599"/>
      <c r="D20" s="599"/>
      <c r="E20" s="599"/>
      <c r="F20" s="599"/>
    </row>
    <row r="21" spans="1:6">
      <c r="A21" s="599"/>
      <c r="B21" s="599"/>
      <c r="C21" s="599"/>
      <c r="D21" s="599"/>
      <c r="E21" s="599"/>
      <c r="F21" s="599"/>
    </row>
    <row r="22" spans="1:6" ht="15" customHeight="1">
      <c r="A22" s="599"/>
      <c r="B22" s="599"/>
      <c r="C22" s="599"/>
      <c r="D22" s="599"/>
      <c r="E22" s="599"/>
      <c r="F22" s="599"/>
    </row>
    <row r="23" spans="1:6">
      <c r="A23" s="599"/>
      <c r="B23" s="599"/>
      <c r="C23" s="599"/>
      <c r="D23" s="599"/>
      <c r="E23" s="599"/>
      <c r="F23" s="599"/>
    </row>
    <row r="24" spans="1:6">
      <c r="A24" s="599"/>
      <c r="B24" s="599"/>
      <c r="C24" s="599"/>
      <c r="D24" s="599"/>
      <c r="E24" s="599"/>
      <c r="F24" s="599"/>
    </row>
    <row r="25" spans="1:6">
      <c r="A25" s="599"/>
      <c r="B25" s="599"/>
      <c r="C25" s="599"/>
      <c r="D25" s="599"/>
      <c r="E25" s="599"/>
      <c r="F25" s="599"/>
    </row>
    <row r="26" spans="1:6">
      <c r="A26" s="599"/>
      <c r="B26" s="599"/>
      <c r="C26" s="599"/>
      <c r="D26" s="599"/>
      <c r="E26" s="599"/>
      <c r="F26" s="599"/>
    </row>
    <row r="27" spans="1:6">
      <c r="A27" s="599"/>
      <c r="B27" s="599"/>
      <c r="C27" s="599"/>
      <c r="D27" s="599"/>
      <c r="E27" s="599"/>
      <c r="F27" s="599"/>
    </row>
    <row r="28" spans="1:6">
      <c r="A28" s="599"/>
      <c r="B28" s="599"/>
      <c r="C28" s="599"/>
      <c r="D28" s="599"/>
      <c r="E28" s="599"/>
      <c r="F28" s="599"/>
    </row>
    <row r="29" spans="1:6">
      <c r="A29" s="599"/>
      <c r="B29" s="599"/>
      <c r="C29" s="599"/>
      <c r="D29" s="599"/>
      <c r="E29" s="599"/>
      <c r="F29" s="599"/>
    </row>
    <row r="30" spans="1:6" ht="15" customHeight="1">
      <c r="A30" s="599"/>
      <c r="B30" s="599"/>
      <c r="C30" s="599"/>
      <c r="D30" s="599"/>
      <c r="E30" s="599"/>
      <c r="F30" s="599"/>
    </row>
    <row r="31" spans="1:6">
      <c r="A31" s="599"/>
      <c r="B31" s="599"/>
      <c r="C31" s="599"/>
      <c r="D31" s="599"/>
      <c r="E31" s="599"/>
      <c r="F31" s="599"/>
    </row>
    <row r="50" ht="15" customHeight="1"/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workbookViewId="0">
      <selection sqref="A1:F1"/>
    </sheetView>
  </sheetViews>
  <sheetFormatPr defaultRowHeight="15"/>
  <cols>
    <col min="1" max="1" width="36.5703125" style="530" customWidth="1"/>
    <col min="2" max="2" width="9.42578125" style="530" customWidth="1"/>
    <col min="3" max="3" width="9.140625" style="530" customWidth="1"/>
    <col min="4" max="6" width="9.28515625" style="530" customWidth="1"/>
    <col min="7" max="16384" width="9.140625" style="530"/>
  </cols>
  <sheetData>
    <row r="1" spans="1:6">
      <c r="A1" s="1489" t="s">
        <v>732</v>
      </c>
      <c r="B1" s="1489"/>
      <c r="C1" s="1489"/>
      <c r="D1" s="1489"/>
      <c r="E1" s="1489"/>
      <c r="F1" s="1489"/>
    </row>
    <row r="2" spans="1:6">
      <c r="A2" s="810"/>
      <c r="B2" s="810" t="s">
        <v>733</v>
      </c>
      <c r="C2" s="811">
        <v>2017</v>
      </c>
      <c r="D2" s="811">
        <f t="shared" ref="D2:F2" si="0">C2+1</f>
        <v>2018</v>
      </c>
      <c r="E2" s="811">
        <f t="shared" si="0"/>
        <v>2019</v>
      </c>
      <c r="F2" s="811">
        <f t="shared" si="0"/>
        <v>2020</v>
      </c>
    </row>
    <row r="3" spans="1:6">
      <c r="A3" s="812" t="s">
        <v>734</v>
      </c>
      <c r="B3" s="813" t="s">
        <v>735</v>
      </c>
      <c r="C3" s="814">
        <v>-14</v>
      </c>
      <c r="D3" s="814">
        <v>0</v>
      </c>
      <c r="E3" s="814">
        <v>0</v>
      </c>
      <c r="F3" s="814">
        <v>0</v>
      </c>
    </row>
    <row r="4" spans="1:6">
      <c r="A4" s="815" t="s">
        <v>736</v>
      </c>
      <c r="B4" s="813" t="s">
        <v>737</v>
      </c>
      <c r="C4" s="814">
        <v>92</v>
      </c>
      <c r="D4" s="814">
        <v>0</v>
      </c>
      <c r="E4" s="814">
        <v>0</v>
      </c>
      <c r="F4" s="814">
        <v>0</v>
      </c>
    </row>
    <row r="5" spans="1:6">
      <c r="A5" s="815" t="s">
        <v>736</v>
      </c>
      <c r="B5" s="813" t="s">
        <v>738</v>
      </c>
      <c r="C5" s="814">
        <v>-92</v>
      </c>
      <c r="D5" s="814">
        <v>0</v>
      </c>
      <c r="E5" s="814">
        <v>0</v>
      </c>
      <c r="F5" s="814">
        <v>0</v>
      </c>
    </row>
    <row r="6" spans="1:6">
      <c r="A6" s="812" t="s">
        <v>739</v>
      </c>
      <c r="B6" s="813" t="s">
        <v>740</v>
      </c>
      <c r="C6" s="814">
        <v>-5.7880000000000003</v>
      </c>
      <c r="D6" s="814">
        <v>-5.7880000000000003</v>
      </c>
      <c r="E6" s="814">
        <v>-5.7880000000000003</v>
      </c>
      <c r="F6" s="814">
        <v>-5.7880000000000003</v>
      </c>
    </row>
    <row r="7" spans="1:6">
      <c r="A7" s="816" t="s">
        <v>741</v>
      </c>
      <c r="B7" s="817" t="s">
        <v>740</v>
      </c>
      <c r="C7" s="570">
        <v>-91</v>
      </c>
      <c r="D7" s="570">
        <v>0</v>
      </c>
      <c r="E7" s="570">
        <v>0</v>
      </c>
      <c r="F7" s="570">
        <v>0</v>
      </c>
    </row>
    <row r="8" spans="1:6">
      <c r="A8" s="818" t="s">
        <v>742</v>
      </c>
      <c r="B8" s="599"/>
      <c r="C8" s="796">
        <f>SUM(C3:C7)</f>
        <v>-110.788</v>
      </c>
      <c r="D8" s="796">
        <f>SUM(D3:D7)</f>
        <v>-5.7880000000000003</v>
      </c>
      <c r="E8" s="796">
        <f>SUM(E3:E7)</f>
        <v>-5.7880000000000003</v>
      </c>
      <c r="F8" s="796">
        <f>SUM(F3:F7)</f>
        <v>-5.7880000000000003</v>
      </c>
    </row>
    <row r="9" spans="1:6">
      <c r="A9" s="599"/>
      <c r="B9" s="599"/>
      <c r="C9" s="819"/>
      <c r="D9" s="819"/>
      <c r="E9" s="819"/>
      <c r="F9" s="819"/>
    </row>
    <row r="10" spans="1:6">
      <c r="A10" s="1489" t="s">
        <v>743</v>
      </c>
      <c r="B10" s="1489"/>
      <c r="C10" s="1489"/>
      <c r="D10" s="1489"/>
      <c r="E10" s="1489"/>
      <c r="F10" s="1489"/>
    </row>
    <row r="11" spans="1:6">
      <c r="A11" s="820"/>
      <c r="B11" s="821" t="s">
        <v>709</v>
      </c>
      <c r="C11" s="822">
        <f>C2</f>
        <v>2017</v>
      </c>
      <c r="D11" s="822">
        <f>D2</f>
        <v>2018</v>
      </c>
      <c r="E11" s="822">
        <f>E2</f>
        <v>2019</v>
      </c>
      <c r="F11" s="822">
        <f>F2</f>
        <v>2020</v>
      </c>
    </row>
    <row r="12" spans="1:6">
      <c r="A12" s="812" t="s">
        <v>744</v>
      </c>
      <c r="B12" s="813" t="s">
        <v>735</v>
      </c>
      <c r="C12" s="823">
        <v>-1.644423178518277E-2</v>
      </c>
      <c r="D12" s="823" t="s">
        <v>1</v>
      </c>
      <c r="E12" s="823" t="s">
        <v>1</v>
      </c>
      <c r="F12" s="823" t="s">
        <v>1</v>
      </c>
    </row>
    <row r="13" spans="1:6">
      <c r="A13" s="815" t="s">
        <v>736</v>
      </c>
      <c r="B13" s="813" t="s">
        <v>737</v>
      </c>
      <c r="C13" s="823">
        <v>0.10806209458834391</v>
      </c>
      <c r="D13" s="823" t="s">
        <v>1</v>
      </c>
      <c r="E13" s="823" t="s">
        <v>1</v>
      </c>
      <c r="F13" s="823" t="s">
        <v>1</v>
      </c>
    </row>
    <row r="14" spans="1:6">
      <c r="A14" s="815" t="s">
        <v>736</v>
      </c>
      <c r="B14" s="813" t="s">
        <v>738</v>
      </c>
      <c r="C14" s="823">
        <v>-0.10806209458834391</v>
      </c>
      <c r="D14" s="823" t="s">
        <v>1</v>
      </c>
      <c r="E14" s="823" t="s">
        <v>1</v>
      </c>
      <c r="F14" s="823" t="s">
        <v>1</v>
      </c>
    </row>
    <row r="15" spans="1:6">
      <c r="A15" s="812" t="s">
        <v>739</v>
      </c>
      <c r="B15" s="813" t="s">
        <v>740</v>
      </c>
      <c r="C15" s="823">
        <v>-6.7985152551884188E-3</v>
      </c>
      <c r="D15" s="823">
        <v>-6.4213410442840908E-3</v>
      </c>
      <c r="E15" s="823">
        <v>-6.0258933398288934E-3</v>
      </c>
      <c r="F15" s="823">
        <v>-5.6777637860837612E-3</v>
      </c>
    </row>
    <row r="16" spans="1:6">
      <c r="A16" s="812" t="str">
        <f>A7</f>
        <v>Cyklotrónové centrum</v>
      </c>
      <c r="B16" s="815" t="str">
        <f>B7</f>
        <v>D.9 PAY</v>
      </c>
      <c r="C16" s="823">
        <v>-0.106887506603688</v>
      </c>
      <c r="D16" s="823" t="s">
        <v>1</v>
      </c>
      <c r="E16" s="823" t="s">
        <v>1</v>
      </c>
      <c r="F16" s="823" t="s">
        <v>1</v>
      </c>
    </row>
    <row r="17" spans="1:6">
      <c r="A17" s="824" t="s">
        <v>745</v>
      </c>
      <c r="B17" s="825"/>
      <c r="C17" s="826">
        <f>SUM(C12:C16)</f>
        <v>-0.13013025364405917</v>
      </c>
      <c r="D17" s="826">
        <f>SUM(D12:D16)</f>
        <v>-6.4213410442840908E-3</v>
      </c>
      <c r="E17" s="826">
        <f>SUM(E12:E16)</f>
        <v>-6.0258933398288934E-3</v>
      </c>
      <c r="F17" s="826">
        <f>SUM(F12:F16)</f>
        <v>-5.6777637860837612E-3</v>
      </c>
    </row>
    <row r="18" spans="1:6">
      <c r="A18" s="827"/>
      <c r="B18" s="828"/>
      <c r="C18" s="828"/>
      <c r="D18" s="828"/>
      <c r="E18" s="1557" t="s">
        <v>3</v>
      </c>
      <c r="F18" s="1557"/>
    </row>
  </sheetData>
  <mergeCells count="3">
    <mergeCell ref="A1:F1"/>
    <mergeCell ref="A10:F10"/>
    <mergeCell ref="E18:F18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showGridLines="0" workbookViewId="0">
      <selection sqref="A1:E1"/>
    </sheetView>
  </sheetViews>
  <sheetFormatPr defaultRowHeight="15"/>
  <cols>
    <col min="1" max="1" width="42.28515625" style="530" customWidth="1"/>
    <col min="2" max="16384" width="9.140625" style="530"/>
  </cols>
  <sheetData>
    <row r="1" spans="1:5" ht="15.75" thickBot="1">
      <c r="A1" s="1558" t="s">
        <v>746</v>
      </c>
      <c r="B1" s="1558"/>
      <c r="C1" s="1558"/>
      <c r="D1" s="1558"/>
      <c r="E1" s="1558"/>
    </row>
    <row r="2" spans="1:5">
      <c r="A2" s="829"/>
      <c r="B2" s="830">
        <v>2017</v>
      </c>
      <c r="C2" s="830">
        <f>B2+1</f>
        <v>2018</v>
      </c>
      <c r="D2" s="830">
        <f t="shared" ref="D2:E2" si="0">C2+1</f>
        <v>2019</v>
      </c>
      <c r="E2" s="830">
        <f t="shared" si="0"/>
        <v>2020</v>
      </c>
    </row>
    <row r="3" spans="1:5">
      <c r="A3" s="831" t="s">
        <v>747</v>
      </c>
      <c r="B3" s="832">
        <f>SUM(B4:B5)</f>
        <v>1.8408395979285386</v>
      </c>
      <c r="C3" s="832">
        <f>SUM(C4:C5)</f>
        <v>2.3439342282800828</v>
      </c>
      <c r="D3" s="832">
        <f>SUM(D4:D5)</f>
        <v>2.4329446734593687</v>
      </c>
      <c r="E3" s="832">
        <f>SUM(E4:E5)</f>
        <v>2.3603319073276836</v>
      </c>
    </row>
    <row r="4" spans="1:5">
      <c r="A4" s="833" t="s">
        <v>748</v>
      </c>
      <c r="B4" s="834">
        <v>1.0263848159102857</v>
      </c>
      <c r="C4" s="834">
        <v>1.5033923233248809</v>
      </c>
      <c r="D4" s="834">
        <v>1.6503960097232304</v>
      </c>
      <c r="E4" s="834">
        <v>1.6208580852296008</v>
      </c>
    </row>
    <row r="5" spans="1:5">
      <c r="A5" s="833" t="s">
        <v>749</v>
      </c>
      <c r="B5" s="834">
        <v>0.81445478201825294</v>
      </c>
      <c r="C5" s="834">
        <v>0.84054190495520176</v>
      </c>
      <c r="D5" s="834">
        <v>0.78254866373613841</v>
      </c>
      <c r="E5" s="834">
        <v>0.73947382209808266</v>
      </c>
    </row>
    <row r="6" spans="1:5">
      <c r="A6" s="831" t="s">
        <v>750</v>
      </c>
      <c r="B6" s="832">
        <f>SUM(B7:B8)</f>
        <v>1.8408395979285359</v>
      </c>
      <c r="C6" s="832">
        <f t="shared" ref="C6:E6" si="1">SUM(C7:C8)</f>
        <v>2.3439342282800801</v>
      </c>
      <c r="D6" s="832">
        <f t="shared" si="1"/>
        <v>2.4329446734593683</v>
      </c>
      <c r="E6" s="832">
        <f t="shared" si="1"/>
        <v>2.3603319073276818</v>
      </c>
    </row>
    <row r="7" spans="1:5">
      <c r="A7" s="833" t="s">
        <v>751</v>
      </c>
      <c r="B7" s="835">
        <v>0.79468190713847708</v>
      </c>
      <c r="C7" s="835">
        <v>1.0121789072347946</v>
      </c>
      <c r="D7" s="835">
        <v>1.0503204428366923</v>
      </c>
      <c r="E7" s="835">
        <v>1.0188466992096648</v>
      </c>
    </row>
    <row r="8" spans="1:5">
      <c r="A8" s="836" t="s">
        <v>752</v>
      </c>
      <c r="B8" s="837">
        <v>1.0461576907900589</v>
      </c>
      <c r="C8" s="837">
        <v>1.3317553210452855</v>
      </c>
      <c r="D8" s="837">
        <v>1.3826242306226759</v>
      </c>
      <c r="E8" s="837">
        <v>1.3414852081180173</v>
      </c>
    </row>
    <row r="9" spans="1:5">
      <c r="A9" s="838" t="s">
        <v>753</v>
      </c>
      <c r="B9" s="839">
        <v>0.31373355525474328</v>
      </c>
      <c r="C9" s="839">
        <v>0.39267357676372444</v>
      </c>
      <c r="D9" s="839">
        <v>0.3929620954410033</v>
      </c>
      <c r="E9" s="839">
        <v>0.36871693834190894</v>
      </c>
    </row>
    <row r="10" spans="1:5">
      <c r="A10" s="840"/>
      <c r="B10" s="841"/>
      <c r="C10" s="841"/>
      <c r="D10" s="1559" t="s">
        <v>607</v>
      </c>
      <c r="E10" s="1559"/>
    </row>
    <row r="13" spans="1:5">
      <c r="B13" s="842"/>
      <c r="C13" s="842"/>
      <c r="D13" s="842"/>
      <c r="E13" s="842"/>
    </row>
  </sheetData>
  <mergeCells count="2">
    <mergeCell ref="A1:E1"/>
    <mergeCell ref="D10:E10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workbookViewId="0">
      <selection sqref="A1:F1"/>
    </sheetView>
  </sheetViews>
  <sheetFormatPr defaultRowHeight="15"/>
  <cols>
    <col min="1" max="1" width="31" style="530" customWidth="1"/>
    <col min="2" max="6" width="8.7109375" style="530" customWidth="1"/>
    <col min="7" max="7" width="10" style="530" customWidth="1"/>
    <col min="8" max="16384" width="9.140625" style="530"/>
  </cols>
  <sheetData>
    <row r="1" spans="1:7">
      <c r="A1" s="1489" t="s">
        <v>754</v>
      </c>
      <c r="B1" s="1489"/>
      <c r="C1" s="1489"/>
      <c r="D1" s="1489"/>
      <c r="E1" s="1489"/>
      <c r="F1" s="1489"/>
      <c r="G1" s="828"/>
    </row>
    <row r="2" spans="1:7" ht="15" customHeight="1">
      <c r="A2" s="791"/>
      <c r="B2" s="1560" t="s">
        <v>410</v>
      </c>
      <c r="C2" s="1562" t="s">
        <v>755</v>
      </c>
      <c r="D2" s="1560" t="s">
        <v>756</v>
      </c>
      <c r="E2" s="1560" t="s">
        <v>757</v>
      </c>
      <c r="F2" s="1560" t="s">
        <v>758</v>
      </c>
      <c r="G2" s="822" t="s">
        <v>759</v>
      </c>
    </row>
    <row r="3" spans="1:7">
      <c r="A3" s="791"/>
      <c r="B3" s="1561"/>
      <c r="C3" s="1563"/>
      <c r="D3" s="1561"/>
      <c r="E3" s="1561"/>
      <c r="F3" s="1561"/>
      <c r="G3" s="822" t="s">
        <v>760</v>
      </c>
    </row>
    <row r="4" spans="1:7">
      <c r="A4" s="843" t="s">
        <v>714</v>
      </c>
      <c r="B4" s="779">
        <f>SUM(B5:B12)</f>
        <v>33284.932641318403</v>
      </c>
      <c r="C4" s="779">
        <f t="shared" ref="C4:F4" si="0">SUM(C5:C12)</f>
        <v>33192.932641318403</v>
      </c>
      <c r="D4" s="779">
        <f t="shared" si="0"/>
        <v>34949.287262702463</v>
      </c>
      <c r="E4" s="779">
        <f t="shared" si="0"/>
        <v>36804.694329674407</v>
      </c>
      <c r="F4" s="779">
        <f t="shared" si="0"/>
        <v>38658.009819558298</v>
      </c>
      <c r="G4" s="844">
        <f>SUM(G5:G12)</f>
        <v>-276.19167861861376</v>
      </c>
    </row>
    <row r="5" spans="1:7">
      <c r="A5" s="845" t="s">
        <v>419</v>
      </c>
      <c r="B5" s="846">
        <v>9149.2708768976263</v>
      </c>
      <c r="C5" s="846">
        <v>9149.2708768976263</v>
      </c>
      <c r="D5" s="846">
        <v>9496.9941973777859</v>
      </c>
      <c r="E5" s="846">
        <v>9914.7004487563572</v>
      </c>
      <c r="F5" s="846">
        <v>10291.120331825552</v>
      </c>
      <c r="G5" s="847">
        <v>257.79855262221463</v>
      </c>
    </row>
    <row r="6" spans="1:7">
      <c r="A6" s="845" t="s">
        <v>433</v>
      </c>
      <c r="B6" s="613">
        <v>6084.0573136001121</v>
      </c>
      <c r="C6" s="613">
        <v>6084.0573136001121</v>
      </c>
      <c r="D6" s="613">
        <v>6394.8931218243724</v>
      </c>
      <c r="E6" s="613">
        <v>6775.2787994918917</v>
      </c>
      <c r="F6" s="613">
        <v>7224.8218308885598</v>
      </c>
      <c r="G6" s="847">
        <v>-3.0181218243724288</v>
      </c>
    </row>
    <row r="7" spans="1:7">
      <c r="A7" s="845" t="s">
        <v>440</v>
      </c>
      <c r="B7" s="613">
        <f>C7</f>
        <v>0</v>
      </c>
      <c r="C7" s="613">
        <v>0</v>
      </c>
      <c r="D7" s="613">
        <v>0</v>
      </c>
      <c r="E7" s="613">
        <v>0</v>
      </c>
      <c r="F7" s="613">
        <v>0</v>
      </c>
      <c r="G7" s="847">
        <v>0</v>
      </c>
    </row>
    <row r="8" spans="1:7">
      <c r="A8" s="845" t="s">
        <v>441</v>
      </c>
      <c r="B8" s="613">
        <v>12411.181295815795</v>
      </c>
      <c r="C8" s="613">
        <v>12319.181295815795</v>
      </c>
      <c r="D8" s="613">
        <v>12976.477974410756</v>
      </c>
      <c r="E8" s="613">
        <v>13670.23479075033</v>
      </c>
      <c r="F8" s="613">
        <v>14423.258039726707</v>
      </c>
      <c r="G8" s="847">
        <v>33.559025589243902</v>
      </c>
    </row>
    <row r="9" spans="1:7">
      <c r="A9" s="845" t="s">
        <v>445</v>
      </c>
      <c r="B9" s="613">
        <v>646.37633772320692</v>
      </c>
      <c r="C9" s="613">
        <v>646.37633772320692</v>
      </c>
      <c r="D9" s="613">
        <v>658.75614533141004</v>
      </c>
      <c r="E9" s="613">
        <v>687.9405258613167</v>
      </c>
      <c r="F9" s="613">
        <v>715.1131866129374</v>
      </c>
      <c r="G9" s="847">
        <v>70.309480021066975</v>
      </c>
    </row>
    <row r="10" spans="1:7">
      <c r="A10" s="848" t="s">
        <v>31</v>
      </c>
      <c r="B10" s="613">
        <v>3539.9070263837384</v>
      </c>
      <c r="C10" s="613">
        <v>3539.9070263837384</v>
      </c>
      <c r="D10" s="613">
        <v>3680.347331478486</v>
      </c>
      <c r="E10" s="613">
        <v>3826.0701619395836</v>
      </c>
      <c r="F10" s="613">
        <v>3990.3897947020969</v>
      </c>
      <c r="G10" s="847">
        <v>21.71235118288326</v>
      </c>
    </row>
    <row r="11" spans="1:7">
      <c r="A11" s="848" t="s">
        <v>761</v>
      </c>
      <c r="B11" s="613">
        <v>676.56226482792943</v>
      </c>
      <c r="C11" s="613">
        <v>676.56226482792943</v>
      </c>
      <c r="D11" s="613">
        <v>912.34704319121704</v>
      </c>
      <c r="E11" s="613">
        <v>1008.855348128581</v>
      </c>
      <c r="F11" s="613">
        <v>1038.6280439280224</v>
      </c>
      <c r="G11" s="847">
        <v>-566.30404319121703</v>
      </c>
    </row>
    <row r="12" spans="1:7">
      <c r="A12" s="848" t="s">
        <v>762</v>
      </c>
      <c r="B12" s="613">
        <v>777.57752606999941</v>
      </c>
      <c r="C12" s="613">
        <v>777.57752606999941</v>
      </c>
      <c r="D12" s="613">
        <v>829.47144908843336</v>
      </c>
      <c r="E12" s="613">
        <v>921.61425474635575</v>
      </c>
      <c r="F12" s="613">
        <v>974.67859187442286</v>
      </c>
      <c r="G12" s="847">
        <v>-90.248923018433061</v>
      </c>
    </row>
    <row r="13" spans="1:7">
      <c r="A13" s="843" t="s">
        <v>719</v>
      </c>
      <c r="B13" s="849">
        <f>SUM(B14:B22)</f>
        <v>34716.186996763034</v>
      </c>
      <c r="C13" s="849">
        <f>SUM(C14:C22)</f>
        <v>34513.39899676304</v>
      </c>
      <c r="D13" s="849">
        <f>SUM(D14:D22)</f>
        <v>36166.43520069385</v>
      </c>
      <c r="E13" s="849">
        <f>SUM(E14:E22)</f>
        <v>37524.684411678943</v>
      </c>
      <c r="F13" s="849">
        <f>SUM(F14:F22)</f>
        <v>39111.150624792135</v>
      </c>
      <c r="G13" s="844">
        <f t="shared" ref="G13" si="1">SUM(G14:G22)</f>
        <v>-781.87549115000036</v>
      </c>
    </row>
    <row r="14" spans="1:7">
      <c r="A14" s="845" t="s">
        <v>41</v>
      </c>
      <c r="B14" s="613">
        <v>7633.9627303325824</v>
      </c>
      <c r="C14" s="613">
        <v>7619.9627303325824</v>
      </c>
      <c r="D14" s="613">
        <v>7980.9501067193714</v>
      </c>
      <c r="E14" s="613">
        <v>8377.4845084276021</v>
      </c>
      <c r="F14" s="613">
        <v>8828.1226690759286</v>
      </c>
      <c r="G14" s="847">
        <v>163.18854622792833</v>
      </c>
    </row>
    <row r="15" spans="1:7">
      <c r="A15" s="845" t="s">
        <v>42</v>
      </c>
      <c r="B15" s="613">
        <v>4817.5402195796933</v>
      </c>
      <c r="C15" s="613">
        <v>4817.5402195796933</v>
      </c>
      <c r="D15" s="613">
        <v>4932.5558600160812</v>
      </c>
      <c r="E15" s="613">
        <v>5045.5760515186139</v>
      </c>
      <c r="F15" s="613">
        <v>5198.765324936312</v>
      </c>
      <c r="G15" s="847">
        <v>54.45505049132089</v>
      </c>
    </row>
    <row r="16" spans="1:7">
      <c r="A16" s="845" t="s">
        <v>763</v>
      </c>
      <c r="B16" s="613">
        <v>11515.458756022032</v>
      </c>
      <c r="C16" s="613">
        <v>11423.458756022032</v>
      </c>
      <c r="D16" s="613">
        <v>11699.480887303082</v>
      </c>
      <c r="E16" s="613">
        <v>12012.146310319069</v>
      </c>
      <c r="F16" s="613">
        <v>12383.472250684194</v>
      </c>
      <c r="G16" s="847">
        <v>138.57711269691572</v>
      </c>
    </row>
    <row r="17" spans="1:7">
      <c r="A17" s="848" t="s">
        <v>764</v>
      </c>
      <c r="B17" s="613">
        <v>4365.6117346700003</v>
      </c>
      <c r="C17" s="613">
        <v>4365.6117346700003</v>
      </c>
      <c r="D17" s="613">
        <v>4627.2963620296787</v>
      </c>
      <c r="E17" s="613">
        <v>4934.5929789240763</v>
      </c>
      <c r="F17" s="613">
        <v>5264.5962740115147</v>
      </c>
      <c r="G17" s="847">
        <v>-160.41636202967857</v>
      </c>
    </row>
    <row r="18" spans="1:7">
      <c r="A18" s="848" t="s">
        <v>724</v>
      </c>
      <c r="B18" s="613">
        <v>338.14370636544822</v>
      </c>
      <c r="C18" s="613">
        <v>338.14370636544822</v>
      </c>
      <c r="D18" s="613">
        <v>352.29520295978659</v>
      </c>
      <c r="E18" s="613">
        <v>366.33975773555534</v>
      </c>
      <c r="F18" s="613">
        <v>381.99682346549491</v>
      </c>
      <c r="G18" s="847">
        <v>38.88579704021339</v>
      </c>
    </row>
    <row r="19" spans="1:7">
      <c r="A19" s="845" t="s">
        <v>726</v>
      </c>
      <c r="B19" s="613">
        <v>1194.8228552703556</v>
      </c>
      <c r="C19" s="613">
        <v>1194.8228552703556</v>
      </c>
      <c r="D19" s="613">
        <v>1226.6337145013931</v>
      </c>
      <c r="E19" s="613">
        <v>1234.9821370862244</v>
      </c>
      <c r="F19" s="613">
        <v>1189.0721996707234</v>
      </c>
      <c r="G19" s="847">
        <v>13.72923054108378</v>
      </c>
    </row>
    <row r="20" spans="1:7">
      <c r="A20" s="845" t="s">
        <v>729</v>
      </c>
      <c r="B20" s="613">
        <v>2740.7991890315247</v>
      </c>
      <c r="C20" s="613">
        <v>2740.7991890315247</v>
      </c>
      <c r="D20" s="613">
        <v>3170.4322091339222</v>
      </c>
      <c r="E20" s="613">
        <v>3361.560779332015</v>
      </c>
      <c r="F20" s="613">
        <v>3574.9929467722886</v>
      </c>
      <c r="G20" s="847">
        <v>-974.19133610725567</v>
      </c>
    </row>
    <row r="21" spans="1:7">
      <c r="A21" s="845" t="s">
        <v>38</v>
      </c>
      <c r="B21" s="613">
        <v>422.54870349580574</v>
      </c>
      <c r="C21" s="613">
        <v>325.76070349580573</v>
      </c>
      <c r="D21" s="613">
        <v>436.60977239230169</v>
      </c>
      <c r="E21" s="613">
        <v>386.06538787040984</v>
      </c>
      <c r="F21" s="613">
        <v>384.2608825289966</v>
      </c>
      <c r="G21" s="847">
        <v>-190.10977239230169</v>
      </c>
    </row>
    <row r="22" spans="1:7" ht="15" customHeight="1">
      <c r="A22" s="845" t="s">
        <v>765</v>
      </c>
      <c r="B22" s="737">
        <v>1687.2991019955975</v>
      </c>
      <c r="C22" s="737">
        <v>1687.2991019955975</v>
      </c>
      <c r="D22" s="737">
        <v>1740.1810856382272</v>
      </c>
      <c r="E22" s="737">
        <v>1805.9365004653828</v>
      </c>
      <c r="F22" s="737">
        <v>1905.8712536466846</v>
      </c>
      <c r="G22" s="850">
        <v>134.00624238177338</v>
      </c>
    </row>
    <row r="23" spans="1:7">
      <c r="A23" s="803" t="s">
        <v>476</v>
      </c>
      <c r="B23" s="851">
        <f t="shared" ref="B23:G23" si="2">B4-B13</f>
        <v>-1431.2543554446311</v>
      </c>
      <c r="C23" s="778">
        <f t="shared" si="2"/>
        <v>-1320.4663554446379</v>
      </c>
      <c r="D23" s="778">
        <f t="shared" si="2"/>
        <v>-1217.1479379913872</v>
      </c>
      <c r="E23" s="778">
        <f t="shared" si="2"/>
        <v>-719.99008200453682</v>
      </c>
      <c r="F23" s="778">
        <f t="shared" si="2"/>
        <v>-453.14080523383745</v>
      </c>
      <c r="G23" s="852">
        <f t="shared" si="2"/>
        <v>505.68381253138659</v>
      </c>
    </row>
    <row r="24" spans="1:7">
      <c r="A24" s="803" t="s">
        <v>766</v>
      </c>
      <c r="B24" s="778">
        <f>B23+B19</f>
        <v>-236.43150017427547</v>
      </c>
      <c r="C24" s="778">
        <f t="shared" ref="C24:F24" si="3">C23+C19</f>
        <v>-125.64350017428228</v>
      </c>
      <c r="D24" s="778">
        <f t="shared" si="3"/>
        <v>9.4857765100059623</v>
      </c>
      <c r="E24" s="778">
        <f t="shared" si="3"/>
        <v>514.99205508168757</v>
      </c>
      <c r="F24" s="778">
        <f t="shared" si="3"/>
        <v>735.93139443688597</v>
      </c>
      <c r="G24" s="852">
        <f>G23+G19</f>
        <v>519.41304307247037</v>
      </c>
    </row>
    <row r="25" spans="1:7">
      <c r="A25" s="803" t="s">
        <v>767</v>
      </c>
      <c r="B25" s="778">
        <v>43236.700290866276</v>
      </c>
      <c r="C25" s="778">
        <v>42128.47046848161</v>
      </c>
      <c r="D25" s="778">
        <v>43905.896785537188</v>
      </c>
      <c r="E25" s="778">
        <v>48122.855933720617</v>
      </c>
      <c r="F25" s="778">
        <v>47120.138002846783</v>
      </c>
      <c r="G25" s="853" t="s">
        <v>1</v>
      </c>
    </row>
    <row r="26" spans="1:7">
      <c r="B26" s="854"/>
      <c r="C26" s="854"/>
      <c r="D26" s="854"/>
      <c r="E26" s="854"/>
      <c r="F26" s="1564" t="s">
        <v>607</v>
      </c>
      <c r="G26" s="1564"/>
    </row>
    <row r="27" spans="1:7">
      <c r="A27" s="855" t="s">
        <v>12</v>
      </c>
      <c r="B27" s="600">
        <v>85136.236115419102</v>
      </c>
      <c r="C27" s="600">
        <f>B27</f>
        <v>85136.236115419102</v>
      </c>
      <c r="D27" s="600">
        <v>90136.934949937699</v>
      </c>
      <c r="E27" s="600">
        <v>96052.148180975797</v>
      </c>
      <c r="F27" s="600">
        <v>101941.54279870588</v>
      </c>
      <c r="G27" s="600">
        <f>D27</f>
        <v>90136.934949937699</v>
      </c>
    </row>
    <row r="28" spans="1:7">
      <c r="C28" s="755"/>
    </row>
    <row r="29" spans="1:7">
      <c r="A29" s="1489" t="s">
        <v>768</v>
      </c>
      <c r="B29" s="1489"/>
      <c r="C29" s="1489"/>
      <c r="D29" s="1489"/>
      <c r="E29" s="1489"/>
      <c r="F29" s="1489"/>
      <c r="G29" s="828"/>
    </row>
    <row r="30" spans="1:7">
      <c r="A30" s="791"/>
      <c r="B30" s="1560" t="str">
        <f>B2</f>
        <v>2017 O</v>
      </c>
      <c r="C30" s="1562" t="s">
        <v>755</v>
      </c>
      <c r="D30" s="1560" t="str">
        <f>D2</f>
        <v>2018 NPC</v>
      </c>
      <c r="E30" s="1560" t="str">
        <f t="shared" ref="E30:F30" si="4">E2</f>
        <v>2019 NPC</v>
      </c>
      <c r="F30" s="1560" t="str">
        <f t="shared" si="4"/>
        <v>2020 NPC</v>
      </c>
      <c r="G30" s="822" t="s">
        <v>759</v>
      </c>
    </row>
    <row r="31" spans="1:7">
      <c r="A31" s="791"/>
      <c r="B31" s="1561"/>
      <c r="C31" s="1563"/>
      <c r="D31" s="1561"/>
      <c r="E31" s="1561"/>
      <c r="F31" s="1561"/>
      <c r="G31" s="822" t="s">
        <v>760</v>
      </c>
    </row>
    <row r="32" spans="1:7">
      <c r="A32" s="843" t="s">
        <v>714</v>
      </c>
      <c r="B32" s="856">
        <f>B4/B$27*100</f>
        <v>39.096081950573968</v>
      </c>
      <c r="C32" s="856">
        <f t="shared" ref="C32:G32" si="5">C4/C$27*100</f>
        <v>38.98801985598562</v>
      </c>
      <c r="D32" s="856">
        <f t="shared" si="5"/>
        <v>38.77354747209165</v>
      </c>
      <c r="E32" s="856">
        <f t="shared" si="5"/>
        <v>38.317408852042718</v>
      </c>
      <c r="F32" s="856">
        <f t="shared" si="5"/>
        <v>37.921742950165601</v>
      </c>
      <c r="G32" s="857">
        <f t="shared" si="5"/>
        <v>-0.30641343503860141</v>
      </c>
    </row>
    <row r="33" spans="1:7">
      <c r="A33" s="845" t="s">
        <v>419</v>
      </c>
      <c r="B33" s="858">
        <f t="shared" ref="B33:G48" si="6">B5/B$27*100</f>
        <v>10.746623640366213</v>
      </c>
      <c r="C33" s="858">
        <f t="shared" si="6"/>
        <v>10.746623640366213</v>
      </c>
      <c r="D33" s="858">
        <f t="shared" si="6"/>
        <v>10.536184975285041</v>
      </c>
      <c r="E33" s="858">
        <f t="shared" si="6"/>
        <v>10.322205839764941</v>
      </c>
      <c r="F33" s="858">
        <f t="shared" si="6"/>
        <v>10.095119270606325</v>
      </c>
      <c r="G33" s="859">
        <f t="shared" si="6"/>
        <v>0.28600767572737706</v>
      </c>
    </row>
    <row r="34" spans="1:7">
      <c r="A34" s="845" t="s">
        <v>769</v>
      </c>
      <c r="B34" s="858">
        <f t="shared" si="6"/>
        <v>7.1462606185126178</v>
      </c>
      <c r="C34" s="858">
        <f t="shared" si="6"/>
        <v>7.1462606185126178</v>
      </c>
      <c r="D34" s="858">
        <f t="shared" si="6"/>
        <v>7.0946423077022907</v>
      </c>
      <c r="E34" s="858">
        <f t="shared" si="6"/>
        <v>7.0537504135007065</v>
      </c>
      <c r="F34" s="858">
        <f t="shared" si="6"/>
        <v>7.0872204133252303</v>
      </c>
      <c r="G34" s="859">
        <f t="shared" si="6"/>
        <v>-3.3483741443490417E-3</v>
      </c>
    </row>
    <row r="35" spans="1:7">
      <c r="A35" s="845" t="s">
        <v>440</v>
      </c>
      <c r="B35" s="858">
        <f t="shared" si="6"/>
        <v>0</v>
      </c>
      <c r="C35" s="858">
        <f t="shared" si="6"/>
        <v>0</v>
      </c>
      <c r="D35" s="858">
        <f t="shared" si="6"/>
        <v>0</v>
      </c>
      <c r="E35" s="858">
        <f t="shared" si="6"/>
        <v>0</v>
      </c>
      <c r="F35" s="858">
        <f t="shared" si="6"/>
        <v>0</v>
      </c>
      <c r="G35" s="859">
        <f t="shared" si="6"/>
        <v>0</v>
      </c>
    </row>
    <row r="36" spans="1:7">
      <c r="A36" s="845" t="s">
        <v>441</v>
      </c>
      <c r="B36" s="858">
        <f t="shared" si="6"/>
        <v>14.578024425451428</v>
      </c>
      <c r="C36" s="858">
        <f t="shared" si="6"/>
        <v>14.469962330863082</v>
      </c>
      <c r="D36" s="858">
        <f t="shared" si="6"/>
        <v>14.3964047386545</v>
      </c>
      <c r="E36" s="858">
        <f t="shared" si="6"/>
        <v>14.232096886572156</v>
      </c>
      <c r="F36" s="858">
        <f t="shared" si="6"/>
        <v>14.148557735884889</v>
      </c>
      <c r="G36" s="859">
        <f t="shared" si="6"/>
        <v>3.7231159022527972E-2</v>
      </c>
    </row>
    <row r="37" spans="1:7">
      <c r="A37" s="845" t="s">
        <v>445</v>
      </c>
      <c r="B37" s="858">
        <f t="shared" si="6"/>
        <v>0.75922587985557077</v>
      </c>
      <c r="C37" s="858">
        <f t="shared" si="6"/>
        <v>0.75922587985557077</v>
      </c>
      <c r="D37" s="858">
        <f t="shared" si="6"/>
        <v>0.73083930100051098</v>
      </c>
      <c r="E37" s="858">
        <f t="shared" si="6"/>
        <v>0.7162156587743771</v>
      </c>
      <c r="F37" s="858">
        <f t="shared" si="6"/>
        <v>0.70149339217378959</v>
      </c>
      <c r="G37" s="859">
        <f t="shared" si="6"/>
        <v>7.8002963003032055E-2</v>
      </c>
    </row>
    <row r="38" spans="1:7">
      <c r="A38" s="848" t="s">
        <v>31</v>
      </c>
      <c r="B38" s="858">
        <f t="shared" si="6"/>
        <v>4.1579322599893773</v>
      </c>
      <c r="C38" s="858">
        <f t="shared" si="6"/>
        <v>4.1579322599893773</v>
      </c>
      <c r="D38" s="858">
        <f t="shared" si="6"/>
        <v>4.0830624355294098</v>
      </c>
      <c r="E38" s="858">
        <f t="shared" si="6"/>
        <v>3.9833259686506208</v>
      </c>
      <c r="F38" s="858">
        <f t="shared" si="6"/>
        <v>3.9143902330196574</v>
      </c>
      <c r="G38" s="859">
        <f t="shared" si="6"/>
        <v>2.4088184488348045E-2</v>
      </c>
    </row>
    <row r="39" spans="1:7">
      <c r="A39" s="848" t="s">
        <v>761</v>
      </c>
      <c r="B39" s="858">
        <f t="shared" si="6"/>
        <v>0.79468190713847708</v>
      </c>
      <c r="C39" s="858">
        <f t="shared" si="6"/>
        <v>0.79468190713847708</v>
      </c>
      <c r="D39" s="858">
        <f t="shared" si="6"/>
        <v>1.0121789072347946</v>
      </c>
      <c r="E39" s="858">
        <f t="shared" si="6"/>
        <v>1.0503204428366923</v>
      </c>
      <c r="F39" s="858">
        <f t="shared" si="6"/>
        <v>1.0188466992096645</v>
      </c>
      <c r="G39" s="859">
        <f t="shared" si="6"/>
        <v>-0.62827080098268695</v>
      </c>
    </row>
    <row r="40" spans="1:7">
      <c r="A40" s="848" t="s">
        <v>762</v>
      </c>
      <c r="B40" s="858">
        <f t="shared" si="6"/>
        <v>0.91333321926029054</v>
      </c>
      <c r="C40" s="858">
        <f t="shared" si="6"/>
        <v>0.91333321926029054</v>
      </c>
      <c r="D40" s="858">
        <f t="shared" si="6"/>
        <v>0.92023480668509983</v>
      </c>
      <c r="E40" s="858">
        <f t="shared" si="6"/>
        <v>0.95949364194323328</v>
      </c>
      <c r="F40" s="858">
        <f t="shared" si="6"/>
        <v>0.9561152059460456</v>
      </c>
      <c r="G40" s="859">
        <f t="shared" si="6"/>
        <v>-0.10012424215285062</v>
      </c>
    </row>
    <row r="41" spans="1:7">
      <c r="A41" s="843" t="s">
        <v>719</v>
      </c>
      <c r="B41" s="856">
        <f t="shared" si="6"/>
        <v>40.77721611946567</v>
      </c>
      <c r="C41" s="856">
        <f t="shared" si="6"/>
        <v>40.539023771233282</v>
      </c>
      <c r="D41" s="856">
        <f t="shared" si="6"/>
        <v>40.123879540369089</v>
      </c>
      <c r="E41" s="856">
        <f t="shared" si="6"/>
        <v>39.066991339930411</v>
      </c>
      <c r="F41" s="856">
        <f t="shared" si="6"/>
        <v>38.366253394870768</v>
      </c>
      <c r="G41" s="857">
        <f t="shared" si="6"/>
        <v>-0.86743075031812011</v>
      </c>
    </row>
    <row r="42" spans="1:7">
      <c r="A42" s="845" t="s">
        <v>41</v>
      </c>
      <c r="B42" s="858">
        <f t="shared" si="6"/>
        <v>8.9667608983596914</v>
      </c>
      <c r="C42" s="858">
        <f t="shared" si="6"/>
        <v>8.9503166665745084</v>
      </c>
      <c r="D42" s="858">
        <f t="shared" si="6"/>
        <v>8.8542506034313373</v>
      </c>
      <c r="E42" s="858">
        <f t="shared" si="6"/>
        <v>8.7218085873969624</v>
      </c>
      <c r="F42" s="858">
        <f t="shared" si="6"/>
        <v>8.659985347198413</v>
      </c>
      <c r="G42" s="859">
        <f t="shared" si="6"/>
        <v>0.18104514682972492</v>
      </c>
    </row>
    <row r="43" spans="1:7">
      <c r="A43" s="845" t="s">
        <v>42</v>
      </c>
      <c r="B43" s="858">
        <f t="shared" si="6"/>
        <v>5.6586248575149121</v>
      </c>
      <c r="C43" s="858">
        <f t="shared" si="6"/>
        <v>5.6586248575149121</v>
      </c>
      <c r="D43" s="858">
        <f t="shared" si="6"/>
        <v>5.4722915337154916</v>
      </c>
      <c r="E43" s="858">
        <f t="shared" si="6"/>
        <v>5.2529549282042467</v>
      </c>
      <c r="F43" s="858">
        <f t="shared" si="6"/>
        <v>5.0997514675658895</v>
      </c>
      <c r="G43" s="859">
        <f t="shared" si="6"/>
        <v>6.0413692257857865E-2</v>
      </c>
    </row>
    <row r="44" spans="1:7">
      <c r="A44" s="845" t="s">
        <v>770</v>
      </c>
      <c r="B44" s="858">
        <f t="shared" si="6"/>
        <v>13.525919492624194</v>
      </c>
      <c r="C44" s="858">
        <f t="shared" si="6"/>
        <v>13.417857398035851</v>
      </c>
      <c r="D44" s="858">
        <f t="shared" si="6"/>
        <v>12.979674640369129</v>
      </c>
      <c r="E44" s="858">
        <f t="shared" si="6"/>
        <v>12.505859096130251</v>
      </c>
      <c r="F44" s="858">
        <f t="shared" si="6"/>
        <v>12.147620990136122</v>
      </c>
      <c r="G44" s="859">
        <f t="shared" si="6"/>
        <v>0.15374065334469364</v>
      </c>
    </row>
    <row r="45" spans="1:7">
      <c r="A45" s="848" t="s">
        <v>764</v>
      </c>
      <c r="B45" s="858">
        <f t="shared" si="6"/>
        <v>5.1277950892162361</v>
      </c>
      <c r="C45" s="858">
        <f t="shared" si="6"/>
        <v>5.1277950892162361</v>
      </c>
      <c r="D45" s="858">
        <f t="shared" si="6"/>
        <v>5.1336295876930933</v>
      </c>
      <c r="E45" s="858">
        <f t="shared" si="6"/>
        <v>5.1374103259269193</v>
      </c>
      <c r="F45" s="858">
        <f t="shared" si="6"/>
        <v>5.1643286235200545</v>
      </c>
      <c r="G45" s="859">
        <f t="shared" si="6"/>
        <v>-0.17796962157496729</v>
      </c>
    </row>
    <row r="46" spans="1:7">
      <c r="A46" s="848" t="s">
        <v>724</v>
      </c>
      <c r="B46" s="858">
        <f t="shared" si="6"/>
        <v>0.39717953458387234</v>
      </c>
      <c r="C46" s="858">
        <f t="shared" si="6"/>
        <v>0.39717953458387234</v>
      </c>
      <c r="D46" s="858">
        <f t="shared" si="6"/>
        <v>0.3908444447944146</v>
      </c>
      <c r="E46" s="858">
        <f t="shared" si="6"/>
        <v>0.38139673570373411</v>
      </c>
      <c r="F46" s="858">
        <f t="shared" si="6"/>
        <v>0.37472144621137149</v>
      </c>
      <c r="G46" s="859">
        <f t="shared" si="6"/>
        <v>4.3140802448863688E-2</v>
      </c>
    </row>
    <row r="47" spans="1:7">
      <c r="A47" s="845" t="s">
        <v>726</v>
      </c>
      <c r="B47" s="858">
        <f t="shared" si="6"/>
        <v>1.4034245695928296</v>
      </c>
      <c r="C47" s="858">
        <f t="shared" si="6"/>
        <v>1.4034245695928296</v>
      </c>
      <c r="D47" s="858">
        <f t="shared" si="6"/>
        <v>1.360855808090955</v>
      </c>
      <c r="E47" s="858">
        <f t="shared" si="6"/>
        <v>1.2857412983198917</v>
      </c>
      <c r="F47" s="858">
        <f t="shared" si="6"/>
        <v>1.1664255484328596</v>
      </c>
      <c r="G47" s="859">
        <f t="shared" si="6"/>
        <v>1.5231525843106416E-2</v>
      </c>
    </row>
    <row r="48" spans="1:7">
      <c r="A48" s="845" t="s">
        <v>729</v>
      </c>
      <c r="B48" s="858">
        <f t="shared" si="6"/>
        <v>3.219309795791097</v>
      </c>
      <c r="C48" s="858">
        <f t="shared" si="6"/>
        <v>3.219309795791097</v>
      </c>
      <c r="D48" s="858">
        <f t="shared" si="6"/>
        <v>3.5173508072964639</v>
      </c>
      <c r="E48" s="858">
        <f t="shared" si="6"/>
        <v>3.4997247255713222</v>
      </c>
      <c r="F48" s="858">
        <f t="shared" si="6"/>
        <v>3.5069048874721092</v>
      </c>
      <c r="G48" s="859">
        <f t="shared" si="6"/>
        <v>-1.0807903959107599</v>
      </c>
    </row>
    <row r="49" spans="1:7">
      <c r="A49" s="845" t="s">
        <v>38</v>
      </c>
      <c r="B49" s="858">
        <f t="shared" ref="B49:G53" si="7">B21/B$27*100</f>
        <v>0.496320630058107</v>
      </c>
      <c r="C49" s="858">
        <f t="shared" si="7"/>
        <v>0.38263460819923056</v>
      </c>
      <c r="D49" s="858">
        <f t="shared" si="7"/>
        <v>0.48438497785041829</v>
      </c>
      <c r="E49" s="858">
        <f t="shared" si="7"/>
        <v>0.40193311152501054</v>
      </c>
      <c r="F49" s="858">
        <f t="shared" si="7"/>
        <v>0.37694238480161074</v>
      </c>
      <c r="G49" s="859">
        <f t="shared" si="7"/>
        <v>-0.21091217767487788</v>
      </c>
    </row>
    <row r="50" spans="1:7" ht="15" customHeight="1">
      <c r="A50" s="845" t="s">
        <v>765</v>
      </c>
      <c r="B50" s="860">
        <f t="shared" si="7"/>
        <v>1.9818812517247393</v>
      </c>
      <c r="C50" s="860">
        <f t="shared" si="7"/>
        <v>1.9818812517247393</v>
      </c>
      <c r="D50" s="860">
        <f t="shared" si="7"/>
        <v>1.9305971371277806</v>
      </c>
      <c r="E50" s="860">
        <f t="shared" si="7"/>
        <v>1.8801625311520818</v>
      </c>
      <c r="F50" s="860">
        <f t="shared" si="7"/>
        <v>1.8695726995323434</v>
      </c>
      <c r="G50" s="861">
        <f t="shared" si="7"/>
        <v>0.14866962411823834</v>
      </c>
    </row>
    <row r="51" spans="1:7">
      <c r="A51" s="803" t="s">
        <v>476</v>
      </c>
      <c r="B51" s="862">
        <f t="shared" si="7"/>
        <v>-1.6811341688917056</v>
      </c>
      <c r="C51" s="862">
        <f t="shared" si="7"/>
        <v>-1.5510039152476545</v>
      </c>
      <c r="D51" s="862">
        <f t="shared" si="7"/>
        <v>-1.3503320682774429</v>
      </c>
      <c r="E51" s="862">
        <f t="shared" si="7"/>
        <v>-0.7495824878876981</v>
      </c>
      <c r="F51" s="862">
        <f t="shared" si="7"/>
        <v>-0.44451044470516876</v>
      </c>
      <c r="G51" s="863">
        <f t="shared" si="7"/>
        <v>0.5610173152795187</v>
      </c>
    </row>
    <row r="52" spans="1:7">
      <c r="A52" s="803" t="s">
        <v>766</v>
      </c>
      <c r="B52" s="862">
        <f t="shared" si="7"/>
        <v>-0.27770959929887612</v>
      </c>
      <c r="C52" s="862">
        <f t="shared" si="7"/>
        <v>-0.14757934565482497</v>
      </c>
      <c r="D52" s="862">
        <f t="shared" si="7"/>
        <v>1.0523739813511951E-2</v>
      </c>
      <c r="E52" s="862">
        <f t="shared" si="7"/>
        <v>0.53615881043219349</v>
      </c>
      <c r="F52" s="862">
        <f t="shared" si="7"/>
        <v>0.72191510372769085</v>
      </c>
      <c r="G52" s="863">
        <f t="shared" si="7"/>
        <v>0.57624884112262509</v>
      </c>
    </row>
    <row r="53" spans="1:7">
      <c r="A53" s="803" t="s">
        <v>767</v>
      </c>
      <c r="B53" s="862">
        <f t="shared" si="7"/>
        <v>50.785308657820302</v>
      </c>
      <c r="C53" s="862">
        <f t="shared" si="7"/>
        <v>49.483595224209921</v>
      </c>
      <c r="D53" s="862">
        <f t="shared" si="7"/>
        <v>48.710217193343261</v>
      </c>
      <c r="E53" s="862">
        <f t="shared" si="7"/>
        <v>50.10075968634284</v>
      </c>
      <c r="F53" s="862">
        <f t="shared" si="7"/>
        <v>46.222704413930998</v>
      </c>
      <c r="G53" s="864" t="s">
        <v>1</v>
      </c>
    </row>
    <row r="54" spans="1:7">
      <c r="A54" s="865" t="s">
        <v>771</v>
      </c>
      <c r="B54" s="854"/>
      <c r="C54" s="854"/>
      <c r="D54" s="854"/>
      <c r="E54" s="854"/>
      <c r="F54" s="1564" t="s">
        <v>607</v>
      </c>
      <c r="G54" s="1564"/>
    </row>
    <row r="55" spans="1:7">
      <c r="A55" s="866" t="s">
        <v>772</v>
      </c>
    </row>
  </sheetData>
  <mergeCells count="14">
    <mergeCell ref="F54:G54"/>
    <mergeCell ref="F26:G26"/>
    <mergeCell ref="A29:F29"/>
    <mergeCell ref="B30:B31"/>
    <mergeCell ref="C30:C31"/>
    <mergeCell ref="D30:D31"/>
    <mergeCell ref="E30:E31"/>
    <mergeCell ref="F30:F31"/>
    <mergeCell ref="A1:F1"/>
    <mergeCell ref="B2:B3"/>
    <mergeCell ref="C2:C3"/>
    <mergeCell ref="D2:D3"/>
    <mergeCell ref="E2:E3"/>
    <mergeCell ref="F2:F3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workbookViewId="0"/>
  </sheetViews>
  <sheetFormatPr defaultRowHeight="15"/>
  <cols>
    <col min="1" max="1" width="31.28515625" style="530" customWidth="1"/>
    <col min="2" max="5" width="9.140625" style="530"/>
    <col min="6" max="6" width="13.140625" style="530" customWidth="1"/>
    <col min="7" max="16384" width="9.140625" style="530"/>
  </cols>
  <sheetData>
    <row r="1" spans="1:7">
      <c r="A1" s="867" t="s">
        <v>773</v>
      </c>
      <c r="B1" s="868"/>
      <c r="C1" s="868"/>
      <c r="D1" s="868"/>
      <c r="E1" s="868"/>
      <c r="F1" s="868"/>
    </row>
    <row r="2" spans="1:7">
      <c r="A2" s="629"/>
      <c r="B2" s="629">
        <v>2017</v>
      </c>
      <c r="C2" s="629">
        <v>2018</v>
      </c>
      <c r="D2" s="629">
        <v>2019</v>
      </c>
      <c r="E2" s="629">
        <v>2020</v>
      </c>
      <c r="F2" s="629" t="s">
        <v>774</v>
      </c>
      <c r="G2" s="628"/>
    </row>
    <row r="3" spans="1:7">
      <c r="A3" s="631" t="s">
        <v>775</v>
      </c>
      <c r="C3" s="632">
        <f>C11-B11</f>
        <v>0.33080210061426274</v>
      </c>
      <c r="D3" s="632">
        <f>D11-C11</f>
        <v>0.60074958038975235</v>
      </c>
      <c r="E3" s="632">
        <f>E11-D11</f>
        <v>0.30507204318252179</v>
      </c>
      <c r="F3" s="632">
        <f>SUM(C3:E3)</f>
        <v>1.2366237241865368</v>
      </c>
      <c r="G3" s="628"/>
    </row>
    <row r="4" spans="1:7">
      <c r="A4" s="628" t="s">
        <v>43</v>
      </c>
      <c r="C4" s="626">
        <v>-0.27284551385364608</v>
      </c>
      <c r="D4" s="626">
        <v>-0.36236195272423899</v>
      </c>
      <c r="E4" s="626">
        <v>-0.24164053408644648</v>
      </c>
      <c r="F4" s="626">
        <v>-0.87684800066433155</v>
      </c>
      <c r="G4" s="628"/>
    </row>
    <row r="5" spans="1:7">
      <c r="A5" s="628" t="s">
        <v>776</v>
      </c>
      <c r="C5" s="626">
        <v>-9.6354815890217438E-2</v>
      </c>
      <c r="D5" s="626">
        <v>-7.5101273846788885E-2</v>
      </c>
      <c r="E5" s="626">
        <v>-8.7036438228738966E-2</v>
      </c>
      <c r="F5" s="626">
        <v>-0.25849252796574529</v>
      </c>
      <c r="G5" s="628"/>
    </row>
    <row r="6" spans="1:7">
      <c r="A6" s="628" t="s">
        <v>722</v>
      </c>
      <c r="C6" s="626">
        <v>0.37207441717288958</v>
      </c>
      <c r="D6" s="626">
        <v>0.41310685073600162</v>
      </c>
      <c r="E6" s="626">
        <v>0.29396819261827822</v>
      </c>
      <c r="F6" s="626">
        <v>1.0791494605271694</v>
      </c>
      <c r="G6" s="628"/>
    </row>
    <row r="7" spans="1:7">
      <c r="A7" s="628" t="s">
        <v>777</v>
      </c>
      <c r="C7" s="626">
        <v>0.27158973489298699</v>
      </c>
      <c r="D7" s="626">
        <v>0.3387276533508663</v>
      </c>
      <c r="E7" s="626">
        <v>0.20500127212830677</v>
      </c>
      <c r="F7" s="626">
        <v>0.81531866037216005</v>
      </c>
      <c r="G7" s="628"/>
    </row>
    <row r="8" spans="1:7">
      <c r="A8" s="628" t="s">
        <v>778</v>
      </c>
      <c r="C8" s="626">
        <v>5.0876315499828628E-2</v>
      </c>
      <c r="D8" s="626">
        <v>5.3063946810927742E-2</v>
      </c>
      <c r="E8" s="626">
        <v>1.3884693283470861E-2</v>
      </c>
      <c r="F8" s="626">
        <v>0.11782495559422723</v>
      </c>
      <c r="G8" s="628"/>
    </row>
    <row r="9" spans="1:7">
      <c r="A9" s="628" t="s">
        <v>779</v>
      </c>
      <c r="C9" s="626">
        <v>4.2568761501874608E-2</v>
      </c>
      <c r="D9" s="626">
        <v>7.5114509771063265E-2</v>
      </c>
      <c r="E9" s="626">
        <v>0.11931574988703209</v>
      </c>
      <c r="F9" s="626">
        <v>0.23699902115996996</v>
      </c>
      <c r="G9" s="628"/>
    </row>
    <row r="10" spans="1:7">
      <c r="A10" s="869" t="s">
        <v>780</v>
      </c>
      <c r="B10" s="870"/>
      <c r="C10" s="871">
        <v>-3.7106798709453548E-2</v>
      </c>
      <c r="D10" s="871">
        <v>0.1581998462919213</v>
      </c>
      <c r="E10" s="871">
        <v>1.5791075806192989E-3</v>
      </c>
      <c r="F10" s="871">
        <v>0.12267215516308705</v>
      </c>
      <c r="G10" s="628"/>
    </row>
    <row r="11" spans="1:7">
      <c r="A11" s="633" t="s">
        <v>781</v>
      </c>
      <c r="B11" s="634">
        <v>-1.6811341688917056</v>
      </c>
      <c r="C11" s="634">
        <v>-1.3503320682774429</v>
      </c>
      <c r="D11" s="634">
        <v>-0.74958248788769055</v>
      </c>
      <c r="E11" s="634">
        <v>-0.44451044470516876</v>
      </c>
      <c r="F11" s="634"/>
      <c r="G11" s="628"/>
    </row>
    <row r="12" spans="1:7">
      <c r="A12" s="628"/>
      <c r="B12" s="626"/>
      <c r="C12" s="626"/>
      <c r="D12" s="626"/>
      <c r="F12" s="872" t="s">
        <v>3</v>
      </c>
      <c r="G12" s="628"/>
    </row>
    <row r="13" spans="1:7">
      <c r="G13" s="628"/>
    </row>
    <row r="14" spans="1:7">
      <c r="G14" s="628"/>
    </row>
    <row r="15" spans="1:7">
      <c r="G15" s="628"/>
    </row>
    <row r="16" spans="1:7">
      <c r="G16" s="628"/>
    </row>
    <row r="17" spans="7:7">
      <c r="G17" s="628"/>
    </row>
    <row r="18" spans="7:7">
      <c r="G18" s="628"/>
    </row>
    <row r="19" spans="7:7">
      <c r="G19" s="628"/>
    </row>
    <row r="20" spans="7:7">
      <c r="G20" s="628"/>
    </row>
    <row r="21" spans="7:7">
      <c r="G21" s="628"/>
    </row>
    <row r="22" spans="7:7">
      <c r="G22" s="628"/>
    </row>
    <row r="23" spans="7:7">
      <c r="G23" s="628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5"/>
  <sheetViews>
    <sheetView showGridLines="0" workbookViewId="0">
      <selection sqref="A1:K1"/>
    </sheetView>
  </sheetViews>
  <sheetFormatPr defaultRowHeight="15"/>
  <cols>
    <col min="1" max="1" width="48.28515625" style="874" customWidth="1"/>
    <col min="2" max="2" width="9.140625" style="874" customWidth="1"/>
    <col min="3" max="16384" width="9.140625" style="874"/>
  </cols>
  <sheetData>
    <row r="1" spans="1:12">
      <c r="A1" s="1565" t="s">
        <v>782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873"/>
    </row>
    <row r="2" spans="1:12">
      <c r="A2" s="875"/>
      <c r="B2" s="876">
        <v>2010</v>
      </c>
      <c r="C2" s="876">
        <v>2011</v>
      </c>
      <c r="D2" s="876">
        <v>2012</v>
      </c>
      <c r="E2" s="876">
        <v>2013</v>
      </c>
      <c r="F2" s="876">
        <v>2014</v>
      </c>
      <c r="G2" s="876">
        <v>2015</v>
      </c>
      <c r="H2" s="876">
        <v>2016</v>
      </c>
      <c r="I2" s="876">
        <v>2017</v>
      </c>
      <c r="J2" s="876">
        <v>2018</v>
      </c>
      <c r="K2" s="876">
        <v>2019</v>
      </c>
      <c r="L2" s="876">
        <v>2020</v>
      </c>
    </row>
    <row r="3" spans="1:12">
      <c r="A3" s="877" t="s">
        <v>783</v>
      </c>
      <c r="B3" s="878">
        <f t="shared" ref="B3:L3" si="0">SUM(B4:B14)</f>
        <v>-301.70299999999997</v>
      </c>
      <c r="C3" s="878">
        <f t="shared" si="0"/>
        <v>279.39859999999999</v>
      </c>
      <c r="D3" s="878">
        <f t="shared" si="0"/>
        <v>253.14225999999999</v>
      </c>
      <c r="E3" s="878">
        <f t="shared" si="0"/>
        <v>22.259500000000003</v>
      </c>
      <c r="F3" s="878">
        <f t="shared" si="0"/>
        <v>78.272999999999996</v>
      </c>
      <c r="G3" s="878">
        <f t="shared" si="0"/>
        <v>0</v>
      </c>
      <c r="H3" s="878">
        <f t="shared" si="0"/>
        <v>-46.106999999999999</v>
      </c>
      <c r="I3" s="878">
        <f>SUM(I4:I14)</f>
        <v>0</v>
      </c>
      <c r="J3" s="878">
        <f t="shared" si="0"/>
        <v>0</v>
      </c>
      <c r="K3" s="878">
        <f t="shared" si="0"/>
        <v>0</v>
      </c>
      <c r="L3" s="878">
        <f t="shared" si="0"/>
        <v>0</v>
      </c>
    </row>
    <row r="4" spans="1:12">
      <c r="A4" s="879" t="s">
        <v>784</v>
      </c>
      <c r="B4" s="880">
        <v>-211.011</v>
      </c>
      <c r="C4" s="880" t="s">
        <v>1</v>
      </c>
      <c r="D4" s="880" t="s">
        <v>1</v>
      </c>
      <c r="E4" s="880" t="s">
        <v>1</v>
      </c>
      <c r="F4" s="880" t="s">
        <v>1</v>
      </c>
      <c r="G4" s="880" t="s">
        <v>1</v>
      </c>
      <c r="H4" s="880" t="s">
        <v>1</v>
      </c>
      <c r="I4" s="880" t="s">
        <v>1</v>
      </c>
      <c r="J4" s="880" t="s">
        <v>1</v>
      </c>
      <c r="K4" s="880" t="s">
        <v>1</v>
      </c>
      <c r="L4" s="880" t="s">
        <v>1</v>
      </c>
    </row>
    <row r="5" spans="1:12">
      <c r="A5" s="879" t="s">
        <v>785</v>
      </c>
      <c r="B5" s="880" t="s">
        <v>1</v>
      </c>
      <c r="C5" s="880">
        <v>59.067999999999998</v>
      </c>
      <c r="D5" s="880" t="s">
        <v>1</v>
      </c>
      <c r="E5" s="880" t="s">
        <v>1</v>
      </c>
      <c r="F5" s="880" t="s">
        <v>1</v>
      </c>
      <c r="G5" s="880" t="s">
        <v>1</v>
      </c>
      <c r="H5" s="880" t="s">
        <v>1</v>
      </c>
      <c r="I5" s="880" t="s">
        <v>1</v>
      </c>
      <c r="J5" s="880" t="s">
        <v>1</v>
      </c>
      <c r="K5" s="880" t="s">
        <v>1</v>
      </c>
      <c r="L5" s="880" t="s">
        <v>1</v>
      </c>
    </row>
    <row r="6" spans="1:12">
      <c r="A6" s="879" t="s">
        <v>786</v>
      </c>
      <c r="B6" s="880" t="s">
        <v>1</v>
      </c>
      <c r="C6" s="880">
        <v>88.46</v>
      </c>
      <c r="D6" s="880" t="s">
        <v>1</v>
      </c>
      <c r="E6" s="880" t="s">
        <v>1</v>
      </c>
      <c r="F6" s="880">
        <v>163.9</v>
      </c>
      <c r="G6" s="880" t="s">
        <v>1</v>
      </c>
      <c r="H6" s="880" t="s">
        <v>1</v>
      </c>
      <c r="I6" s="880" t="s">
        <v>1</v>
      </c>
      <c r="J6" s="880" t="s">
        <v>1</v>
      </c>
      <c r="K6" s="880" t="s">
        <v>1</v>
      </c>
      <c r="L6" s="880" t="s">
        <v>1</v>
      </c>
    </row>
    <row r="7" spans="1:12">
      <c r="A7" s="879" t="s">
        <v>787</v>
      </c>
      <c r="B7" s="880">
        <v>-112.6</v>
      </c>
      <c r="C7" s="880" t="s">
        <v>1</v>
      </c>
      <c r="D7" s="880" t="s">
        <v>1</v>
      </c>
      <c r="E7" s="880" t="s">
        <v>1</v>
      </c>
      <c r="F7" s="880" t="s">
        <v>1</v>
      </c>
      <c r="G7" s="880" t="s">
        <v>1</v>
      </c>
      <c r="H7" s="880" t="s">
        <v>1</v>
      </c>
      <c r="I7" s="880" t="s">
        <v>1</v>
      </c>
      <c r="J7" s="880" t="s">
        <v>1</v>
      </c>
      <c r="K7" s="880" t="s">
        <v>1</v>
      </c>
      <c r="L7" s="880" t="s">
        <v>1</v>
      </c>
    </row>
    <row r="8" spans="1:12">
      <c r="A8" s="879" t="s">
        <v>788</v>
      </c>
      <c r="B8" s="880" t="s">
        <v>1</v>
      </c>
      <c r="C8" s="880" t="s">
        <v>1</v>
      </c>
      <c r="D8" s="880">
        <v>40.164659999999998</v>
      </c>
      <c r="E8" s="880" t="s">
        <v>1</v>
      </c>
      <c r="F8" s="880" t="s">
        <v>1</v>
      </c>
      <c r="G8" s="880" t="s">
        <v>1</v>
      </c>
      <c r="H8" s="880" t="s">
        <v>1</v>
      </c>
      <c r="I8" s="880" t="s">
        <v>1</v>
      </c>
      <c r="J8" s="880" t="s">
        <v>1</v>
      </c>
      <c r="K8" s="880" t="s">
        <v>1</v>
      </c>
      <c r="L8" s="880" t="s">
        <v>1</v>
      </c>
    </row>
    <row r="9" spans="1:12" s="883" customFormat="1">
      <c r="A9" s="881" t="s">
        <v>789</v>
      </c>
      <c r="B9" s="882" t="s">
        <v>1</v>
      </c>
      <c r="C9" s="882">
        <v>109.863</v>
      </c>
      <c r="D9" s="882">
        <v>185.97</v>
      </c>
      <c r="E9" s="882" t="s">
        <v>1</v>
      </c>
      <c r="F9" s="882" t="s">
        <v>1</v>
      </c>
      <c r="G9" s="882" t="s">
        <v>1</v>
      </c>
      <c r="H9" s="882" t="s">
        <v>1</v>
      </c>
      <c r="I9" s="880" t="s">
        <v>1</v>
      </c>
      <c r="J9" s="880" t="s">
        <v>1</v>
      </c>
      <c r="K9" s="880" t="s">
        <v>1</v>
      </c>
      <c r="L9" s="880" t="s">
        <v>1</v>
      </c>
    </row>
    <row r="10" spans="1:12">
      <c r="A10" s="881" t="s">
        <v>790</v>
      </c>
      <c r="B10" s="880" t="s">
        <v>1</v>
      </c>
      <c r="C10" s="880" t="s">
        <v>1</v>
      </c>
      <c r="D10" s="880" t="s">
        <v>1</v>
      </c>
      <c r="E10" s="880">
        <v>-8.08</v>
      </c>
      <c r="F10" s="880">
        <v>-58.451999999999998</v>
      </c>
      <c r="G10" s="880" t="s">
        <v>1</v>
      </c>
      <c r="H10" s="880" t="s">
        <v>1</v>
      </c>
      <c r="I10" s="880" t="s">
        <v>1</v>
      </c>
      <c r="J10" s="880" t="s">
        <v>1</v>
      </c>
      <c r="K10" s="880" t="s">
        <v>1</v>
      </c>
      <c r="L10" s="880" t="s">
        <v>1</v>
      </c>
    </row>
    <row r="11" spans="1:12">
      <c r="A11" s="881" t="s">
        <v>791</v>
      </c>
      <c r="B11" s="880" t="s">
        <v>1</v>
      </c>
      <c r="C11" s="880" t="s">
        <v>1</v>
      </c>
      <c r="D11" s="880" t="s">
        <v>1</v>
      </c>
      <c r="E11" s="880" t="s">
        <v>1</v>
      </c>
      <c r="F11" s="880">
        <v>12.137</v>
      </c>
      <c r="G11" s="880" t="s">
        <v>1</v>
      </c>
      <c r="H11" s="880" t="s">
        <v>1</v>
      </c>
      <c r="I11" s="880" t="s">
        <v>1</v>
      </c>
      <c r="J11" s="880" t="s">
        <v>1</v>
      </c>
      <c r="K11" s="880" t="s">
        <v>1</v>
      </c>
      <c r="L11" s="880" t="s">
        <v>1</v>
      </c>
    </row>
    <row r="12" spans="1:12">
      <c r="A12" s="881" t="s">
        <v>792</v>
      </c>
      <c r="B12" s="880" t="s">
        <v>1</v>
      </c>
      <c r="C12" s="880" t="s">
        <v>1</v>
      </c>
      <c r="D12" s="880" t="s">
        <v>1</v>
      </c>
      <c r="E12" s="880" t="s">
        <v>1</v>
      </c>
      <c r="F12" s="880">
        <v>-87.4</v>
      </c>
      <c r="G12" s="880" t="s">
        <v>1</v>
      </c>
      <c r="H12" s="880" t="s">
        <v>1</v>
      </c>
      <c r="I12" s="880" t="s">
        <v>1</v>
      </c>
      <c r="J12" s="880" t="s">
        <v>1</v>
      </c>
      <c r="K12" s="880" t="s">
        <v>1</v>
      </c>
      <c r="L12" s="880" t="s">
        <v>1</v>
      </c>
    </row>
    <row r="13" spans="1:12">
      <c r="A13" s="884" t="s">
        <v>793</v>
      </c>
      <c r="B13" s="880">
        <v>21.908000000000001</v>
      </c>
      <c r="C13" s="880">
        <v>22.0076</v>
      </c>
      <c r="D13" s="880">
        <v>27.0076</v>
      </c>
      <c r="E13" s="880">
        <v>30.339500000000001</v>
      </c>
      <c r="F13" s="880">
        <v>48.088000000000001</v>
      </c>
      <c r="G13" s="880" t="s">
        <v>1</v>
      </c>
      <c r="H13" s="880" t="s">
        <v>1</v>
      </c>
      <c r="I13" s="880" t="s">
        <v>1</v>
      </c>
      <c r="J13" s="880" t="s">
        <v>1</v>
      </c>
      <c r="K13" s="880" t="s">
        <v>1</v>
      </c>
      <c r="L13" s="880" t="s">
        <v>1</v>
      </c>
    </row>
    <row r="14" spans="1:12">
      <c r="A14" s="885" t="s">
        <v>794</v>
      </c>
      <c r="B14" s="880" t="s">
        <v>1</v>
      </c>
      <c r="C14" s="880" t="s">
        <v>1</v>
      </c>
      <c r="D14" s="880" t="s">
        <v>1</v>
      </c>
      <c r="E14" s="880" t="s">
        <v>1</v>
      </c>
      <c r="F14" s="880" t="s">
        <v>1</v>
      </c>
      <c r="G14" s="880" t="s">
        <v>1</v>
      </c>
      <c r="H14" s="880">
        <v>-46.106999999999999</v>
      </c>
      <c r="I14" s="880" t="s">
        <v>1</v>
      </c>
      <c r="J14" s="880" t="s">
        <v>1</v>
      </c>
      <c r="K14" s="880" t="s">
        <v>1</v>
      </c>
      <c r="L14" s="880" t="s">
        <v>1</v>
      </c>
    </row>
    <row r="15" spans="1:12">
      <c r="A15" s="877" t="s">
        <v>795</v>
      </c>
      <c r="B15" s="878">
        <f>SUM(B16:B22)</f>
        <v>146.41200000000001</v>
      </c>
      <c r="C15" s="878">
        <f t="shared" ref="C15:L15" si="1">SUM(C16:C22)</f>
        <v>109.685</v>
      </c>
      <c r="D15" s="878">
        <f t="shared" si="1"/>
        <v>146.56700000000001</v>
      </c>
      <c r="E15" s="878">
        <f t="shared" si="1"/>
        <v>554.3094298382</v>
      </c>
      <c r="F15" s="878">
        <f t="shared" si="1"/>
        <v>562.98611015999995</v>
      </c>
      <c r="G15" s="878">
        <f t="shared" si="1"/>
        <v>1890.3538217700002</v>
      </c>
      <c r="H15" s="878">
        <f t="shared" si="1"/>
        <v>162.65658101</v>
      </c>
      <c r="I15" s="878">
        <f>SUM(I16:I22)</f>
        <v>65</v>
      </c>
      <c r="J15" s="878">
        <f t="shared" si="1"/>
        <v>64</v>
      </c>
      <c r="K15" s="878">
        <f t="shared" si="1"/>
        <v>68</v>
      </c>
      <c r="L15" s="878">
        <f t="shared" si="1"/>
        <v>68</v>
      </c>
    </row>
    <row r="16" spans="1:12">
      <c r="A16" s="884" t="s">
        <v>796</v>
      </c>
      <c r="B16" s="880" t="s">
        <v>1</v>
      </c>
      <c r="C16" s="880" t="s">
        <v>1</v>
      </c>
      <c r="D16" s="880">
        <v>44.234000000000002</v>
      </c>
      <c r="E16" s="880">
        <v>239.739</v>
      </c>
      <c r="F16" s="880" t="s">
        <v>1</v>
      </c>
      <c r="G16" s="882">
        <v>579.35599999999999</v>
      </c>
      <c r="H16" s="880" t="s">
        <v>1</v>
      </c>
      <c r="I16" s="880" t="s">
        <v>1</v>
      </c>
      <c r="J16" s="880" t="s">
        <v>1</v>
      </c>
      <c r="K16" s="880" t="s">
        <v>1</v>
      </c>
      <c r="L16" s="880" t="s">
        <v>1</v>
      </c>
    </row>
    <row r="17" spans="1:12">
      <c r="A17" s="881" t="s">
        <v>789</v>
      </c>
      <c r="B17" s="880">
        <v>146.41200000000001</v>
      </c>
      <c r="C17" s="880">
        <v>109.685</v>
      </c>
      <c r="D17" s="880">
        <v>92.582999999999998</v>
      </c>
      <c r="E17" s="880">
        <v>312.27100000000002</v>
      </c>
      <c r="F17" s="880">
        <v>336.84500000000003</v>
      </c>
      <c r="G17" s="880">
        <v>169.35400000000001</v>
      </c>
      <c r="H17" s="880">
        <f>207.287</f>
        <v>207.28700000000001</v>
      </c>
      <c r="I17" s="882">
        <v>65</v>
      </c>
      <c r="J17" s="882">
        <v>64</v>
      </c>
      <c r="K17" s="882">
        <v>68</v>
      </c>
      <c r="L17" s="882">
        <v>68</v>
      </c>
    </row>
    <row r="18" spans="1:12">
      <c r="A18" s="884" t="s">
        <v>797</v>
      </c>
      <c r="B18" s="880" t="s">
        <v>1</v>
      </c>
      <c r="C18" s="880" t="s">
        <v>1</v>
      </c>
      <c r="D18" s="880" t="s">
        <v>1</v>
      </c>
      <c r="E18" s="880" t="s">
        <v>1</v>
      </c>
      <c r="F18" s="880" t="s">
        <v>1</v>
      </c>
      <c r="G18" s="880">
        <v>800</v>
      </c>
      <c r="H18" s="880" t="s">
        <v>1</v>
      </c>
      <c r="I18" s="880" t="s">
        <v>1</v>
      </c>
      <c r="J18" s="880" t="s">
        <v>1</v>
      </c>
      <c r="K18" s="880" t="s">
        <v>1</v>
      </c>
      <c r="L18" s="880" t="s">
        <v>1</v>
      </c>
    </row>
    <row r="19" spans="1:12">
      <c r="A19" s="884" t="s">
        <v>798</v>
      </c>
      <c r="B19" s="886" t="s">
        <v>1</v>
      </c>
      <c r="C19" s="886" t="s">
        <v>1</v>
      </c>
      <c r="D19" s="886" t="s">
        <v>1</v>
      </c>
      <c r="E19" s="886" t="s">
        <v>1</v>
      </c>
      <c r="F19" s="886">
        <v>157.75559999999999</v>
      </c>
      <c r="G19" s="886" t="s">
        <v>1</v>
      </c>
      <c r="H19" s="886" t="s">
        <v>1</v>
      </c>
      <c r="I19" s="886" t="s">
        <v>1</v>
      </c>
      <c r="J19" s="886" t="s">
        <v>1</v>
      </c>
      <c r="K19" s="886" t="s">
        <v>1</v>
      </c>
      <c r="L19" s="886" t="s">
        <v>1</v>
      </c>
    </row>
    <row r="20" spans="1:12">
      <c r="A20" s="884" t="s">
        <v>799</v>
      </c>
      <c r="B20" s="886" t="s">
        <v>1</v>
      </c>
      <c r="C20" s="886" t="s">
        <v>1</v>
      </c>
      <c r="D20" s="886">
        <v>9.75</v>
      </c>
      <c r="E20" s="886">
        <v>19.5</v>
      </c>
      <c r="F20" s="886">
        <v>19.5</v>
      </c>
      <c r="G20" s="886">
        <v>117.22</v>
      </c>
      <c r="H20" s="886" t="s">
        <v>1</v>
      </c>
      <c r="I20" s="886" t="s">
        <v>1</v>
      </c>
      <c r="J20" s="886" t="s">
        <v>1</v>
      </c>
      <c r="K20" s="886" t="s">
        <v>1</v>
      </c>
      <c r="L20" s="886" t="s">
        <v>1</v>
      </c>
    </row>
    <row r="21" spans="1:12">
      <c r="A21" s="887" t="s">
        <v>800</v>
      </c>
      <c r="B21" s="886" t="s">
        <v>1</v>
      </c>
      <c r="C21" s="886" t="s">
        <v>1</v>
      </c>
      <c r="D21" s="886" t="s">
        <v>1</v>
      </c>
      <c r="E21" s="886">
        <v>-17.200570161800002</v>
      </c>
      <c r="F21" s="886">
        <v>48.885510159999995</v>
      </c>
      <c r="G21" s="886">
        <v>224.42382177000002</v>
      </c>
      <c r="H21" s="886">
        <v>-44.630418990000003</v>
      </c>
      <c r="I21" s="886" t="s">
        <v>1</v>
      </c>
      <c r="J21" s="886" t="s">
        <v>1</v>
      </c>
      <c r="K21" s="886" t="s">
        <v>1</v>
      </c>
      <c r="L21" s="886" t="s">
        <v>1</v>
      </c>
    </row>
    <row r="22" spans="1:12">
      <c r="A22" s="887" t="s">
        <v>801</v>
      </c>
      <c r="B22" s="886" t="s">
        <v>1</v>
      </c>
      <c r="C22" s="886" t="s">
        <v>1</v>
      </c>
      <c r="D22" s="886" t="s">
        <v>1</v>
      </c>
      <c r="E22" s="886" t="s">
        <v>1</v>
      </c>
      <c r="F22" s="886" t="s">
        <v>1</v>
      </c>
      <c r="G22" s="886" t="s">
        <v>1</v>
      </c>
      <c r="H22" s="886" t="s">
        <v>1</v>
      </c>
      <c r="I22" s="886" t="s">
        <v>1</v>
      </c>
      <c r="J22" s="886" t="s">
        <v>1</v>
      </c>
      <c r="K22" s="886" t="s">
        <v>1</v>
      </c>
      <c r="L22" s="886" t="s">
        <v>1</v>
      </c>
    </row>
    <row r="23" spans="1:12">
      <c r="A23" s="888" t="s">
        <v>802</v>
      </c>
      <c r="B23" s="880">
        <f>SUM(B24:B26)</f>
        <v>-181.88200000000001</v>
      </c>
      <c r="C23" s="880">
        <f t="shared" ref="C23:I23" si="2">SUM(C24:C26)</f>
        <v>-491.54600000000005</v>
      </c>
      <c r="D23" s="880">
        <f t="shared" si="2"/>
        <v>172.744</v>
      </c>
      <c r="E23" s="880">
        <f t="shared" si="2"/>
        <v>67.753999999999991</v>
      </c>
      <c r="F23" s="880">
        <f t="shared" si="2"/>
        <v>-422.51800000000003</v>
      </c>
      <c r="G23" s="880">
        <f t="shared" si="2"/>
        <v>-64.265252779999969</v>
      </c>
      <c r="H23" s="880">
        <f t="shared" si="2"/>
        <v>1048.665</v>
      </c>
      <c r="I23" s="880">
        <f t="shared" si="2"/>
        <v>-4.0870000000000033</v>
      </c>
      <c r="J23" s="880">
        <f>SUM(J24:J26)</f>
        <v>80</v>
      </c>
      <c r="K23" s="880">
        <f>SUM(K24:K26)</f>
        <v>80</v>
      </c>
      <c r="L23" s="880">
        <f>SUM(L24:L26)</f>
        <v>80</v>
      </c>
    </row>
    <row r="24" spans="1:12">
      <c r="A24" s="884" t="s">
        <v>803</v>
      </c>
      <c r="B24" s="880">
        <v>-225.93600000000001</v>
      </c>
      <c r="C24" s="880">
        <v>-60.034999999999997</v>
      </c>
      <c r="D24" s="880">
        <v>113.09399999999999</v>
      </c>
      <c r="E24" s="880">
        <v>148.21199999999999</v>
      </c>
      <c r="F24" s="880">
        <v>-756.00900000000001</v>
      </c>
      <c r="G24" s="880">
        <v>-22.795000000000002</v>
      </c>
      <c r="H24" s="880">
        <v>209.81</v>
      </c>
      <c r="I24" s="882">
        <v>-81.787000000000006</v>
      </c>
      <c r="J24" s="880">
        <v>0</v>
      </c>
      <c r="K24" s="880">
        <v>0</v>
      </c>
      <c r="L24" s="880">
        <v>0</v>
      </c>
    </row>
    <row r="25" spans="1:12">
      <c r="A25" s="884" t="s">
        <v>804</v>
      </c>
      <c r="B25" s="880" t="s">
        <v>1</v>
      </c>
      <c r="C25" s="880" t="s">
        <v>1</v>
      </c>
      <c r="D25" s="880" t="s">
        <v>1</v>
      </c>
      <c r="E25" s="882">
        <v>124.514</v>
      </c>
      <c r="F25" s="882">
        <v>111.01</v>
      </c>
      <c r="G25" s="882">
        <v>242.53299999999999</v>
      </c>
      <c r="H25" s="880">
        <v>187.65799999999999</v>
      </c>
      <c r="I25" s="882">
        <v>77.7</v>
      </c>
      <c r="J25" s="880">
        <v>80</v>
      </c>
      <c r="K25" s="880">
        <v>80</v>
      </c>
      <c r="L25" s="880">
        <v>80</v>
      </c>
    </row>
    <row r="26" spans="1:12" s="883" customFormat="1">
      <c r="A26" s="884" t="s">
        <v>805</v>
      </c>
      <c r="B26" s="882">
        <v>44.054000000000002</v>
      </c>
      <c r="C26" s="882">
        <v>-431.51100000000002</v>
      </c>
      <c r="D26" s="882">
        <v>59.65</v>
      </c>
      <c r="E26" s="882">
        <v>-204.97200000000001</v>
      </c>
      <c r="F26" s="882">
        <v>222.48099999999999</v>
      </c>
      <c r="G26" s="882">
        <v>-284.00325277999997</v>
      </c>
      <c r="H26" s="882">
        <v>651.197</v>
      </c>
      <c r="I26" s="882" t="s">
        <v>1</v>
      </c>
      <c r="J26" s="882" t="s">
        <v>1</v>
      </c>
      <c r="K26" s="882" t="s">
        <v>1</v>
      </c>
      <c r="L26" s="889" t="s">
        <v>1</v>
      </c>
    </row>
    <row r="27" spans="1:12" hidden="1">
      <c r="A27" s="877"/>
      <c r="B27" s="878"/>
      <c r="C27" s="878"/>
      <c r="D27" s="878"/>
      <c r="E27" s="878"/>
      <c r="F27" s="878"/>
      <c r="G27" s="878"/>
      <c r="H27" s="878"/>
      <c r="I27" s="878"/>
      <c r="J27" s="878"/>
      <c r="K27" s="878"/>
      <c r="L27" s="873"/>
    </row>
    <row r="28" spans="1:12" hidden="1">
      <c r="A28" s="877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3"/>
    </row>
    <row r="29" spans="1:12">
      <c r="A29" s="890" t="s">
        <v>806</v>
      </c>
      <c r="B29" s="891">
        <f t="shared" ref="B29:L29" si="3">B3+B23+B15</f>
        <v>-337.173</v>
      </c>
      <c r="C29" s="891">
        <f t="shared" si="3"/>
        <v>-102.46240000000006</v>
      </c>
      <c r="D29" s="891">
        <f t="shared" si="3"/>
        <v>572.45326</v>
      </c>
      <c r="E29" s="891">
        <f t="shared" si="3"/>
        <v>644.32292983820003</v>
      </c>
      <c r="F29" s="891">
        <f t="shared" si="3"/>
        <v>218.74111015999995</v>
      </c>
      <c r="G29" s="891">
        <f t="shared" si="3"/>
        <v>1826.0885689900001</v>
      </c>
      <c r="H29" s="891">
        <f t="shared" si="3"/>
        <v>1165.2145810100001</v>
      </c>
      <c r="I29" s="891">
        <f t="shared" si="3"/>
        <v>60.912999999999997</v>
      </c>
      <c r="J29" s="891">
        <f t="shared" si="3"/>
        <v>144</v>
      </c>
      <c r="K29" s="891">
        <f t="shared" si="3"/>
        <v>148</v>
      </c>
      <c r="L29" s="891">
        <f t="shared" si="3"/>
        <v>148</v>
      </c>
    </row>
    <row r="30" spans="1:12">
      <c r="A30" s="892" t="s">
        <v>509</v>
      </c>
      <c r="B30" s="893">
        <v>-0.49894417208145336</v>
      </c>
      <c r="C30" s="893">
        <v>-0.14507498527479507</v>
      </c>
      <c r="D30" s="893">
        <v>0.7873806075360883</v>
      </c>
      <c r="E30" s="893">
        <v>0.86871214581413758</v>
      </c>
      <c r="F30" s="893">
        <v>0.28748512923228153</v>
      </c>
      <c r="G30" s="893">
        <v>2.3145397876075462</v>
      </c>
      <c r="H30" s="893">
        <v>1.4358073159480587</v>
      </c>
      <c r="I30" s="893">
        <v>7.1827657268018708E-2</v>
      </c>
      <c r="J30" s="893">
        <v>0.16051376659680605</v>
      </c>
      <c r="K30" s="893">
        <v>0.15498763709318075</v>
      </c>
      <c r="L30" s="893">
        <v>0.14617010039234532</v>
      </c>
    </row>
    <row r="31" spans="1:12">
      <c r="A31" s="894" t="s">
        <v>807</v>
      </c>
      <c r="B31" s="895"/>
      <c r="C31" s="895"/>
      <c r="D31" s="895"/>
      <c r="E31" s="895"/>
      <c r="F31" s="895"/>
      <c r="G31" s="895"/>
      <c r="I31" s="896"/>
      <c r="J31" s="896"/>
      <c r="K31" s="896"/>
      <c r="L31" s="896" t="s">
        <v>808</v>
      </c>
    </row>
    <row r="32" spans="1:12">
      <c r="A32" s="873"/>
      <c r="B32" s="895"/>
      <c r="C32" s="895"/>
      <c r="D32" s="895"/>
      <c r="E32" s="895"/>
      <c r="F32" s="895"/>
      <c r="G32" s="895"/>
      <c r="H32" s="895"/>
      <c r="I32" s="897"/>
      <c r="J32" s="895"/>
      <c r="K32" s="873"/>
      <c r="L32" s="873"/>
    </row>
    <row r="33" spans="1:12">
      <c r="A33" s="873"/>
      <c r="B33" s="873"/>
      <c r="C33" s="873"/>
      <c r="D33" s="873"/>
      <c r="E33" s="873"/>
      <c r="F33" s="873"/>
      <c r="G33" s="873"/>
      <c r="H33" s="873"/>
      <c r="I33" s="873"/>
      <c r="J33" s="873"/>
      <c r="K33" s="873"/>
      <c r="L33" s="873"/>
    </row>
    <row r="34" spans="1:12">
      <c r="A34" s="873"/>
      <c r="B34" s="873"/>
      <c r="C34" s="873"/>
      <c r="D34" s="873"/>
      <c r="E34" s="873"/>
      <c r="F34" s="873"/>
      <c r="G34" s="873"/>
      <c r="H34" s="873"/>
      <c r="I34" s="873"/>
      <c r="J34" s="873"/>
      <c r="K34" s="873"/>
      <c r="L34" s="873"/>
    </row>
    <row r="35" spans="1:12">
      <c r="A35" s="873"/>
      <c r="B35" s="873"/>
      <c r="C35" s="873"/>
      <c r="D35" s="873"/>
      <c r="E35" s="873"/>
      <c r="F35" s="873"/>
      <c r="G35" s="873"/>
      <c r="H35" s="873"/>
      <c r="I35" s="873"/>
      <c r="J35" s="873"/>
      <c r="K35" s="873"/>
      <c r="L35" s="873"/>
    </row>
    <row r="36" spans="1:12">
      <c r="A36" s="873"/>
      <c r="B36" s="873"/>
      <c r="C36" s="873"/>
      <c r="D36" s="873"/>
      <c r="E36" s="873"/>
      <c r="F36" s="873"/>
      <c r="G36" s="873"/>
      <c r="H36" s="873"/>
      <c r="I36" s="873"/>
      <c r="J36" s="873"/>
      <c r="K36" s="873"/>
      <c r="L36" s="873"/>
    </row>
    <row r="37" spans="1:12">
      <c r="A37" s="873"/>
      <c r="B37" s="873"/>
      <c r="C37" s="873"/>
      <c r="D37" s="873"/>
      <c r="E37" s="873"/>
      <c r="F37" s="873"/>
      <c r="G37" s="873"/>
      <c r="H37" s="873"/>
      <c r="I37" s="873"/>
      <c r="J37" s="873"/>
      <c r="K37" s="873"/>
      <c r="L37" s="873"/>
    </row>
    <row r="38" spans="1:12">
      <c r="A38" s="873"/>
      <c r="B38" s="873"/>
      <c r="C38" s="873"/>
      <c r="D38" s="873"/>
      <c r="E38" s="873"/>
      <c r="F38" s="873"/>
      <c r="G38" s="873"/>
      <c r="H38" s="873"/>
      <c r="I38" s="873"/>
      <c r="J38" s="873"/>
      <c r="K38" s="873"/>
      <c r="L38" s="873"/>
    </row>
    <row r="39" spans="1:12">
      <c r="A39" s="873"/>
      <c r="B39" s="873"/>
      <c r="C39" s="873"/>
      <c r="D39" s="873"/>
      <c r="E39" s="873"/>
      <c r="F39" s="873"/>
      <c r="G39" s="873"/>
      <c r="H39" s="873"/>
      <c r="I39" s="873"/>
      <c r="J39" s="873"/>
      <c r="K39" s="873"/>
      <c r="L39" s="873"/>
    </row>
    <row r="40" spans="1:12">
      <c r="A40" s="873"/>
      <c r="B40" s="873"/>
      <c r="C40" s="873"/>
      <c r="D40" s="873"/>
      <c r="E40" s="873"/>
      <c r="F40" s="873"/>
      <c r="G40" s="873"/>
      <c r="H40" s="873"/>
      <c r="I40" s="873"/>
      <c r="J40" s="873"/>
      <c r="K40" s="873"/>
      <c r="L40" s="873"/>
    </row>
    <row r="41" spans="1:12">
      <c r="A41" s="873"/>
      <c r="B41" s="873"/>
      <c r="C41" s="873"/>
      <c r="D41" s="873"/>
      <c r="E41" s="873"/>
      <c r="F41" s="873"/>
      <c r="G41" s="873"/>
      <c r="H41" s="873"/>
      <c r="I41" s="873"/>
      <c r="J41" s="873"/>
      <c r="K41" s="873"/>
      <c r="L41" s="873"/>
    </row>
    <row r="42" spans="1:12">
      <c r="A42" s="873"/>
      <c r="B42" s="873"/>
      <c r="C42" s="873"/>
      <c r="D42" s="873"/>
      <c r="E42" s="873"/>
      <c r="F42" s="873"/>
      <c r="G42" s="873"/>
      <c r="H42" s="873"/>
      <c r="I42" s="873"/>
      <c r="J42" s="873"/>
      <c r="K42" s="873"/>
      <c r="L42" s="873"/>
    </row>
    <row r="43" spans="1:12">
      <c r="A43" s="873"/>
      <c r="B43" s="873"/>
      <c r="C43" s="873"/>
      <c r="D43" s="873"/>
      <c r="E43" s="873"/>
      <c r="F43" s="873"/>
      <c r="G43" s="873"/>
      <c r="H43" s="873"/>
      <c r="I43" s="873"/>
      <c r="J43" s="873"/>
      <c r="K43" s="873"/>
      <c r="L43" s="873"/>
    </row>
    <row r="44" spans="1:12">
      <c r="A44" s="873"/>
      <c r="B44" s="873"/>
      <c r="C44" s="873"/>
      <c r="D44" s="873"/>
      <c r="E44" s="873"/>
      <c r="F44" s="873"/>
      <c r="G44" s="873"/>
      <c r="H44" s="873"/>
      <c r="I44" s="873"/>
      <c r="J44" s="873"/>
      <c r="K44" s="873"/>
      <c r="L44" s="873"/>
    </row>
    <row r="45" spans="1:12">
      <c r="A45" s="873"/>
      <c r="B45" s="873"/>
      <c r="C45" s="873"/>
      <c r="D45" s="873"/>
      <c r="E45" s="873"/>
      <c r="F45" s="873"/>
      <c r="G45" s="873"/>
      <c r="H45" s="873"/>
      <c r="I45" s="873"/>
      <c r="J45" s="873"/>
      <c r="K45" s="873"/>
      <c r="L45" s="873"/>
    </row>
    <row r="46" spans="1:12">
      <c r="A46" s="873"/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</row>
    <row r="47" spans="1:12">
      <c r="A47" s="873"/>
      <c r="B47" s="873"/>
      <c r="C47" s="873"/>
      <c r="D47" s="873"/>
      <c r="E47" s="873"/>
      <c r="F47" s="873"/>
      <c r="G47" s="873"/>
      <c r="H47" s="873"/>
      <c r="I47" s="873"/>
      <c r="J47" s="873"/>
      <c r="K47" s="873"/>
      <c r="L47" s="873"/>
    </row>
    <row r="48" spans="1:12">
      <c r="A48" s="873"/>
      <c r="B48" s="873"/>
      <c r="C48" s="873"/>
      <c r="D48" s="873"/>
      <c r="E48" s="873"/>
      <c r="F48" s="873"/>
      <c r="G48" s="873"/>
      <c r="H48" s="873"/>
      <c r="I48" s="873"/>
      <c r="J48" s="873"/>
      <c r="K48" s="873"/>
      <c r="L48" s="873"/>
    </row>
    <row r="49" spans="1:12">
      <c r="A49" s="873"/>
      <c r="B49" s="873"/>
      <c r="C49" s="873"/>
      <c r="D49" s="873"/>
      <c r="E49" s="873"/>
      <c r="F49" s="873"/>
      <c r="G49" s="873"/>
      <c r="H49" s="873"/>
      <c r="I49" s="873"/>
      <c r="J49" s="873"/>
      <c r="K49" s="873"/>
      <c r="L49" s="873"/>
    </row>
    <row r="50" spans="1:12">
      <c r="A50" s="873"/>
      <c r="B50" s="873"/>
      <c r="C50" s="873"/>
      <c r="D50" s="873"/>
      <c r="E50" s="873"/>
      <c r="F50" s="873"/>
      <c r="G50" s="873"/>
      <c r="H50" s="873"/>
      <c r="I50" s="873"/>
      <c r="J50" s="873"/>
      <c r="K50" s="873"/>
      <c r="L50" s="873"/>
    </row>
    <row r="51" spans="1:12">
      <c r="A51" s="873"/>
      <c r="B51" s="873"/>
      <c r="C51" s="873"/>
      <c r="D51" s="873"/>
      <c r="E51" s="873"/>
      <c r="F51" s="873"/>
      <c r="G51" s="873"/>
      <c r="H51" s="873"/>
      <c r="I51" s="873"/>
      <c r="J51" s="873"/>
      <c r="K51" s="873"/>
      <c r="L51" s="873"/>
    </row>
    <row r="52" spans="1:12">
      <c r="A52" s="873"/>
      <c r="B52" s="873"/>
      <c r="C52" s="873"/>
      <c r="D52" s="873"/>
      <c r="E52" s="873"/>
      <c r="F52" s="873"/>
      <c r="G52" s="873"/>
      <c r="H52" s="873"/>
      <c r="I52" s="873"/>
      <c r="J52" s="873"/>
      <c r="K52" s="873"/>
      <c r="L52" s="873"/>
    </row>
    <row r="53" spans="1:12">
      <c r="A53" s="873"/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3"/>
    </row>
    <row r="54" spans="1:12">
      <c r="A54" s="873"/>
      <c r="B54" s="873"/>
      <c r="C54" s="873"/>
      <c r="D54" s="873"/>
      <c r="E54" s="873"/>
      <c r="F54" s="873"/>
      <c r="G54" s="873"/>
      <c r="H54" s="873"/>
      <c r="I54" s="873"/>
      <c r="J54" s="873"/>
      <c r="K54" s="873"/>
      <c r="L54" s="873"/>
    </row>
    <row r="55" spans="1:12">
      <c r="A55" s="873"/>
      <c r="B55" s="873"/>
      <c r="C55" s="873"/>
      <c r="D55" s="873"/>
      <c r="E55" s="873"/>
      <c r="F55" s="873"/>
      <c r="G55" s="873"/>
      <c r="H55" s="873"/>
      <c r="I55" s="873"/>
      <c r="J55" s="873"/>
      <c r="K55" s="873"/>
      <c r="L55" s="873"/>
    </row>
    <row r="56" spans="1:12">
      <c r="A56" s="873"/>
      <c r="B56" s="873"/>
      <c r="C56" s="873"/>
      <c r="D56" s="873"/>
      <c r="E56" s="873"/>
      <c r="F56" s="873"/>
      <c r="G56" s="873"/>
      <c r="H56" s="873"/>
      <c r="I56" s="873"/>
      <c r="J56" s="873"/>
      <c r="K56" s="873"/>
      <c r="L56" s="873"/>
    </row>
    <row r="57" spans="1:12">
      <c r="A57" s="873"/>
      <c r="B57" s="873"/>
      <c r="C57" s="873"/>
      <c r="D57" s="873"/>
      <c r="E57" s="873"/>
      <c r="F57" s="873"/>
      <c r="G57" s="873"/>
      <c r="H57" s="873"/>
      <c r="I57" s="873"/>
      <c r="J57" s="873"/>
      <c r="K57" s="873"/>
      <c r="L57" s="873"/>
    </row>
    <row r="58" spans="1:12">
      <c r="A58" s="873"/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</row>
    <row r="59" spans="1:12">
      <c r="A59" s="873"/>
      <c r="B59" s="873"/>
      <c r="C59" s="873"/>
      <c r="D59" s="873"/>
      <c r="E59" s="873"/>
      <c r="F59" s="873"/>
      <c r="G59" s="873"/>
      <c r="H59" s="873"/>
      <c r="I59" s="873"/>
      <c r="J59" s="873"/>
      <c r="K59" s="873"/>
      <c r="L59" s="873"/>
    </row>
    <row r="60" spans="1:12">
      <c r="A60" s="873"/>
      <c r="B60" s="873"/>
      <c r="C60" s="873"/>
      <c r="D60" s="873"/>
      <c r="E60" s="873"/>
      <c r="F60" s="873"/>
      <c r="G60" s="873"/>
      <c r="H60" s="873"/>
      <c r="I60" s="873"/>
      <c r="J60" s="873"/>
      <c r="K60" s="873"/>
      <c r="L60" s="873"/>
    </row>
    <row r="61" spans="1:12">
      <c r="A61" s="873"/>
      <c r="B61" s="873"/>
      <c r="C61" s="873"/>
      <c r="D61" s="873"/>
      <c r="E61" s="873"/>
      <c r="F61" s="873"/>
      <c r="G61" s="873"/>
      <c r="H61" s="873"/>
      <c r="I61" s="873"/>
      <c r="J61" s="873"/>
      <c r="K61" s="873"/>
      <c r="L61" s="873"/>
    </row>
    <row r="62" spans="1:12">
      <c r="A62" s="873"/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</row>
    <row r="63" spans="1:12">
      <c r="A63" s="873"/>
      <c r="B63" s="873"/>
      <c r="C63" s="873"/>
      <c r="D63" s="873"/>
      <c r="E63" s="873"/>
      <c r="F63" s="873"/>
      <c r="G63" s="873"/>
      <c r="H63" s="873"/>
      <c r="I63" s="873"/>
      <c r="J63" s="873"/>
      <c r="K63" s="873"/>
      <c r="L63" s="873"/>
    </row>
    <row r="64" spans="1:12">
      <c r="A64" s="873"/>
      <c r="B64" s="873"/>
      <c r="C64" s="873"/>
      <c r="D64" s="873"/>
      <c r="E64" s="873"/>
      <c r="F64" s="873"/>
      <c r="G64" s="873"/>
      <c r="H64" s="873"/>
      <c r="I64" s="873"/>
      <c r="J64" s="873"/>
      <c r="K64" s="873"/>
      <c r="L64" s="873"/>
    </row>
    <row r="65" spans="1:12">
      <c r="A65" s="873"/>
      <c r="B65" s="873"/>
      <c r="C65" s="873"/>
      <c r="D65" s="873"/>
      <c r="E65" s="873"/>
      <c r="F65" s="873"/>
      <c r="G65" s="873"/>
      <c r="H65" s="873"/>
      <c r="I65" s="873"/>
      <c r="J65" s="873"/>
      <c r="K65" s="873"/>
      <c r="L65" s="873"/>
    </row>
    <row r="66" spans="1:12">
      <c r="A66" s="873"/>
      <c r="B66" s="873"/>
      <c r="C66" s="873"/>
      <c r="D66" s="873"/>
      <c r="E66" s="873"/>
      <c r="F66" s="873"/>
      <c r="G66" s="873"/>
      <c r="H66" s="873"/>
      <c r="I66" s="873"/>
      <c r="J66" s="873"/>
      <c r="K66" s="873"/>
      <c r="L66" s="873"/>
    </row>
    <row r="67" spans="1:12">
      <c r="A67" s="873"/>
      <c r="B67" s="873"/>
      <c r="C67" s="873"/>
      <c r="D67" s="873"/>
      <c r="E67" s="873"/>
      <c r="F67" s="873"/>
      <c r="G67" s="873"/>
      <c r="H67" s="873"/>
      <c r="I67" s="873"/>
      <c r="J67" s="873"/>
      <c r="K67" s="873"/>
      <c r="L67" s="873"/>
    </row>
    <row r="68" spans="1:12">
      <c r="A68" s="873"/>
      <c r="B68" s="873"/>
      <c r="C68" s="873"/>
      <c r="D68" s="873"/>
      <c r="E68" s="873"/>
      <c r="F68" s="873"/>
      <c r="G68" s="873"/>
      <c r="H68" s="873"/>
      <c r="I68" s="873"/>
      <c r="J68" s="873"/>
      <c r="K68" s="873"/>
      <c r="L68" s="873"/>
    </row>
    <row r="69" spans="1:12">
      <c r="A69" s="873"/>
      <c r="B69" s="873"/>
      <c r="C69" s="873"/>
      <c r="D69" s="873"/>
      <c r="E69" s="873"/>
      <c r="F69" s="873"/>
      <c r="G69" s="873"/>
      <c r="H69" s="873"/>
      <c r="I69" s="873"/>
      <c r="J69" s="873"/>
      <c r="K69" s="873"/>
      <c r="L69" s="873"/>
    </row>
    <row r="70" spans="1:12">
      <c r="A70" s="873"/>
      <c r="B70" s="873"/>
      <c r="C70" s="873"/>
      <c r="D70" s="873"/>
      <c r="E70" s="873"/>
      <c r="F70" s="873"/>
      <c r="G70" s="873"/>
      <c r="H70" s="873"/>
      <c r="I70" s="873"/>
      <c r="J70" s="873"/>
      <c r="K70" s="873"/>
      <c r="L70" s="873"/>
    </row>
    <row r="71" spans="1:12">
      <c r="A71" s="873"/>
      <c r="B71" s="873"/>
      <c r="C71" s="873"/>
      <c r="D71" s="873"/>
      <c r="E71" s="873"/>
      <c r="F71" s="873"/>
      <c r="G71" s="873"/>
      <c r="H71" s="873"/>
      <c r="I71" s="873"/>
      <c r="J71" s="873"/>
      <c r="K71" s="873"/>
      <c r="L71" s="873"/>
    </row>
    <row r="72" spans="1:12">
      <c r="A72" s="873"/>
      <c r="B72" s="873"/>
      <c r="C72" s="873"/>
      <c r="D72" s="873"/>
      <c r="E72" s="873"/>
      <c r="F72" s="873"/>
      <c r="G72" s="873"/>
      <c r="H72" s="873"/>
      <c r="I72" s="873"/>
      <c r="J72" s="873"/>
      <c r="K72" s="873"/>
      <c r="L72" s="873"/>
    </row>
    <row r="73" spans="1:12">
      <c r="A73" s="873"/>
      <c r="B73" s="873"/>
      <c r="C73" s="873"/>
      <c r="D73" s="873"/>
      <c r="E73" s="873"/>
      <c r="F73" s="873"/>
      <c r="G73" s="873"/>
      <c r="H73" s="873"/>
      <c r="I73" s="873"/>
      <c r="J73" s="873"/>
      <c r="K73" s="873"/>
      <c r="L73" s="873"/>
    </row>
    <row r="74" spans="1:12">
      <c r="A74" s="873"/>
      <c r="B74" s="873"/>
      <c r="C74" s="873"/>
      <c r="D74" s="873"/>
      <c r="E74" s="873"/>
      <c r="F74" s="873"/>
      <c r="G74" s="873"/>
      <c r="H74" s="873"/>
      <c r="I74" s="873"/>
      <c r="J74" s="873"/>
      <c r="K74" s="873"/>
      <c r="L74" s="873"/>
    </row>
    <row r="75" spans="1:12">
      <c r="A75" s="873"/>
      <c r="B75" s="873"/>
      <c r="C75" s="873"/>
      <c r="D75" s="873"/>
      <c r="E75" s="873"/>
      <c r="F75" s="873"/>
      <c r="G75" s="873"/>
      <c r="H75" s="873"/>
      <c r="I75" s="873"/>
      <c r="J75" s="873"/>
      <c r="K75" s="873"/>
      <c r="L75" s="873"/>
    </row>
    <row r="76" spans="1:12">
      <c r="A76" s="873"/>
      <c r="B76" s="873"/>
      <c r="C76" s="873"/>
      <c r="D76" s="873"/>
      <c r="E76" s="873"/>
      <c r="F76" s="873"/>
      <c r="G76" s="873"/>
      <c r="H76" s="873"/>
      <c r="I76" s="873"/>
      <c r="J76" s="873"/>
      <c r="K76" s="873"/>
      <c r="L76" s="873"/>
    </row>
    <row r="77" spans="1:12">
      <c r="A77" s="873"/>
      <c r="B77" s="873"/>
      <c r="C77" s="873"/>
      <c r="D77" s="873"/>
      <c r="E77" s="873"/>
      <c r="F77" s="873"/>
      <c r="G77" s="873"/>
      <c r="H77" s="873"/>
      <c r="I77" s="873"/>
      <c r="J77" s="873"/>
      <c r="K77" s="873"/>
      <c r="L77" s="873"/>
    </row>
    <row r="78" spans="1:12">
      <c r="A78" s="873"/>
      <c r="B78" s="873"/>
      <c r="C78" s="873"/>
      <c r="D78" s="873"/>
      <c r="E78" s="873"/>
      <c r="F78" s="873"/>
      <c r="G78" s="873"/>
      <c r="H78" s="873"/>
      <c r="I78" s="873"/>
      <c r="J78" s="873"/>
      <c r="K78" s="873"/>
      <c r="L78" s="873"/>
    </row>
    <row r="79" spans="1:12">
      <c r="A79" s="873"/>
      <c r="B79" s="873"/>
      <c r="C79" s="873"/>
      <c r="D79" s="873"/>
      <c r="E79" s="873"/>
      <c r="F79" s="873"/>
      <c r="G79" s="873"/>
      <c r="H79" s="873"/>
      <c r="I79" s="873"/>
      <c r="J79" s="873"/>
      <c r="K79" s="873"/>
      <c r="L79" s="873"/>
    </row>
    <row r="80" spans="1:12">
      <c r="A80" s="873"/>
      <c r="B80" s="873"/>
      <c r="C80" s="873"/>
      <c r="D80" s="873"/>
      <c r="E80" s="873"/>
      <c r="F80" s="873"/>
      <c r="G80" s="873"/>
      <c r="H80" s="873"/>
      <c r="I80" s="873"/>
      <c r="J80" s="873"/>
      <c r="K80" s="873"/>
      <c r="L80" s="873"/>
    </row>
    <row r="81" spans="1:12">
      <c r="A81" s="873"/>
      <c r="B81" s="873"/>
      <c r="C81" s="873"/>
      <c r="D81" s="873"/>
      <c r="E81" s="873"/>
      <c r="F81" s="873"/>
      <c r="G81" s="873"/>
      <c r="H81" s="873"/>
      <c r="I81" s="873"/>
      <c r="J81" s="873"/>
      <c r="K81" s="873"/>
      <c r="L81" s="873"/>
    </row>
    <row r="82" spans="1:12">
      <c r="A82" s="873"/>
      <c r="B82" s="873"/>
      <c r="C82" s="873"/>
      <c r="D82" s="873"/>
      <c r="E82" s="873"/>
      <c r="F82" s="873"/>
      <c r="G82" s="873"/>
      <c r="H82" s="873"/>
      <c r="I82" s="873"/>
      <c r="J82" s="873"/>
      <c r="K82" s="873"/>
      <c r="L82" s="873"/>
    </row>
    <row r="83" spans="1:12">
      <c r="A83" s="873"/>
      <c r="B83" s="873"/>
      <c r="C83" s="873"/>
      <c r="D83" s="873"/>
      <c r="E83" s="873"/>
      <c r="F83" s="873"/>
      <c r="G83" s="873"/>
      <c r="H83" s="873"/>
      <c r="I83" s="873"/>
      <c r="J83" s="873"/>
      <c r="K83" s="873"/>
      <c r="L83" s="873"/>
    </row>
    <row r="84" spans="1:12">
      <c r="A84" s="873"/>
      <c r="B84" s="873"/>
      <c r="C84" s="873"/>
      <c r="D84" s="873"/>
      <c r="E84" s="873"/>
      <c r="F84" s="873"/>
      <c r="G84" s="873"/>
      <c r="H84" s="873"/>
      <c r="I84" s="873"/>
      <c r="J84" s="873"/>
      <c r="K84" s="873"/>
      <c r="L84" s="873"/>
    </row>
    <row r="85" spans="1:12">
      <c r="A85" s="873"/>
      <c r="B85" s="873"/>
      <c r="C85" s="873"/>
      <c r="D85" s="873"/>
      <c r="E85" s="873"/>
      <c r="F85" s="873"/>
      <c r="G85" s="873"/>
      <c r="H85" s="873"/>
      <c r="I85" s="873"/>
      <c r="J85" s="873"/>
      <c r="K85" s="873"/>
      <c r="L85" s="873"/>
    </row>
    <row r="86" spans="1:12">
      <c r="A86" s="873"/>
      <c r="B86" s="873"/>
      <c r="C86" s="873"/>
      <c r="D86" s="873"/>
      <c r="E86" s="873"/>
      <c r="F86" s="873"/>
      <c r="G86" s="873"/>
      <c r="H86" s="873"/>
      <c r="I86" s="873"/>
      <c r="J86" s="873"/>
      <c r="K86" s="873"/>
      <c r="L86" s="873"/>
    </row>
    <row r="87" spans="1:12">
      <c r="A87" s="873"/>
      <c r="B87" s="873"/>
      <c r="C87" s="873"/>
      <c r="D87" s="873"/>
      <c r="E87" s="873"/>
      <c r="F87" s="873"/>
      <c r="G87" s="873"/>
      <c r="H87" s="873"/>
      <c r="I87" s="873"/>
      <c r="J87" s="873"/>
      <c r="K87" s="873"/>
      <c r="L87" s="873"/>
    </row>
    <row r="88" spans="1:12">
      <c r="A88" s="873"/>
      <c r="B88" s="873"/>
      <c r="C88" s="873"/>
      <c r="D88" s="873"/>
      <c r="E88" s="873"/>
      <c r="F88" s="873"/>
      <c r="G88" s="873"/>
      <c r="H88" s="873"/>
      <c r="I88" s="873"/>
      <c r="J88" s="873"/>
      <c r="K88" s="873"/>
      <c r="L88" s="873"/>
    </row>
    <row r="89" spans="1:12">
      <c r="A89" s="873"/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</row>
    <row r="90" spans="1:12">
      <c r="A90" s="873"/>
      <c r="B90" s="873"/>
      <c r="C90" s="873"/>
      <c r="D90" s="873"/>
      <c r="E90" s="873"/>
      <c r="F90" s="873"/>
      <c r="G90" s="873"/>
      <c r="H90" s="873"/>
      <c r="I90" s="873"/>
      <c r="J90" s="873"/>
      <c r="K90" s="873"/>
      <c r="L90" s="873"/>
    </row>
    <row r="91" spans="1:12">
      <c r="A91" s="873"/>
      <c r="B91" s="873"/>
      <c r="C91" s="873"/>
      <c r="D91" s="873"/>
      <c r="E91" s="873"/>
      <c r="F91" s="873"/>
      <c r="G91" s="873"/>
      <c r="H91" s="873"/>
      <c r="I91" s="873"/>
      <c r="J91" s="873"/>
      <c r="K91" s="873"/>
      <c r="L91" s="873"/>
    </row>
    <row r="92" spans="1:12">
      <c r="A92" s="873"/>
      <c r="B92" s="873"/>
      <c r="C92" s="873"/>
      <c r="D92" s="873"/>
      <c r="E92" s="873"/>
      <c r="F92" s="873"/>
      <c r="G92" s="873"/>
      <c r="H92" s="873"/>
      <c r="I92" s="873"/>
      <c r="J92" s="873"/>
      <c r="K92" s="873"/>
      <c r="L92" s="873"/>
    </row>
    <row r="93" spans="1:12">
      <c r="A93" s="873"/>
      <c r="B93" s="873"/>
      <c r="C93" s="873"/>
      <c r="D93" s="873"/>
      <c r="E93" s="873"/>
      <c r="F93" s="873"/>
      <c r="G93" s="873"/>
      <c r="H93" s="873"/>
      <c r="I93" s="873"/>
      <c r="J93" s="873"/>
      <c r="K93" s="873"/>
      <c r="L93" s="873"/>
    </row>
    <row r="94" spans="1:12">
      <c r="A94" s="873"/>
      <c r="B94" s="873"/>
      <c r="C94" s="873"/>
      <c r="D94" s="873"/>
      <c r="E94" s="873"/>
      <c r="F94" s="873"/>
      <c r="G94" s="873"/>
      <c r="H94" s="873"/>
      <c r="I94" s="873"/>
      <c r="J94" s="873"/>
      <c r="K94" s="873"/>
      <c r="L94" s="873"/>
    </row>
    <row r="95" spans="1:12">
      <c r="A95" s="873"/>
      <c r="B95" s="873"/>
      <c r="C95" s="873"/>
      <c r="D95" s="873"/>
      <c r="E95" s="873"/>
      <c r="F95" s="873"/>
      <c r="G95" s="873"/>
      <c r="H95" s="873"/>
      <c r="I95" s="873"/>
      <c r="J95" s="873"/>
      <c r="K95" s="873"/>
      <c r="L95" s="873"/>
    </row>
    <row r="96" spans="1:12">
      <c r="A96" s="873"/>
      <c r="B96" s="873"/>
      <c r="C96" s="873"/>
      <c r="D96" s="873"/>
      <c r="E96" s="873"/>
      <c r="F96" s="873"/>
      <c r="G96" s="873"/>
      <c r="H96" s="873"/>
      <c r="I96" s="873"/>
      <c r="J96" s="873"/>
      <c r="K96" s="873"/>
      <c r="L96" s="873"/>
    </row>
    <row r="97" spans="1:12">
      <c r="A97" s="873"/>
      <c r="B97" s="873"/>
      <c r="C97" s="873"/>
      <c r="D97" s="873"/>
      <c r="E97" s="873"/>
      <c r="F97" s="873"/>
      <c r="G97" s="873"/>
      <c r="H97" s="873"/>
      <c r="I97" s="873"/>
      <c r="J97" s="873"/>
      <c r="K97" s="873"/>
      <c r="L97" s="873"/>
    </row>
    <row r="98" spans="1:12">
      <c r="A98" s="873"/>
      <c r="B98" s="873"/>
      <c r="C98" s="873"/>
      <c r="D98" s="873"/>
      <c r="E98" s="873"/>
      <c r="F98" s="873"/>
      <c r="G98" s="873"/>
      <c r="H98" s="873"/>
      <c r="I98" s="873"/>
      <c r="J98" s="873"/>
      <c r="K98" s="873"/>
      <c r="L98" s="873"/>
    </row>
    <row r="99" spans="1:12">
      <c r="A99" s="873"/>
      <c r="B99" s="873"/>
      <c r="C99" s="873"/>
      <c r="D99" s="873"/>
      <c r="E99" s="873"/>
      <c r="F99" s="873"/>
      <c r="G99" s="873"/>
      <c r="H99" s="873"/>
      <c r="I99" s="873"/>
      <c r="J99" s="873"/>
      <c r="K99" s="873"/>
      <c r="L99" s="873"/>
    </row>
    <row r="100" spans="1:12">
      <c r="A100" s="873"/>
      <c r="B100" s="873"/>
      <c r="C100" s="873"/>
      <c r="D100" s="873"/>
      <c r="E100" s="873"/>
      <c r="F100" s="873"/>
      <c r="G100" s="873"/>
      <c r="H100" s="873"/>
      <c r="I100" s="873"/>
      <c r="J100" s="873"/>
      <c r="K100" s="873"/>
      <c r="L100" s="873"/>
    </row>
    <row r="101" spans="1:12">
      <c r="A101" s="873"/>
      <c r="B101" s="873"/>
      <c r="C101" s="873"/>
      <c r="D101" s="873"/>
      <c r="E101" s="873"/>
      <c r="F101" s="873"/>
      <c r="G101" s="873"/>
      <c r="H101" s="873"/>
      <c r="I101" s="873"/>
      <c r="J101" s="873"/>
      <c r="K101" s="873"/>
      <c r="L101" s="873"/>
    </row>
    <row r="102" spans="1:12">
      <c r="A102" s="873"/>
      <c r="B102" s="873"/>
      <c r="C102" s="873"/>
      <c r="D102" s="873"/>
      <c r="E102" s="873"/>
      <c r="F102" s="873"/>
      <c r="G102" s="873"/>
      <c r="H102" s="873"/>
      <c r="I102" s="873"/>
      <c r="J102" s="873"/>
      <c r="K102" s="873"/>
      <c r="L102" s="873"/>
    </row>
    <row r="103" spans="1:12">
      <c r="A103" s="873"/>
      <c r="B103" s="873"/>
      <c r="C103" s="873"/>
      <c r="D103" s="873"/>
      <c r="E103" s="873"/>
      <c r="F103" s="873"/>
      <c r="G103" s="873"/>
      <c r="H103" s="873"/>
      <c r="I103" s="873"/>
      <c r="J103" s="873"/>
      <c r="K103" s="873"/>
      <c r="L103" s="873"/>
    </row>
    <row r="104" spans="1:12">
      <c r="A104" s="873"/>
      <c r="B104" s="873"/>
      <c r="C104" s="873"/>
      <c r="D104" s="873"/>
      <c r="E104" s="873"/>
      <c r="F104" s="873"/>
      <c r="G104" s="873"/>
      <c r="H104" s="873"/>
      <c r="I104" s="873"/>
      <c r="J104" s="873"/>
      <c r="K104" s="873"/>
      <c r="L104" s="873"/>
    </row>
    <row r="105" spans="1:12">
      <c r="A105" s="873"/>
      <c r="B105" s="873"/>
      <c r="C105" s="873"/>
      <c r="D105" s="873"/>
      <c r="E105" s="873"/>
      <c r="F105" s="873"/>
      <c r="G105" s="873"/>
      <c r="H105" s="873"/>
      <c r="I105" s="873"/>
      <c r="J105" s="873"/>
      <c r="K105" s="873"/>
      <c r="L105" s="873"/>
    </row>
    <row r="106" spans="1:12">
      <c r="A106" s="873"/>
      <c r="B106" s="873"/>
      <c r="C106" s="873"/>
      <c r="D106" s="873"/>
      <c r="E106" s="873"/>
      <c r="F106" s="873"/>
      <c r="G106" s="873"/>
      <c r="H106" s="873"/>
      <c r="I106" s="873"/>
      <c r="J106" s="873"/>
      <c r="K106" s="873"/>
      <c r="L106" s="873"/>
    </row>
    <row r="107" spans="1:12">
      <c r="A107" s="873"/>
      <c r="B107" s="873"/>
      <c r="C107" s="873"/>
      <c r="D107" s="873"/>
      <c r="E107" s="873"/>
      <c r="F107" s="873"/>
      <c r="G107" s="873"/>
      <c r="H107" s="873"/>
      <c r="I107" s="873"/>
      <c r="J107" s="873"/>
      <c r="K107" s="873"/>
      <c r="L107" s="873"/>
    </row>
    <row r="108" spans="1:12">
      <c r="A108" s="873"/>
      <c r="B108" s="873"/>
      <c r="C108" s="873"/>
      <c r="D108" s="873"/>
      <c r="E108" s="873"/>
      <c r="F108" s="873"/>
      <c r="G108" s="873"/>
      <c r="H108" s="873"/>
      <c r="I108" s="873"/>
      <c r="J108" s="873"/>
      <c r="K108" s="873"/>
      <c r="L108" s="873"/>
    </row>
    <row r="109" spans="1:12">
      <c r="A109" s="873"/>
      <c r="B109" s="873"/>
      <c r="C109" s="873"/>
      <c r="D109" s="873"/>
      <c r="E109" s="873"/>
      <c r="F109" s="873"/>
      <c r="G109" s="873"/>
      <c r="H109" s="873"/>
      <c r="I109" s="873"/>
      <c r="J109" s="873"/>
      <c r="K109" s="873"/>
      <c r="L109" s="873"/>
    </row>
    <row r="110" spans="1:12">
      <c r="A110" s="873"/>
      <c r="B110" s="873"/>
      <c r="C110" s="873"/>
      <c r="D110" s="873"/>
      <c r="E110" s="873"/>
      <c r="F110" s="873"/>
      <c r="G110" s="873"/>
      <c r="H110" s="873"/>
      <c r="I110" s="873"/>
      <c r="J110" s="873"/>
      <c r="K110" s="873"/>
      <c r="L110" s="873"/>
    </row>
    <row r="111" spans="1:12">
      <c r="A111" s="873"/>
      <c r="B111" s="873"/>
      <c r="C111" s="873"/>
      <c r="D111" s="873"/>
      <c r="E111" s="873"/>
      <c r="F111" s="873"/>
      <c r="G111" s="873"/>
      <c r="H111" s="873"/>
      <c r="I111" s="873"/>
      <c r="J111" s="873"/>
      <c r="K111" s="873"/>
      <c r="L111" s="873"/>
    </row>
    <row r="112" spans="1:12">
      <c r="A112" s="873"/>
      <c r="B112" s="873"/>
      <c r="C112" s="873"/>
      <c r="D112" s="873"/>
      <c r="E112" s="873"/>
      <c r="F112" s="873"/>
      <c r="G112" s="873"/>
      <c r="H112" s="873"/>
      <c r="I112" s="873"/>
      <c r="J112" s="873"/>
      <c r="K112" s="873"/>
      <c r="L112" s="873"/>
    </row>
    <row r="113" spans="1:12">
      <c r="A113" s="873"/>
      <c r="B113" s="873"/>
      <c r="C113" s="873"/>
      <c r="D113" s="873"/>
      <c r="E113" s="873"/>
      <c r="F113" s="873"/>
      <c r="G113" s="873"/>
      <c r="H113" s="873"/>
      <c r="I113" s="873"/>
      <c r="J113" s="873"/>
      <c r="K113" s="873"/>
      <c r="L113" s="873"/>
    </row>
    <row r="114" spans="1:12">
      <c r="A114" s="873"/>
      <c r="B114" s="873"/>
      <c r="C114" s="873"/>
      <c r="D114" s="873"/>
      <c r="E114" s="873"/>
      <c r="F114" s="873"/>
      <c r="G114" s="873"/>
      <c r="H114" s="873"/>
      <c r="I114" s="873"/>
      <c r="J114" s="873"/>
      <c r="K114" s="873"/>
      <c r="L114" s="873"/>
    </row>
    <row r="115" spans="1:12">
      <c r="A115" s="873"/>
      <c r="B115" s="873"/>
      <c r="C115" s="873"/>
      <c r="D115" s="873"/>
      <c r="E115" s="873"/>
      <c r="F115" s="873"/>
      <c r="G115" s="873"/>
      <c r="H115" s="873"/>
      <c r="I115" s="873"/>
      <c r="J115" s="873"/>
      <c r="K115" s="873"/>
      <c r="L115" s="873"/>
    </row>
    <row r="116" spans="1:12">
      <c r="A116" s="873"/>
      <c r="B116" s="873"/>
      <c r="C116" s="873"/>
      <c r="D116" s="873"/>
      <c r="E116" s="873"/>
      <c r="F116" s="873"/>
      <c r="G116" s="873"/>
      <c r="H116" s="873"/>
      <c r="I116" s="873"/>
      <c r="J116" s="873"/>
      <c r="K116" s="873"/>
      <c r="L116" s="873"/>
    </row>
    <row r="117" spans="1:12">
      <c r="A117" s="873"/>
      <c r="B117" s="873"/>
      <c r="C117" s="873"/>
      <c r="D117" s="873"/>
      <c r="E117" s="873"/>
      <c r="F117" s="873"/>
      <c r="G117" s="873"/>
      <c r="H117" s="873"/>
      <c r="I117" s="873"/>
      <c r="J117" s="873"/>
      <c r="K117" s="873"/>
      <c r="L117" s="873"/>
    </row>
    <row r="118" spans="1:12">
      <c r="A118" s="873"/>
      <c r="B118" s="873"/>
      <c r="C118" s="873"/>
      <c r="D118" s="873"/>
      <c r="E118" s="873"/>
      <c r="F118" s="873"/>
      <c r="G118" s="873"/>
      <c r="H118" s="873"/>
      <c r="I118" s="873"/>
      <c r="J118" s="873"/>
      <c r="K118" s="873"/>
      <c r="L118" s="873"/>
    </row>
    <row r="119" spans="1:12">
      <c r="A119" s="873"/>
      <c r="B119" s="873"/>
      <c r="C119" s="873"/>
      <c r="D119" s="873"/>
      <c r="E119" s="873"/>
      <c r="F119" s="873"/>
      <c r="G119" s="873"/>
      <c r="H119" s="873"/>
      <c r="I119" s="873"/>
      <c r="J119" s="873"/>
      <c r="K119" s="873"/>
      <c r="L119" s="873"/>
    </row>
    <row r="120" spans="1:12">
      <c r="A120" s="873"/>
      <c r="B120" s="873"/>
      <c r="C120" s="873"/>
      <c r="D120" s="873"/>
      <c r="E120" s="873"/>
      <c r="F120" s="873"/>
      <c r="G120" s="873"/>
      <c r="H120" s="873"/>
      <c r="I120" s="873"/>
      <c r="J120" s="873"/>
      <c r="K120" s="873"/>
      <c r="L120" s="873"/>
    </row>
    <row r="121" spans="1:12">
      <c r="A121" s="873"/>
      <c r="B121" s="873"/>
      <c r="C121" s="873"/>
      <c r="D121" s="873"/>
      <c r="E121" s="873"/>
      <c r="F121" s="873"/>
      <c r="G121" s="873"/>
      <c r="H121" s="873"/>
      <c r="I121" s="873"/>
      <c r="J121" s="873"/>
      <c r="K121" s="873"/>
      <c r="L121" s="873"/>
    </row>
    <row r="122" spans="1:12">
      <c r="A122" s="873"/>
      <c r="B122" s="873"/>
      <c r="C122" s="873"/>
      <c r="D122" s="873"/>
      <c r="E122" s="873"/>
      <c r="F122" s="873"/>
      <c r="G122" s="873"/>
      <c r="H122" s="873"/>
      <c r="I122" s="873"/>
      <c r="J122" s="873"/>
      <c r="K122" s="873"/>
      <c r="L122" s="873"/>
    </row>
    <row r="123" spans="1:12">
      <c r="A123" s="873"/>
      <c r="B123" s="873"/>
      <c r="C123" s="873"/>
      <c r="D123" s="873"/>
      <c r="E123" s="873"/>
      <c r="F123" s="873"/>
      <c r="G123" s="873"/>
      <c r="H123" s="873"/>
      <c r="I123" s="873"/>
      <c r="J123" s="873"/>
      <c r="K123" s="873"/>
      <c r="L123" s="873"/>
    </row>
    <row r="124" spans="1:12">
      <c r="A124" s="873"/>
      <c r="B124" s="873"/>
      <c r="C124" s="873"/>
      <c r="D124" s="873"/>
      <c r="E124" s="873"/>
      <c r="F124" s="873"/>
      <c r="G124" s="873"/>
      <c r="H124" s="873"/>
      <c r="I124" s="873"/>
      <c r="J124" s="873"/>
      <c r="K124" s="873"/>
      <c r="L124" s="873"/>
    </row>
    <row r="125" spans="1:12">
      <c r="A125" s="873"/>
      <c r="B125" s="873"/>
      <c r="C125" s="873"/>
      <c r="D125" s="873"/>
      <c r="E125" s="873"/>
      <c r="F125" s="873"/>
      <c r="G125" s="873"/>
      <c r="H125" s="873"/>
      <c r="I125" s="873"/>
      <c r="J125" s="873"/>
      <c r="K125" s="873"/>
      <c r="L125" s="873"/>
    </row>
    <row r="126" spans="1:12">
      <c r="A126" s="873"/>
      <c r="B126" s="873"/>
      <c r="C126" s="873"/>
      <c r="D126" s="873"/>
      <c r="E126" s="873"/>
      <c r="F126" s="873"/>
      <c r="G126" s="873"/>
      <c r="H126" s="873"/>
      <c r="I126" s="873"/>
      <c r="J126" s="873"/>
      <c r="K126" s="873"/>
      <c r="L126" s="873"/>
    </row>
    <row r="127" spans="1:12">
      <c r="A127" s="873"/>
      <c r="B127" s="873"/>
      <c r="C127" s="873"/>
      <c r="D127" s="873"/>
      <c r="E127" s="873"/>
      <c r="F127" s="873"/>
      <c r="G127" s="873"/>
      <c r="H127" s="873"/>
      <c r="I127" s="873"/>
      <c r="J127" s="873"/>
      <c r="K127" s="873"/>
      <c r="L127" s="873"/>
    </row>
    <row r="128" spans="1:12">
      <c r="A128" s="873"/>
      <c r="B128" s="873"/>
      <c r="C128" s="873"/>
      <c r="D128" s="873"/>
      <c r="E128" s="873"/>
      <c r="F128" s="873"/>
      <c r="G128" s="873"/>
      <c r="H128" s="873"/>
      <c r="I128" s="873"/>
      <c r="J128" s="873"/>
      <c r="K128" s="873"/>
      <c r="L128" s="873"/>
    </row>
    <row r="129" spans="1:12">
      <c r="A129" s="873"/>
      <c r="B129" s="873"/>
      <c r="C129" s="873"/>
      <c r="D129" s="873"/>
      <c r="E129" s="873"/>
      <c r="F129" s="873"/>
      <c r="G129" s="873"/>
      <c r="H129" s="873"/>
      <c r="I129" s="873"/>
      <c r="J129" s="873"/>
      <c r="K129" s="873"/>
      <c r="L129" s="873"/>
    </row>
    <row r="130" spans="1:12">
      <c r="A130" s="873"/>
      <c r="B130" s="873"/>
      <c r="C130" s="873"/>
      <c r="D130" s="873"/>
      <c r="E130" s="873"/>
      <c r="F130" s="873"/>
      <c r="G130" s="873"/>
      <c r="H130" s="873"/>
      <c r="I130" s="873"/>
      <c r="J130" s="873"/>
      <c r="K130" s="873"/>
      <c r="L130" s="873"/>
    </row>
    <row r="131" spans="1:12">
      <c r="A131" s="873"/>
      <c r="B131" s="873"/>
      <c r="C131" s="873"/>
      <c r="D131" s="873"/>
      <c r="E131" s="873"/>
      <c r="F131" s="873"/>
      <c r="G131" s="873"/>
      <c r="H131" s="873"/>
      <c r="I131" s="873"/>
      <c r="J131" s="873"/>
      <c r="K131" s="873"/>
      <c r="L131" s="873"/>
    </row>
    <row r="132" spans="1:12">
      <c r="A132" s="873"/>
      <c r="B132" s="873"/>
      <c r="C132" s="873"/>
      <c r="D132" s="873"/>
      <c r="E132" s="873"/>
      <c r="F132" s="873"/>
      <c r="G132" s="873"/>
      <c r="H132" s="873"/>
      <c r="I132" s="873"/>
      <c r="J132" s="873"/>
      <c r="K132" s="873"/>
      <c r="L132" s="873"/>
    </row>
    <row r="133" spans="1:12">
      <c r="A133" s="873"/>
      <c r="B133" s="873"/>
      <c r="C133" s="873"/>
      <c r="D133" s="873"/>
      <c r="E133" s="873"/>
      <c r="F133" s="873"/>
      <c r="G133" s="873"/>
      <c r="H133" s="873"/>
      <c r="I133" s="873"/>
      <c r="J133" s="873"/>
      <c r="K133" s="873"/>
      <c r="L133" s="873"/>
    </row>
    <row r="134" spans="1:12">
      <c r="A134" s="873"/>
      <c r="B134" s="873"/>
      <c r="C134" s="873"/>
      <c r="D134" s="873"/>
      <c r="E134" s="873"/>
      <c r="F134" s="873"/>
      <c r="G134" s="873"/>
      <c r="H134" s="873"/>
      <c r="I134" s="873"/>
      <c r="J134" s="873"/>
      <c r="K134" s="873"/>
      <c r="L134" s="873"/>
    </row>
    <row r="135" spans="1:12">
      <c r="A135" s="873"/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</row>
    <row r="136" spans="1:12">
      <c r="A136" s="873"/>
      <c r="B136" s="873"/>
      <c r="C136" s="873"/>
      <c r="D136" s="873"/>
      <c r="E136" s="873"/>
      <c r="F136" s="873"/>
      <c r="G136" s="873"/>
      <c r="H136" s="873"/>
      <c r="I136" s="873"/>
      <c r="J136" s="873"/>
      <c r="K136" s="873"/>
      <c r="L136" s="873"/>
    </row>
    <row r="137" spans="1:12">
      <c r="A137" s="873"/>
      <c r="B137" s="873"/>
      <c r="C137" s="873"/>
      <c r="D137" s="873"/>
      <c r="E137" s="873"/>
      <c r="F137" s="873"/>
      <c r="G137" s="873"/>
      <c r="H137" s="873"/>
      <c r="I137" s="873"/>
      <c r="J137" s="873"/>
      <c r="K137" s="873"/>
      <c r="L137" s="873"/>
    </row>
    <row r="138" spans="1:12">
      <c r="A138" s="873"/>
      <c r="B138" s="873"/>
      <c r="C138" s="873"/>
      <c r="D138" s="873"/>
      <c r="E138" s="873"/>
      <c r="F138" s="873"/>
      <c r="G138" s="873"/>
      <c r="H138" s="873"/>
      <c r="I138" s="873"/>
      <c r="J138" s="873"/>
      <c r="K138" s="873"/>
      <c r="L138" s="873"/>
    </row>
    <row r="139" spans="1:12">
      <c r="A139" s="873"/>
      <c r="B139" s="873"/>
      <c r="C139" s="873"/>
      <c r="D139" s="873"/>
      <c r="E139" s="873"/>
      <c r="F139" s="873"/>
      <c r="G139" s="873"/>
      <c r="H139" s="873"/>
      <c r="I139" s="873"/>
      <c r="J139" s="873"/>
      <c r="K139" s="873"/>
      <c r="L139" s="873"/>
    </row>
    <row r="140" spans="1:12">
      <c r="A140" s="873"/>
      <c r="B140" s="873"/>
      <c r="C140" s="873"/>
      <c r="D140" s="873"/>
      <c r="E140" s="873"/>
      <c r="F140" s="873"/>
      <c r="G140" s="873"/>
      <c r="H140" s="873"/>
      <c r="I140" s="873"/>
      <c r="J140" s="873"/>
      <c r="K140" s="873"/>
      <c r="L140" s="873"/>
    </row>
    <row r="141" spans="1:12">
      <c r="A141" s="873"/>
      <c r="B141" s="873"/>
      <c r="C141" s="873"/>
      <c r="D141" s="873"/>
      <c r="E141" s="873"/>
      <c r="F141" s="873"/>
      <c r="G141" s="873"/>
      <c r="H141" s="873"/>
      <c r="I141" s="873"/>
      <c r="J141" s="873"/>
      <c r="K141" s="873"/>
      <c r="L141" s="873"/>
    </row>
    <row r="142" spans="1:12">
      <c r="A142" s="873"/>
      <c r="B142" s="873"/>
      <c r="C142" s="873"/>
      <c r="D142" s="873"/>
      <c r="E142" s="873"/>
      <c r="F142" s="873"/>
      <c r="G142" s="873"/>
      <c r="H142" s="873"/>
      <c r="I142" s="873"/>
      <c r="J142" s="873"/>
      <c r="K142" s="873"/>
      <c r="L142" s="873"/>
    </row>
    <row r="143" spans="1:12">
      <c r="A143" s="873"/>
      <c r="B143" s="873"/>
      <c r="C143" s="873"/>
      <c r="D143" s="873"/>
      <c r="E143" s="873"/>
      <c r="F143" s="873"/>
      <c r="G143" s="873"/>
      <c r="H143" s="873"/>
      <c r="I143" s="873"/>
      <c r="J143" s="873"/>
      <c r="K143" s="873"/>
      <c r="L143" s="873"/>
    </row>
    <row r="144" spans="1:12">
      <c r="A144" s="873"/>
      <c r="B144" s="873"/>
      <c r="C144" s="873"/>
      <c r="D144" s="873"/>
      <c r="E144" s="873"/>
      <c r="F144" s="873"/>
      <c r="G144" s="873"/>
      <c r="H144" s="873"/>
      <c r="I144" s="873"/>
      <c r="J144" s="873"/>
      <c r="K144" s="873"/>
      <c r="L144" s="873"/>
    </row>
    <row r="145" spans="1:12">
      <c r="A145" s="873"/>
      <c r="B145" s="873"/>
      <c r="C145" s="873"/>
      <c r="D145" s="873"/>
      <c r="E145" s="873"/>
      <c r="F145" s="873"/>
      <c r="G145" s="873"/>
      <c r="H145" s="873"/>
      <c r="I145" s="873"/>
      <c r="J145" s="873"/>
      <c r="K145" s="873"/>
      <c r="L145" s="873"/>
    </row>
    <row r="146" spans="1:12">
      <c r="A146" s="873"/>
      <c r="B146" s="873"/>
      <c r="C146" s="873"/>
      <c r="D146" s="873"/>
      <c r="E146" s="873"/>
      <c r="F146" s="873"/>
      <c r="G146" s="873"/>
      <c r="H146" s="873"/>
      <c r="I146" s="873"/>
      <c r="J146" s="873"/>
      <c r="K146" s="873"/>
      <c r="L146" s="873"/>
    </row>
    <row r="147" spans="1:12">
      <c r="A147" s="873"/>
      <c r="B147" s="873"/>
      <c r="C147" s="873"/>
      <c r="D147" s="873"/>
      <c r="E147" s="873"/>
      <c r="F147" s="873"/>
      <c r="G147" s="873"/>
      <c r="H147" s="873"/>
      <c r="I147" s="873"/>
      <c r="J147" s="873"/>
      <c r="K147" s="873"/>
      <c r="L147" s="873"/>
    </row>
    <row r="148" spans="1:12">
      <c r="A148" s="873"/>
      <c r="B148" s="873"/>
      <c r="C148" s="873"/>
      <c r="D148" s="873"/>
      <c r="E148" s="873"/>
      <c r="F148" s="873"/>
      <c r="G148" s="873"/>
      <c r="H148" s="873"/>
      <c r="I148" s="873"/>
      <c r="J148" s="873"/>
      <c r="K148" s="873"/>
      <c r="L148" s="873"/>
    </row>
    <row r="149" spans="1:12">
      <c r="A149" s="873"/>
      <c r="B149" s="873"/>
      <c r="C149" s="873"/>
      <c r="D149" s="873"/>
      <c r="E149" s="873"/>
      <c r="F149" s="873"/>
      <c r="G149" s="873"/>
      <c r="H149" s="873"/>
      <c r="I149" s="873"/>
      <c r="J149" s="873"/>
      <c r="K149" s="873"/>
      <c r="L149" s="873"/>
    </row>
    <row r="150" spans="1:12">
      <c r="A150" s="873"/>
      <c r="B150" s="873"/>
      <c r="C150" s="873"/>
      <c r="D150" s="873"/>
      <c r="E150" s="873"/>
      <c r="F150" s="873"/>
      <c r="G150" s="873"/>
      <c r="H150" s="873"/>
      <c r="I150" s="873"/>
      <c r="J150" s="873"/>
      <c r="K150" s="873"/>
      <c r="L150" s="873"/>
    </row>
    <row r="151" spans="1:12">
      <c r="A151" s="873"/>
      <c r="B151" s="873"/>
      <c r="C151" s="873"/>
      <c r="D151" s="873"/>
      <c r="E151" s="873"/>
      <c r="F151" s="873"/>
      <c r="G151" s="873"/>
      <c r="H151" s="873"/>
      <c r="I151" s="873"/>
      <c r="J151" s="873"/>
      <c r="K151" s="873"/>
      <c r="L151" s="873"/>
    </row>
    <row r="152" spans="1:12">
      <c r="A152" s="873"/>
      <c r="B152" s="873"/>
      <c r="C152" s="873"/>
      <c r="D152" s="873"/>
      <c r="E152" s="873"/>
      <c r="F152" s="873"/>
      <c r="G152" s="873"/>
      <c r="H152" s="873"/>
      <c r="I152" s="873"/>
      <c r="J152" s="873"/>
      <c r="K152" s="873"/>
      <c r="L152" s="873"/>
    </row>
    <row r="153" spans="1:12">
      <c r="A153" s="873"/>
      <c r="B153" s="873"/>
      <c r="C153" s="873"/>
      <c r="D153" s="873"/>
      <c r="E153" s="873"/>
      <c r="F153" s="873"/>
      <c r="G153" s="873"/>
      <c r="H153" s="873"/>
      <c r="I153" s="873"/>
      <c r="J153" s="873"/>
      <c r="K153" s="873"/>
      <c r="L153" s="873"/>
    </row>
    <row r="154" spans="1:12">
      <c r="A154" s="873"/>
      <c r="B154" s="873"/>
      <c r="C154" s="873"/>
      <c r="D154" s="873"/>
      <c r="E154" s="873"/>
      <c r="F154" s="873"/>
      <c r="G154" s="873"/>
      <c r="H154" s="873"/>
      <c r="I154" s="873"/>
      <c r="J154" s="873"/>
      <c r="K154" s="873"/>
      <c r="L154" s="873"/>
    </row>
    <row r="155" spans="1:12">
      <c r="A155" s="873"/>
      <c r="B155" s="873"/>
      <c r="C155" s="873"/>
      <c r="D155" s="873"/>
      <c r="E155" s="873"/>
      <c r="F155" s="873"/>
      <c r="G155" s="873"/>
      <c r="H155" s="873"/>
      <c r="I155" s="873"/>
      <c r="J155" s="873"/>
      <c r="K155" s="873"/>
      <c r="L155" s="873"/>
    </row>
    <row r="156" spans="1:12">
      <c r="A156" s="873"/>
      <c r="B156" s="873"/>
      <c r="C156" s="873"/>
      <c r="D156" s="873"/>
      <c r="E156" s="873"/>
      <c r="F156" s="873"/>
      <c r="G156" s="873"/>
      <c r="H156" s="873"/>
      <c r="I156" s="873"/>
      <c r="J156" s="873"/>
      <c r="K156" s="873"/>
      <c r="L156" s="873"/>
    </row>
    <row r="157" spans="1:12">
      <c r="A157" s="873"/>
      <c r="B157" s="873"/>
      <c r="C157" s="873"/>
      <c r="D157" s="873"/>
      <c r="E157" s="873"/>
      <c r="F157" s="873"/>
      <c r="G157" s="873"/>
      <c r="H157" s="873"/>
      <c r="I157" s="873"/>
      <c r="J157" s="873"/>
      <c r="K157" s="873"/>
      <c r="L157" s="873"/>
    </row>
    <row r="158" spans="1:12">
      <c r="A158" s="873"/>
      <c r="B158" s="873"/>
      <c r="C158" s="873"/>
      <c r="D158" s="873"/>
      <c r="E158" s="873"/>
      <c r="F158" s="873"/>
      <c r="G158" s="873"/>
      <c r="H158" s="873"/>
      <c r="I158" s="873"/>
      <c r="J158" s="873"/>
      <c r="K158" s="873"/>
      <c r="L158" s="873"/>
    </row>
    <row r="159" spans="1:12">
      <c r="A159" s="873"/>
      <c r="B159" s="873"/>
      <c r="C159" s="873"/>
      <c r="D159" s="873"/>
      <c r="E159" s="873"/>
      <c r="F159" s="873"/>
      <c r="G159" s="873"/>
      <c r="H159" s="873"/>
      <c r="I159" s="873"/>
      <c r="J159" s="873"/>
      <c r="K159" s="873"/>
      <c r="L159" s="873"/>
    </row>
    <row r="160" spans="1:12">
      <c r="A160" s="873"/>
      <c r="B160" s="873"/>
      <c r="C160" s="873"/>
      <c r="D160" s="873"/>
      <c r="E160" s="873"/>
      <c r="F160" s="873"/>
      <c r="G160" s="873"/>
      <c r="H160" s="873"/>
      <c r="I160" s="873"/>
      <c r="J160" s="873"/>
      <c r="K160" s="873"/>
      <c r="L160" s="873"/>
    </row>
    <row r="161" spans="1:12">
      <c r="A161" s="873"/>
      <c r="B161" s="873"/>
      <c r="C161" s="873"/>
      <c r="D161" s="873"/>
      <c r="E161" s="873"/>
      <c r="F161" s="873"/>
      <c r="G161" s="873"/>
      <c r="H161" s="873"/>
      <c r="I161" s="873"/>
      <c r="J161" s="873"/>
      <c r="K161" s="873"/>
      <c r="L161" s="873"/>
    </row>
    <row r="162" spans="1:12">
      <c r="A162" s="873"/>
      <c r="B162" s="873"/>
      <c r="C162" s="873"/>
      <c r="D162" s="873"/>
      <c r="E162" s="873"/>
      <c r="F162" s="873"/>
      <c r="G162" s="873"/>
      <c r="H162" s="873"/>
      <c r="I162" s="873"/>
      <c r="J162" s="873"/>
      <c r="K162" s="873"/>
      <c r="L162" s="873"/>
    </row>
    <row r="163" spans="1:12">
      <c r="A163" s="873"/>
      <c r="B163" s="873"/>
      <c r="C163" s="873"/>
      <c r="D163" s="873"/>
      <c r="E163" s="873"/>
      <c r="F163" s="873"/>
      <c r="G163" s="873"/>
      <c r="H163" s="873"/>
      <c r="I163" s="873"/>
      <c r="J163" s="873"/>
      <c r="K163" s="873"/>
      <c r="L163" s="873"/>
    </row>
    <row r="164" spans="1:12">
      <c r="A164" s="873"/>
      <c r="B164" s="873"/>
      <c r="C164" s="873"/>
      <c r="D164" s="873"/>
      <c r="E164" s="873"/>
      <c r="F164" s="873"/>
      <c r="G164" s="873"/>
      <c r="H164" s="873"/>
      <c r="I164" s="873"/>
      <c r="J164" s="873"/>
      <c r="K164" s="873"/>
      <c r="L164" s="873"/>
    </row>
    <row r="165" spans="1:12">
      <c r="A165" s="873"/>
      <c r="B165" s="873"/>
      <c r="C165" s="873"/>
      <c r="D165" s="873"/>
      <c r="E165" s="873"/>
      <c r="F165" s="873"/>
      <c r="G165" s="873"/>
      <c r="H165" s="873"/>
      <c r="I165" s="873"/>
      <c r="J165" s="873"/>
      <c r="K165" s="873"/>
      <c r="L165" s="873"/>
    </row>
    <row r="166" spans="1:12">
      <c r="A166" s="873"/>
      <c r="B166" s="873"/>
      <c r="C166" s="873"/>
      <c r="D166" s="873"/>
      <c r="E166" s="873"/>
      <c r="F166" s="873"/>
      <c r="G166" s="873"/>
      <c r="H166" s="873"/>
      <c r="I166" s="873"/>
      <c r="J166" s="873"/>
      <c r="K166" s="873"/>
      <c r="L166" s="873"/>
    </row>
    <row r="167" spans="1:12">
      <c r="A167" s="873"/>
      <c r="B167" s="873"/>
      <c r="C167" s="873"/>
      <c r="D167" s="873"/>
      <c r="E167" s="873"/>
      <c r="F167" s="873"/>
      <c r="G167" s="873"/>
      <c r="H167" s="873"/>
      <c r="I167" s="873"/>
      <c r="J167" s="873"/>
      <c r="K167" s="873"/>
      <c r="L167" s="873"/>
    </row>
    <row r="168" spans="1:12">
      <c r="A168" s="873"/>
      <c r="B168" s="873"/>
      <c r="C168" s="873"/>
      <c r="D168" s="873"/>
      <c r="E168" s="873"/>
      <c r="F168" s="873"/>
      <c r="G168" s="873"/>
      <c r="H168" s="873"/>
      <c r="I168" s="873"/>
      <c r="J168" s="873"/>
      <c r="K168" s="873"/>
      <c r="L168" s="873"/>
    </row>
    <row r="169" spans="1:12">
      <c r="A169" s="873"/>
      <c r="B169" s="873"/>
      <c r="C169" s="873"/>
      <c r="D169" s="873"/>
      <c r="E169" s="873"/>
      <c r="F169" s="873"/>
      <c r="G169" s="873"/>
      <c r="H169" s="873"/>
      <c r="I169" s="873"/>
      <c r="J169" s="873"/>
      <c r="K169" s="873"/>
      <c r="L169" s="873"/>
    </row>
    <row r="170" spans="1:12">
      <c r="A170" s="873"/>
      <c r="B170" s="873"/>
      <c r="C170" s="873"/>
      <c r="D170" s="873"/>
      <c r="E170" s="873"/>
      <c r="F170" s="873"/>
      <c r="G170" s="873"/>
      <c r="H170" s="873"/>
      <c r="I170" s="873"/>
      <c r="J170" s="873"/>
      <c r="K170" s="873"/>
      <c r="L170" s="873"/>
    </row>
    <row r="171" spans="1:12">
      <c r="A171" s="873"/>
      <c r="B171" s="873"/>
      <c r="C171" s="873"/>
      <c r="D171" s="873"/>
      <c r="E171" s="873"/>
      <c r="F171" s="873"/>
      <c r="G171" s="873"/>
      <c r="H171" s="873"/>
      <c r="I171" s="873"/>
      <c r="J171" s="873"/>
      <c r="K171" s="873"/>
      <c r="L171" s="873"/>
    </row>
    <row r="172" spans="1:12">
      <c r="A172" s="873"/>
      <c r="B172" s="873"/>
      <c r="C172" s="873"/>
      <c r="D172" s="873"/>
      <c r="E172" s="873"/>
      <c r="F172" s="873"/>
      <c r="G172" s="873"/>
      <c r="H172" s="873"/>
      <c r="I172" s="873"/>
      <c r="J172" s="873"/>
      <c r="K172" s="873"/>
      <c r="L172" s="873"/>
    </row>
    <row r="173" spans="1:12">
      <c r="A173" s="873"/>
      <c r="B173" s="873"/>
      <c r="C173" s="873"/>
      <c r="D173" s="873"/>
      <c r="E173" s="873"/>
      <c r="F173" s="873"/>
      <c r="G173" s="873"/>
      <c r="H173" s="873"/>
      <c r="I173" s="873"/>
      <c r="J173" s="873"/>
      <c r="K173" s="873"/>
      <c r="L173" s="873"/>
    </row>
    <row r="174" spans="1:12">
      <c r="A174" s="873"/>
      <c r="B174" s="873"/>
      <c r="C174" s="873"/>
      <c r="D174" s="873"/>
      <c r="E174" s="873"/>
      <c r="F174" s="873"/>
      <c r="G174" s="873"/>
      <c r="H174" s="873"/>
      <c r="I174" s="873"/>
      <c r="J174" s="873"/>
      <c r="K174" s="873"/>
      <c r="L174" s="873"/>
    </row>
    <row r="175" spans="1:12">
      <c r="A175" s="873"/>
      <c r="B175" s="873"/>
      <c r="C175" s="873"/>
      <c r="D175" s="873"/>
      <c r="E175" s="873"/>
      <c r="F175" s="873"/>
      <c r="G175" s="873"/>
      <c r="H175" s="873"/>
      <c r="I175" s="873"/>
      <c r="J175" s="873"/>
      <c r="K175" s="873"/>
      <c r="L175" s="873"/>
    </row>
    <row r="176" spans="1:12">
      <c r="A176" s="873"/>
      <c r="B176" s="873"/>
      <c r="C176" s="873"/>
      <c r="D176" s="873"/>
      <c r="E176" s="873"/>
      <c r="F176" s="873"/>
      <c r="G176" s="873"/>
      <c r="H176" s="873"/>
      <c r="I176" s="873"/>
      <c r="J176" s="873"/>
      <c r="K176" s="873"/>
      <c r="L176" s="873"/>
    </row>
    <row r="177" spans="1:12">
      <c r="A177" s="873"/>
      <c r="B177" s="873"/>
      <c r="C177" s="873"/>
      <c r="D177" s="873"/>
      <c r="E177" s="873"/>
      <c r="F177" s="873"/>
      <c r="G177" s="873"/>
      <c r="H177" s="873"/>
      <c r="I177" s="873"/>
      <c r="J177" s="873"/>
      <c r="K177" s="873"/>
      <c r="L177" s="873"/>
    </row>
    <row r="178" spans="1:12">
      <c r="A178" s="873"/>
      <c r="B178" s="873"/>
      <c r="C178" s="873"/>
      <c r="D178" s="873"/>
      <c r="E178" s="873"/>
      <c r="F178" s="873"/>
      <c r="G178" s="873"/>
      <c r="H178" s="873"/>
      <c r="I178" s="873"/>
      <c r="J178" s="873"/>
      <c r="K178" s="873"/>
      <c r="L178" s="873"/>
    </row>
    <row r="179" spans="1:12">
      <c r="A179" s="873"/>
      <c r="B179" s="873"/>
      <c r="C179" s="873"/>
      <c r="D179" s="873"/>
      <c r="E179" s="873"/>
      <c r="F179" s="873"/>
      <c r="G179" s="873"/>
      <c r="H179" s="873"/>
      <c r="I179" s="873"/>
      <c r="J179" s="873"/>
      <c r="K179" s="873"/>
      <c r="L179" s="873"/>
    </row>
    <row r="180" spans="1:12">
      <c r="A180" s="873"/>
      <c r="B180" s="873"/>
      <c r="C180" s="873"/>
      <c r="D180" s="873"/>
      <c r="E180" s="873"/>
      <c r="F180" s="873"/>
      <c r="G180" s="873"/>
      <c r="H180" s="873"/>
      <c r="I180" s="873"/>
      <c r="J180" s="873"/>
      <c r="K180" s="873"/>
      <c r="L180" s="873"/>
    </row>
    <row r="181" spans="1:12">
      <c r="A181" s="873"/>
      <c r="B181" s="873"/>
      <c r="C181" s="873"/>
      <c r="D181" s="873"/>
      <c r="E181" s="873"/>
      <c r="F181" s="873"/>
      <c r="G181" s="873"/>
      <c r="H181" s="873"/>
      <c r="I181" s="873"/>
      <c r="J181" s="873"/>
      <c r="K181" s="873"/>
      <c r="L181" s="873"/>
    </row>
    <row r="182" spans="1:12">
      <c r="A182" s="873"/>
      <c r="B182" s="873"/>
      <c r="C182" s="873"/>
      <c r="D182" s="873"/>
      <c r="E182" s="873"/>
      <c r="F182" s="873"/>
      <c r="G182" s="873"/>
      <c r="H182" s="873"/>
      <c r="I182" s="873"/>
      <c r="J182" s="873"/>
      <c r="K182" s="873"/>
      <c r="L182" s="873"/>
    </row>
    <row r="183" spans="1:12">
      <c r="A183" s="873"/>
      <c r="B183" s="873"/>
      <c r="C183" s="873"/>
      <c r="D183" s="873"/>
      <c r="E183" s="873"/>
      <c r="F183" s="873"/>
      <c r="G183" s="873"/>
      <c r="H183" s="873"/>
      <c r="I183" s="873"/>
      <c r="J183" s="873"/>
      <c r="K183" s="873"/>
      <c r="L183" s="873"/>
    </row>
    <row r="184" spans="1:12">
      <c r="A184" s="873"/>
      <c r="B184" s="873"/>
      <c r="C184" s="873"/>
      <c r="D184" s="873"/>
      <c r="E184" s="873"/>
      <c r="F184" s="873"/>
      <c r="G184" s="873"/>
      <c r="H184" s="873"/>
      <c r="I184" s="873"/>
      <c r="J184" s="873"/>
      <c r="K184" s="873"/>
      <c r="L184" s="873"/>
    </row>
    <row r="185" spans="1:12">
      <c r="A185" s="873"/>
      <c r="B185" s="873"/>
      <c r="C185" s="873"/>
      <c r="D185" s="873"/>
      <c r="E185" s="873"/>
      <c r="F185" s="873"/>
      <c r="G185" s="873"/>
      <c r="H185" s="873"/>
      <c r="I185" s="873"/>
      <c r="J185" s="873"/>
      <c r="K185" s="873"/>
      <c r="L185" s="873"/>
    </row>
    <row r="186" spans="1:12">
      <c r="A186" s="873"/>
      <c r="B186" s="873"/>
      <c r="C186" s="873"/>
      <c r="D186" s="873"/>
      <c r="E186" s="873"/>
      <c r="F186" s="873"/>
      <c r="G186" s="873"/>
      <c r="H186" s="873"/>
      <c r="I186" s="873"/>
      <c r="J186" s="873"/>
      <c r="K186" s="873"/>
      <c r="L186" s="873"/>
    </row>
    <row r="187" spans="1:12">
      <c r="A187" s="873"/>
      <c r="B187" s="873"/>
      <c r="C187" s="873"/>
      <c r="D187" s="873"/>
      <c r="E187" s="873"/>
      <c r="F187" s="873"/>
      <c r="G187" s="873"/>
      <c r="H187" s="873"/>
      <c r="I187" s="873"/>
      <c r="J187" s="873"/>
      <c r="K187" s="873"/>
      <c r="L187" s="873"/>
    </row>
    <row r="188" spans="1:12">
      <c r="A188" s="873"/>
      <c r="B188" s="873"/>
      <c r="C188" s="873"/>
      <c r="D188" s="873"/>
      <c r="E188" s="873"/>
      <c r="F188" s="873"/>
      <c r="G188" s="873"/>
      <c r="H188" s="873"/>
      <c r="I188" s="873"/>
      <c r="J188" s="873"/>
      <c r="K188" s="873"/>
      <c r="L188" s="873"/>
    </row>
    <row r="189" spans="1:12">
      <c r="A189" s="873"/>
      <c r="B189" s="873"/>
      <c r="C189" s="873"/>
      <c r="D189" s="873"/>
      <c r="E189" s="873"/>
      <c r="F189" s="873"/>
      <c r="G189" s="873"/>
      <c r="H189" s="873"/>
      <c r="I189" s="873"/>
      <c r="J189" s="873"/>
      <c r="K189" s="873"/>
      <c r="L189" s="873"/>
    </row>
    <row r="190" spans="1:12">
      <c r="A190" s="873"/>
      <c r="B190" s="873"/>
      <c r="C190" s="873"/>
      <c r="D190" s="873"/>
      <c r="E190" s="873"/>
      <c r="F190" s="873"/>
      <c r="G190" s="873"/>
      <c r="H190" s="873"/>
      <c r="I190" s="873"/>
      <c r="J190" s="873"/>
      <c r="K190" s="873"/>
      <c r="L190" s="873"/>
    </row>
    <row r="191" spans="1:12">
      <c r="A191" s="873"/>
      <c r="B191" s="873"/>
      <c r="C191" s="873"/>
      <c r="D191" s="873"/>
      <c r="E191" s="873"/>
      <c r="F191" s="873"/>
      <c r="G191" s="873"/>
      <c r="H191" s="873"/>
      <c r="I191" s="873"/>
      <c r="J191" s="873"/>
      <c r="K191" s="873"/>
      <c r="L191" s="873"/>
    </row>
    <row r="192" spans="1:12">
      <c r="A192" s="873"/>
      <c r="B192" s="873"/>
      <c r="C192" s="873"/>
      <c r="D192" s="873"/>
      <c r="E192" s="873"/>
      <c r="F192" s="873"/>
      <c r="G192" s="873"/>
      <c r="H192" s="873"/>
      <c r="I192" s="873"/>
      <c r="J192" s="873"/>
      <c r="K192" s="873"/>
      <c r="L192" s="873"/>
    </row>
    <row r="193" spans="1:12">
      <c r="A193" s="873"/>
      <c r="B193" s="873"/>
      <c r="C193" s="873"/>
      <c r="D193" s="873"/>
      <c r="E193" s="873"/>
      <c r="F193" s="873"/>
      <c r="G193" s="873"/>
      <c r="H193" s="873"/>
      <c r="I193" s="873"/>
      <c r="J193" s="873"/>
      <c r="K193" s="873"/>
      <c r="L193" s="873"/>
    </row>
    <row r="194" spans="1:12">
      <c r="A194" s="873"/>
      <c r="B194" s="873"/>
      <c r="C194" s="873"/>
      <c r="D194" s="873"/>
      <c r="E194" s="873"/>
      <c r="F194" s="873"/>
      <c r="G194" s="873"/>
      <c r="H194" s="873"/>
      <c r="I194" s="873"/>
      <c r="J194" s="873"/>
      <c r="K194" s="873"/>
      <c r="L194" s="873"/>
    </row>
    <row r="195" spans="1:12">
      <c r="A195" s="873"/>
      <c r="B195" s="873"/>
      <c r="C195" s="873"/>
      <c r="D195" s="873"/>
      <c r="E195" s="873"/>
      <c r="F195" s="873"/>
      <c r="G195" s="873"/>
      <c r="H195" s="873"/>
      <c r="I195" s="873"/>
      <c r="J195" s="873"/>
      <c r="K195" s="873"/>
      <c r="L195" s="873"/>
    </row>
    <row r="196" spans="1:12">
      <c r="A196" s="873"/>
      <c r="B196" s="873"/>
      <c r="C196" s="873"/>
      <c r="D196" s="873"/>
      <c r="E196" s="873"/>
      <c r="F196" s="873"/>
      <c r="G196" s="873"/>
      <c r="H196" s="873"/>
      <c r="I196" s="873"/>
      <c r="J196" s="873"/>
      <c r="K196" s="873"/>
      <c r="L196" s="873"/>
    </row>
    <row r="197" spans="1:12">
      <c r="A197" s="873"/>
      <c r="B197" s="873"/>
      <c r="C197" s="873"/>
      <c r="D197" s="873"/>
      <c r="E197" s="873"/>
      <c r="F197" s="873"/>
      <c r="G197" s="873"/>
      <c r="H197" s="873"/>
      <c r="I197" s="873"/>
      <c r="J197" s="873"/>
      <c r="K197" s="873"/>
      <c r="L197" s="873"/>
    </row>
    <row r="198" spans="1:12">
      <c r="A198" s="873"/>
      <c r="B198" s="873"/>
      <c r="C198" s="873"/>
      <c r="D198" s="873"/>
      <c r="E198" s="873"/>
      <c r="F198" s="873"/>
      <c r="G198" s="873"/>
      <c r="H198" s="873"/>
      <c r="I198" s="873"/>
      <c r="J198" s="873"/>
      <c r="K198" s="873"/>
      <c r="L198" s="873"/>
    </row>
    <row r="199" spans="1:12">
      <c r="A199" s="873"/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</row>
    <row r="200" spans="1:12">
      <c r="A200" s="873"/>
      <c r="B200" s="873"/>
      <c r="C200" s="873"/>
      <c r="D200" s="873"/>
      <c r="E200" s="873"/>
      <c r="F200" s="873"/>
      <c r="G200" s="873"/>
      <c r="H200" s="873"/>
      <c r="I200" s="873"/>
      <c r="J200" s="873"/>
      <c r="K200" s="873"/>
      <c r="L200" s="873"/>
    </row>
    <row r="201" spans="1:12">
      <c r="A201" s="873"/>
      <c r="B201" s="873"/>
      <c r="C201" s="873"/>
      <c r="D201" s="873"/>
      <c r="E201" s="873"/>
      <c r="F201" s="873"/>
      <c r="G201" s="873"/>
      <c r="H201" s="873"/>
      <c r="I201" s="873"/>
      <c r="J201" s="873"/>
      <c r="K201" s="873"/>
      <c r="L201" s="873"/>
    </row>
    <row r="202" spans="1:12">
      <c r="A202" s="873"/>
      <c r="B202" s="873"/>
      <c r="C202" s="873"/>
      <c r="D202" s="873"/>
      <c r="E202" s="873"/>
      <c r="F202" s="873"/>
      <c r="G202" s="873"/>
      <c r="H202" s="873"/>
      <c r="I202" s="873"/>
      <c r="J202" s="873"/>
      <c r="K202" s="873"/>
      <c r="L202" s="873"/>
    </row>
    <row r="203" spans="1:12">
      <c r="A203" s="873"/>
      <c r="B203" s="873"/>
      <c r="C203" s="873"/>
      <c r="D203" s="873"/>
      <c r="E203" s="873"/>
      <c r="F203" s="873"/>
      <c r="G203" s="873"/>
      <c r="H203" s="873"/>
      <c r="I203" s="873"/>
      <c r="J203" s="873"/>
      <c r="K203" s="873"/>
      <c r="L203" s="873"/>
    </row>
    <row r="204" spans="1:12">
      <c r="A204" s="873"/>
      <c r="B204" s="873"/>
      <c r="C204" s="873"/>
      <c r="D204" s="873"/>
      <c r="E204" s="873"/>
      <c r="F204" s="873"/>
      <c r="G204" s="873"/>
      <c r="H204" s="873"/>
      <c r="I204" s="873"/>
      <c r="J204" s="873"/>
      <c r="K204" s="873"/>
      <c r="L204" s="873"/>
    </row>
    <row r="205" spans="1:12">
      <c r="A205" s="873"/>
      <c r="B205" s="873"/>
      <c r="C205" s="873"/>
      <c r="D205" s="873"/>
      <c r="E205" s="873"/>
      <c r="F205" s="873"/>
      <c r="G205" s="873"/>
      <c r="H205" s="873"/>
      <c r="I205" s="873"/>
      <c r="J205" s="873"/>
      <c r="K205" s="873"/>
      <c r="L205" s="873"/>
    </row>
    <row r="206" spans="1:12">
      <c r="A206" s="873"/>
      <c r="B206" s="873"/>
      <c r="C206" s="873"/>
      <c r="D206" s="873"/>
      <c r="E206" s="873"/>
      <c r="F206" s="873"/>
      <c r="G206" s="873"/>
      <c r="H206" s="873"/>
      <c r="I206" s="873"/>
      <c r="J206" s="873"/>
      <c r="K206" s="873"/>
      <c r="L206" s="873"/>
    </row>
    <row r="207" spans="1:12">
      <c r="A207" s="873"/>
      <c r="B207" s="873"/>
      <c r="C207" s="873"/>
      <c r="D207" s="873"/>
      <c r="E207" s="873"/>
      <c r="F207" s="873"/>
      <c r="G207" s="873"/>
      <c r="H207" s="873"/>
      <c r="I207" s="873"/>
      <c r="J207" s="873"/>
      <c r="K207" s="873"/>
      <c r="L207" s="873"/>
    </row>
    <row r="208" spans="1:12">
      <c r="A208" s="873"/>
      <c r="B208" s="873"/>
      <c r="C208" s="873"/>
      <c r="D208" s="873"/>
      <c r="E208" s="873"/>
      <c r="F208" s="873"/>
      <c r="G208" s="873"/>
      <c r="H208" s="873"/>
      <c r="I208" s="873"/>
      <c r="J208" s="873"/>
      <c r="K208" s="873"/>
      <c r="L208" s="873"/>
    </row>
    <row r="209" spans="1:12">
      <c r="A209" s="873"/>
      <c r="B209" s="873"/>
      <c r="C209" s="873"/>
      <c r="D209" s="873"/>
      <c r="E209" s="873"/>
      <c r="F209" s="873"/>
      <c r="G209" s="873"/>
      <c r="H209" s="873"/>
      <c r="I209" s="873"/>
      <c r="J209" s="873"/>
      <c r="K209" s="873"/>
      <c r="L209" s="873"/>
    </row>
    <row r="210" spans="1:12">
      <c r="A210" s="873"/>
      <c r="B210" s="873"/>
      <c r="C210" s="873"/>
      <c r="D210" s="873"/>
      <c r="E210" s="873"/>
      <c r="F210" s="873"/>
      <c r="G210" s="873"/>
      <c r="H210" s="873"/>
      <c r="I210" s="873"/>
      <c r="J210" s="873"/>
      <c r="K210" s="873"/>
      <c r="L210" s="873"/>
    </row>
    <row r="211" spans="1:12">
      <c r="A211" s="873"/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</row>
    <row r="212" spans="1:12">
      <c r="A212" s="873"/>
      <c r="B212" s="873"/>
      <c r="C212" s="873"/>
      <c r="D212" s="873"/>
      <c r="E212" s="873"/>
      <c r="F212" s="873"/>
      <c r="G212" s="873"/>
      <c r="H212" s="873"/>
      <c r="I212" s="873"/>
      <c r="J212" s="873"/>
      <c r="K212" s="873"/>
      <c r="L212" s="873"/>
    </row>
    <row r="213" spans="1:12">
      <c r="A213" s="873"/>
      <c r="B213" s="873"/>
      <c r="C213" s="873"/>
      <c r="D213" s="873"/>
      <c r="E213" s="873"/>
      <c r="F213" s="873"/>
      <c r="G213" s="873"/>
      <c r="H213" s="873"/>
      <c r="I213" s="873"/>
      <c r="J213" s="873"/>
      <c r="K213" s="873"/>
      <c r="L213" s="873"/>
    </row>
    <row r="214" spans="1:12">
      <c r="A214" s="873"/>
      <c r="B214" s="873"/>
      <c r="C214" s="873"/>
      <c r="D214" s="873"/>
      <c r="E214" s="873"/>
      <c r="F214" s="873"/>
      <c r="G214" s="873"/>
      <c r="H214" s="873"/>
      <c r="I214" s="873"/>
      <c r="J214" s="873"/>
      <c r="K214" s="873"/>
      <c r="L214" s="873"/>
    </row>
    <row r="215" spans="1:12">
      <c r="A215" s="873"/>
      <c r="B215" s="873"/>
      <c r="C215" s="873"/>
      <c r="D215" s="873"/>
      <c r="E215" s="873"/>
      <c r="F215" s="873"/>
      <c r="G215" s="873"/>
      <c r="H215" s="873"/>
      <c r="I215" s="873"/>
      <c r="J215" s="873"/>
      <c r="K215" s="873"/>
      <c r="L215" s="873"/>
    </row>
    <row r="216" spans="1:12">
      <c r="A216" s="873"/>
      <c r="B216" s="873"/>
      <c r="C216" s="873"/>
      <c r="D216" s="873"/>
      <c r="E216" s="873"/>
      <c r="F216" s="873"/>
      <c r="G216" s="873"/>
      <c r="H216" s="873"/>
      <c r="I216" s="873"/>
      <c r="J216" s="873"/>
      <c r="K216" s="873"/>
      <c r="L216" s="873"/>
    </row>
    <row r="217" spans="1:12">
      <c r="A217" s="873"/>
      <c r="B217" s="873"/>
      <c r="C217" s="873"/>
      <c r="D217" s="873"/>
      <c r="E217" s="873"/>
      <c r="F217" s="873"/>
      <c r="G217" s="873"/>
      <c r="H217" s="873"/>
      <c r="I217" s="873"/>
      <c r="J217" s="873"/>
      <c r="K217" s="873"/>
      <c r="L217" s="873"/>
    </row>
    <row r="218" spans="1:12">
      <c r="A218" s="873"/>
      <c r="B218" s="873"/>
      <c r="C218" s="873"/>
      <c r="D218" s="873"/>
      <c r="E218" s="873"/>
      <c r="F218" s="873"/>
      <c r="G218" s="873"/>
      <c r="H218" s="873"/>
      <c r="I218" s="873"/>
      <c r="J218" s="873"/>
      <c r="K218" s="873"/>
      <c r="L218" s="873"/>
    </row>
    <row r="219" spans="1:12">
      <c r="A219" s="873"/>
      <c r="B219" s="873"/>
      <c r="C219" s="873"/>
      <c r="D219" s="873"/>
      <c r="E219" s="873"/>
      <c r="F219" s="873"/>
      <c r="G219" s="873"/>
      <c r="H219" s="873"/>
      <c r="I219" s="873"/>
      <c r="J219" s="873"/>
      <c r="K219" s="873"/>
      <c r="L219" s="873"/>
    </row>
    <row r="220" spans="1:12">
      <c r="A220" s="873"/>
      <c r="B220" s="873"/>
      <c r="C220" s="873"/>
      <c r="D220" s="873"/>
      <c r="E220" s="873"/>
      <c r="F220" s="873"/>
      <c r="G220" s="873"/>
      <c r="H220" s="873"/>
      <c r="I220" s="873"/>
      <c r="J220" s="873"/>
      <c r="K220" s="873"/>
      <c r="L220" s="873"/>
    </row>
    <row r="221" spans="1:12">
      <c r="A221" s="873"/>
      <c r="B221" s="873"/>
      <c r="C221" s="873"/>
      <c r="D221" s="873"/>
      <c r="E221" s="873"/>
      <c r="F221" s="873"/>
      <c r="G221" s="873"/>
      <c r="H221" s="873"/>
      <c r="I221" s="873"/>
      <c r="J221" s="873"/>
      <c r="K221" s="873"/>
      <c r="L221" s="873"/>
    </row>
    <row r="222" spans="1:12">
      <c r="A222" s="873"/>
      <c r="B222" s="873"/>
      <c r="C222" s="873"/>
      <c r="D222" s="873"/>
      <c r="E222" s="873"/>
      <c r="F222" s="873"/>
      <c r="G222" s="873"/>
      <c r="H222" s="873"/>
      <c r="I222" s="873"/>
      <c r="J222" s="873"/>
      <c r="K222" s="873"/>
      <c r="L222" s="873"/>
    </row>
    <row r="223" spans="1:12">
      <c r="A223" s="873"/>
      <c r="B223" s="873"/>
      <c r="C223" s="873"/>
      <c r="D223" s="873"/>
      <c r="E223" s="873"/>
      <c r="F223" s="873"/>
      <c r="G223" s="873"/>
      <c r="H223" s="873"/>
      <c r="I223" s="873"/>
      <c r="J223" s="873"/>
      <c r="K223" s="873"/>
      <c r="L223" s="873"/>
    </row>
    <row r="224" spans="1:12">
      <c r="A224" s="873"/>
      <c r="B224" s="873"/>
      <c r="C224" s="873"/>
      <c r="D224" s="873"/>
      <c r="E224" s="873"/>
      <c r="F224" s="873"/>
      <c r="G224" s="873"/>
      <c r="H224" s="873"/>
      <c r="I224" s="873"/>
      <c r="J224" s="873"/>
      <c r="K224" s="873"/>
      <c r="L224" s="873"/>
    </row>
    <row r="225" spans="1:12">
      <c r="A225" s="873"/>
      <c r="B225" s="873"/>
      <c r="C225" s="873"/>
      <c r="D225" s="873"/>
      <c r="E225" s="873"/>
      <c r="F225" s="873"/>
      <c r="G225" s="873"/>
      <c r="H225" s="873"/>
      <c r="I225" s="873"/>
      <c r="J225" s="873"/>
      <c r="K225" s="873"/>
      <c r="L225" s="873"/>
    </row>
    <row r="226" spans="1:12">
      <c r="A226" s="873"/>
      <c r="B226" s="873"/>
      <c r="C226" s="873"/>
      <c r="D226" s="873"/>
      <c r="E226" s="873"/>
      <c r="F226" s="873"/>
      <c r="G226" s="873"/>
      <c r="H226" s="873"/>
      <c r="I226" s="873"/>
      <c r="J226" s="873"/>
      <c r="K226" s="873"/>
      <c r="L226" s="873"/>
    </row>
    <row r="227" spans="1:12">
      <c r="A227" s="873"/>
      <c r="B227" s="873"/>
      <c r="C227" s="873"/>
      <c r="D227" s="873"/>
      <c r="E227" s="873"/>
      <c r="F227" s="873"/>
      <c r="G227" s="873"/>
      <c r="H227" s="873"/>
      <c r="I227" s="873"/>
      <c r="J227" s="873"/>
      <c r="K227" s="873"/>
      <c r="L227" s="873"/>
    </row>
    <row r="228" spans="1:12">
      <c r="A228" s="873"/>
      <c r="B228" s="873"/>
      <c r="C228" s="873"/>
      <c r="D228" s="873"/>
      <c r="E228" s="873"/>
      <c r="F228" s="873"/>
      <c r="G228" s="873"/>
      <c r="H228" s="873"/>
      <c r="I228" s="873"/>
      <c r="J228" s="873"/>
      <c r="K228" s="873"/>
      <c r="L228" s="873"/>
    </row>
    <row r="229" spans="1:12">
      <c r="A229" s="873"/>
      <c r="B229" s="873"/>
      <c r="C229" s="873"/>
      <c r="D229" s="873"/>
      <c r="E229" s="873"/>
      <c r="F229" s="873"/>
      <c r="G229" s="873"/>
      <c r="H229" s="873"/>
      <c r="I229" s="873"/>
      <c r="J229" s="873"/>
      <c r="K229" s="873"/>
      <c r="L229" s="873"/>
    </row>
    <row r="230" spans="1:12">
      <c r="A230" s="873"/>
      <c r="B230" s="873"/>
      <c r="C230" s="873"/>
      <c r="D230" s="873"/>
      <c r="E230" s="873"/>
      <c r="F230" s="873"/>
      <c r="G230" s="873"/>
      <c r="H230" s="873"/>
      <c r="I230" s="873"/>
      <c r="J230" s="873"/>
      <c r="K230" s="873"/>
      <c r="L230" s="873"/>
    </row>
    <row r="231" spans="1:12">
      <c r="A231" s="873"/>
      <c r="B231" s="873"/>
      <c r="C231" s="873"/>
      <c r="D231" s="873"/>
      <c r="E231" s="873"/>
      <c r="F231" s="873"/>
      <c r="G231" s="873"/>
      <c r="H231" s="873"/>
      <c r="I231" s="873"/>
      <c r="J231" s="873"/>
      <c r="K231" s="873"/>
      <c r="L231" s="873"/>
    </row>
    <row r="232" spans="1:12">
      <c r="A232" s="873"/>
      <c r="B232" s="873"/>
      <c r="C232" s="873"/>
      <c r="D232" s="873"/>
      <c r="E232" s="873"/>
      <c r="F232" s="873"/>
      <c r="G232" s="873"/>
      <c r="H232" s="873"/>
      <c r="I232" s="873"/>
      <c r="J232" s="873"/>
      <c r="K232" s="873"/>
      <c r="L232" s="873"/>
    </row>
    <row r="233" spans="1:12">
      <c r="A233" s="873"/>
      <c r="B233" s="873"/>
      <c r="C233" s="873"/>
      <c r="D233" s="873"/>
      <c r="E233" s="873"/>
      <c r="F233" s="873"/>
      <c r="G233" s="873"/>
      <c r="H233" s="873"/>
      <c r="I233" s="873"/>
      <c r="J233" s="873"/>
      <c r="K233" s="873"/>
      <c r="L233" s="873"/>
    </row>
    <row r="234" spans="1:12">
      <c r="A234" s="873"/>
      <c r="B234" s="873"/>
      <c r="C234" s="873"/>
      <c r="D234" s="873"/>
      <c r="E234" s="873"/>
      <c r="F234" s="873"/>
      <c r="G234" s="873"/>
      <c r="H234" s="873"/>
      <c r="I234" s="873"/>
      <c r="J234" s="873"/>
      <c r="K234" s="873"/>
      <c r="L234" s="873"/>
    </row>
    <row r="235" spans="1:12">
      <c r="A235" s="873"/>
      <c r="B235" s="873"/>
      <c r="C235" s="873"/>
      <c r="D235" s="873"/>
      <c r="E235" s="873"/>
      <c r="F235" s="873"/>
      <c r="G235" s="873"/>
      <c r="H235" s="873"/>
      <c r="I235" s="873"/>
      <c r="J235" s="873"/>
      <c r="K235" s="873"/>
      <c r="L235" s="873"/>
    </row>
    <row r="236" spans="1:12">
      <c r="A236" s="873"/>
      <c r="B236" s="873"/>
      <c r="C236" s="873"/>
      <c r="D236" s="873"/>
      <c r="E236" s="873"/>
      <c r="F236" s="873"/>
      <c r="G236" s="873"/>
      <c r="H236" s="873"/>
      <c r="I236" s="873"/>
      <c r="J236" s="873"/>
      <c r="K236" s="873"/>
      <c r="L236" s="873"/>
    </row>
    <row r="237" spans="1:12">
      <c r="A237" s="873"/>
      <c r="B237" s="873"/>
      <c r="C237" s="873"/>
      <c r="D237" s="873"/>
      <c r="E237" s="873"/>
      <c r="F237" s="873"/>
      <c r="G237" s="873"/>
      <c r="H237" s="873"/>
      <c r="I237" s="873"/>
      <c r="J237" s="873"/>
      <c r="K237" s="873"/>
      <c r="L237" s="873"/>
    </row>
    <row r="238" spans="1:12">
      <c r="A238" s="873"/>
      <c r="B238" s="873"/>
      <c r="C238" s="873"/>
      <c r="D238" s="873"/>
      <c r="E238" s="873"/>
      <c r="F238" s="873"/>
      <c r="G238" s="873"/>
      <c r="H238" s="873"/>
      <c r="I238" s="873"/>
      <c r="J238" s="873"/>
      <c r="K238" s="873"/>
      <c r="L238" s="873"/>
    </row>
    <row r="239" spans="1:12">
      <c r="A239" s="873"/>
      <c r="B239" s="873"/>
      <c r="C239" s="873"/>
      <c r="D239" s="873"/>
      <c r="E239" s="873"/>
      <c r="F239" s="873"/>
      <c r="G239" s="873"/>
      <c r="H239" s="873"/>
      <c r="I239" s="873"/>
      <c r="J239" s="873"/>
      <c r="K239" s="873"/>
      <c r="L239" s="873"/>
    </row>
    <row r="240" spans="1:12">
      <c r="A240" s="873"/>
      <c r="B240" s="873"/>
      <c r="C240" s="873"/>
      <c r="D240" s="873"/>
      <c r="E240" s="873"/>
      <c r="F240" s="873"/>
      <c r="G240" s="873"/>
      <c r="H240" s="873"/>
      <c r="I240" s="873"/>
      <c r="J240" s="873"/>
      <c r="K240" s="873"/>
      <c r="L240" s="873"/>
    </row>
    <row r="241" spans="1:12">
      <c r="A241" s="873"/>
      <c r="B241" s="873"/>
      <c r="C241" s="873"/>
      <c r="D241" s="873"/>
      <c r="E241" s="873"/>
      <c r="F241" s="873"/>
      <c r="G241" s="873"/>
      <c r="H241" s="873"/>
      <c r="I241" s="873"/>
      <c r="J241" s="873"/>
      <c r="K241" s="873"/>
      <c r="L241" s="873"/>
    </row>
    <row r="242" spans="1:12">
      <c r="A242" s="873"/>
      <c r="B242" s="873"/>
      <c r="C242" s="873"/>
      <c r="D242" s="873"/>
      <c r="E242" s="873"/>
      <c r="F242" s="873"/>
      <c r="G242" s="873"/>
      <c r="H242" s="873"/>
      <c r="I242" s="873"/>
      <c r="J242" s="873"/>
      <c r="K242" s="873"/>
      <c r="L242" s="873"/>
    </row>
    <row r="243" spans="1:12">
      <c r="A243" s="873"/>
      <c r="B243" s="873"/>
      <c r="C243" s="873"/>
      <c r="D243" s="873"/>
      <c r="E243" s="873"/>
      <c r="F243" s="873"/>
      <c r="G243" s="873"/>
      <c r="H243" s="873"/>
      <c r="I243" s="873"/>
      <c r="J243" s="873"/>
      <c r="K243" s="873"/>
      <c r="L243" s="873"/>
    </row>
    <row r="244" spans="1:12">
      <c r="A244" s="873"/>
      <c r="B244" s="873"/>
      <c r="C244" s="873"/>
      <c r="D244" s="873"/>
      <c r="E244" s="873"/>
      <c r="F244" s="873"/>
      <c r="G244" s="873"/>
      <c r="H244" s="873"/>
      <c r="I244" s="873"/>
      <c r="J244" s="873"/>
      <c r="K244" s="873"/>
      <c r="L244" s="873"/>
    </row>
    <row r="245" spans="1:12">
      <c r="A245" s="873"/>
      <c r="B245" s="873"/>
      <c r="C245" s="873"/>
      <c r="D245" s="873"/>
      <c r="E245" s="873"/>
      <c r="F245" s="873"/>
      <c r="G245" s="873"/>
      <c r="H245" s="873"/>
      <c r="I245" s="873"/>
      <c r="J245" s="873"/>
      <c r="K245" s="873"/>
      <c r="L245" s="873"/>
    </row>
    <row r="246" spans="1:12">
      <c r="A246" s="873"/>
      <c r="B246" s="873"/>
      <c r="C246" s="873"/>
      <c r="D246" s="873"/>
      <c r="E246" s="873"/>
      <c r="F246" s="873"/>
      <c r="G246" s="873"/>
      <c r="H246" s="873"/>
      <c r="I246" s="873"/>
      <c r="J246" s="873"/>
      <c r="K246" s="873"/>
      <c r="L246" s="873"/>
    </row>
    <row r="247" spans="1:12">
      <c r="A247" s="873"/>
      <c r="B247" s="873"/>
      <c r="C247" s="873"/>
      <c r="D247" s="873"/>
      <c r="E247" s="873"/>
      <c r="F247" s="873"/>
      <c r="G247" s="873"/>
      <c r="H247" s="873"/>
      <c r="I247" s="873"/>
      <c r="J247" s="873"/>
      <c r="K247" s="873"/>
      <c r="L247" s="873"/>
    </row>
    <row r="248" spans="1:12">
      <c r="A248" s="873"/>
      <c r="B248" s="873"/>
      <c r="C248" s="873"/>
      <c r="D248" s="873"/>
      <c r="E248" s="873"/>
      <c r="F248" s="873"/>
      <c r="G248" s="873"/>
      <c r="H248" s="873"/>
      <c r="I248" s="873"/>
      <c r="J248" s="873"/>
      <c r="K248" s="873"/>
      <c r="L248" s="873"/>
    </row>
    <row r="249" spans="1:12">
      <c r="A249" s="873"/>
      <c r="B249" s="873"/>
      <c r="C249" s="873"/>
      <c r="D249" s="873"/>
      <c r="E249" s="873"/>
      <c r="F249" s="873"/>
      <c r="G249" s="873"/>
      <c r="H249" s="873"/>
      <c r="I249" s="873"/>
      <c r="J249" s="873"/>
      <c r="K249" s="873"/>
      <c r="L249" s="873"/>
    </row>
    <row r="250" spans="1:12">
      <c r="A250" s="873"/>
      <c r="B250" s="873"/>
      <c r="C250" s="873"/>
      <c r="D250" s="873"/>
      <c r="E250" s="873"/>
      <c r="F250" s="873"/>
      <c r="G250" s="873"/>
      <c r="H250" s="873"/>
      <c r="I250" s="873"/>
      <c r="J250" s="873"/>
      <c r="K250" s="873"/>
      <c r="L250" s="873"/>
    </row>
    <row r="251" spans="1:12">
      <c r="A251" s="873"/>
      <c r="B251" s="873"/>
      <c r="C251" s="873"/>
      <c r="D251" s="873"/>
      <c r="E251" s="873"/>
      <c r="F251" s="873"/>
      <c r="G251" s="873"/>
      <c r="H251" s="873"/>
      <c r="I251" s="873"/>
      <c r="J251" s="873"/>
      <c r="K251" s="873"/>
      <c r="L251" s="873"/>
    </row>
    <row r="252" spans="1:12">
      <c r="A252" s="873"/>
      <c r="B252" s="873"/>
      <c r="C252" s="873"/>
      <c r="D252" s="873"/>
      <c r="E252" s="873"/>
      <c r="F252" s="873"/>
      <c r="G252" s="873"/>
      <c r="H252" s="873"/>
      <c r="I252" s="873"/>
      <c r="J252" s="873"/>
      <c r="K252" s="873"/>
      <c r="L252" s="873"/>
    </row>
    <row r="253" spans="1:12">
      <c r="A253" s="873"/>
      <c r="B253" s="873"/>
      <c r="C253" s="873"/>
      <c r="D253" s="873"/>
      <c r="E253" s="873"/>
      <c r="F253" s="873"/>
      <c r="G253" s="873"/>
      <c r="H253" s="873"/>
      <c r="I253" s="873"/>
      <c r="J253" s="873"/>
      <c r="K253" s="873"/>
      <c r="L253" s="873"/>
    </row>
    <row r="254" spans="1:12">
      <c r="A254" s="873"/>
      <c r="B254" s="873"/>
      <c r="C254" s="873"/>
      <c r="D254" s="873"/>
      <c r="E254" s="873"/>
      <c r="F254" s="873"/>
      <c r="G254" s="873"/>
      <c r="H254" s="873"/>
      <c r="I254" s="873"/>
      <c r="J254" s="873"/>
      <c r="K254" s="873"/>
      <c r="L254" s="873"/>
    </row>
    <row r="255" spans="1:12">
      <c r="A255" s="873"/>
      <c r="B255" s="873"/>
      <c r="C255" s="873"/>
      <c r="D255" s="873"/>
      <c r="E255" s="873"/>
      <c r="F255" s="873"/>
      <c r="G255" s="873"/>
      <c r="H255" s="873"/>
      <c r="I255" s="873"/>
      <c r="J255" s="873"/>
      <c r="K255" s="873"/>
      <c r="L255" s="873"/>
    </row>
    <row r="256" spans="1:12">
      <c r="A256" s="873"/>
      <c r="B256" s="873"/>
      <c r="C256" s="873"/>
      <c r="D256" s="873"/>
      <c r="E256" s="873"/>
      <c r="F256" s="873"/>
      <c r="G256" s="873"/>
      <c r="H256" s="873"/>
      <c r="I256" s="873"/>
      <c r="J256" s="873"/>
      <c r="K256" s="873"/>
      <c r="L256" s="873"/>
    </row>
    <row r="257" spans="1:12">
      <c r="A257" s="873"/>
      <c r="B257" s="873"/>
      <c r="C257" s="873"/>
      <c r="D257" s="873"/>
      <c r="E257" s="873"/>
      <c r="F257" s="873"/>
      <c r="G257" s="873"/>
      <c r="H257" s="873"/>
      <c r="I257" s="873"/>
      <c r="J257" s="873"/>
      <c r="K257" s="873"/>
      <c r="L257" s="873"/>
    </row>
    <row r="258" spans="1:12">
      <c r="A258" s="873"/>
      <c r="B258" s="873"/>
      <c r="C258" s="873"/>
      <c r="D258" s="873"/>
      <c r="E258" s="873"/>
      <c r="F258" s="873"/>
      <c r="G258" s="873"/>
      <c r="H258" s="873"/>
      <c r="I258" s="873"/>
      <c r="J258" s="873"/>
      <c r="K258" s="873"/>
      <c r="L258" s="873"/>
    </row>
    <row r="259" spans="1:12">
      <c r="A259" s="873"/>
      <c r="B259" s="873"/>
      <c r="C259" s="873"/>
      <c r="D259" s="873"/>
      <c r="E259" s="873"/>
      <c r="F259" s="873"/>
      <c r="G259" s="873"/>
      <c r="H259" s="873"/>
      <c r="I259" s="873"/>
      <c r="J259" s="873"/>
      <c r="K259" s="873"/>
      <c r="L259" s="873"/>
    </row>
    <row r="260" spans="1:12">
      <c r="A260" s="873"/>
      <c r="B260" s="873"/>
      <c r="C260" s="873"/>
      <c r="D260" s="873"/>
      <c r="E260" s="873"/>
      <c r="F260" s="873"/>
      <c r="G260" s="873"/>
      <c r="H260" s="873"/>
      <c r="I260" s="873"/>
      <c r="J260" s="873"/>
      <c r="K260" s="873"/>
      <c r="L260" s="873"/>
    </row>
    <row r="261" spans="1:12">
      <c r="A261" s="873"/>
      <c r="B261" s="873"/>
      <c r="C261" s="873"/>
      <c r="D261" s="873"/>
      <c r="E261" s="873"/>
      <c r="F261" s="873"/>
      <c r="G261" s="873"/>
      <c r="H261" s="873"/>
      <c r="I261" s="873"/>
      <c r="J261" s="873"/>
      <c r="K261" s="873"/>
      <c r="L261" s="873"/>
    </row>
    <row r="262" spans="1:12">
      <c r="A262" s="873"/>
      <c r="B262" s="873"/>
      <c r="C262" s="873"/>
      <c r="D262" s="873"/>
      <c r="E262" s="873"/>
      <c r="F262" s="873"/>
      <c r="G262" s="873"/>
      <c r="H262" s="873"/>
      <c r="I262" s="873"/>
      <c r="J262" s="873"/>
      <c r="K262" s="873"/>
      <c r="L262" s="873"/>
    </row>
    <row r="263" spans="1:12">
      <c r="A263" s="873"/>
      <c r="B263" s="873"/>
      <c r="C263" s="873"/>
      <c r="D263" s="873"/>
      <c r="E263" s="873"/>
      <c r="F263" s="873"/>
      <c r="G263" s="873"/>
      <c r="H263" s="873"/>
      <c r="I263" s="873"/>
      <c r="J263" s="873"/>
      <c r="K263" s="873"/>
      <c r="L263" s="873"/>
    </row>
    <row r="264" spans="1:12">
      <c r="A264" s="873"/>
      <c r="B264" s="873"/>
      <c r="C264" s="873"/>
      <c r="D264" s="873"/>
      <c r="E264" s="873"/>
      <c r="F264" s="873"/>
      <c r="G264" s="873"/>
      <c r="H264" s="873"/>
      <c r="I264" s="873"/>
      <c r="J264" s="873"/>
      <c r="K264" s="873"/>
      <c r="L264" s="873"/>
    </row>
    <row r="265" spans="1:12">
      <c r="A265" s="873"/>
      <c r="B265" s="873"/>
      <c r="C265" s="873"/>
      <c r="D265" s="873"/>
      <c r="E265" s="873"/>
      <c r="F265" s="873"/>
      <c r="G265" s="873"/>
      <c r="H265" s="873"/>
      <c r="I265" s="873"/>
      <c r="J265" s="873"/>
      <c r="K265" s="873"/>
      <c r="L265" s="873"/>
    </row>
    <row r="266" spans="1:12">
      <c r="A266" s="873"/>
      <c r="B266" s="873"/>
      <c r="C266" s="873"/>
      <c r="D266" s="873"/>
      <c r="E266" s="873"/>
      <c r="F266" s="873"/>
      <c r="G266" s="873"/>
      <c r="H266" s="873"/>
      <c r="I266" s="873"/>
      <c r="J266" s="873"/>
      <c r="K266" s="873"/>
      <c r="L266" s="873"/>
    </row>
    <row r="267" spans="1:12">
      <c r="A267" s="873"/>
      <c r="B267" s="873"/>
      <c r="C267" s="873"/>
      <c r="D267" s="873"/>
      <c r="E267" s="873"/>
      <c r="F267" s="873"/>
      <c r="G267" s="873"/>
      <c r="H267" s="873"/>
      <c r="I267" s="873"/>
      <c r="J267" s="873"/>
      <c r="K267" s="873"/>
      <c r="L267" s="873"/>
    </row>
    <row r="268" spans="1:12">
      <c r="A268" s="873"/>
      <c r="B268" s="873"/>
      <c r="C268" s="873"/>
      <c r="D268" s="873"/>
      <c r="E268" s="873"/>
      <c r="F268" s="873"/>
      <c r="G268" s="873"/>
      <c r="H268" s="873"/>
      <c r="I268" s="873"/>
      <c r="J268" s="873"/>
      <c r="K268" s="873"/>
      <c r="L268" s="873"/>
    </row>
    <row r="269" spans="1:12">
      <c r="A269" s="873"/>
      <c r="B269" s="873"/>
      <c r="C269" s="873"/>
      <c r="D269" s="873"/>
      <c r="E269" s="873"/>
      <c r="F269" s="873"/>
      <c r="G269" s="873"/>
      <c r="H269" s="873"/>
      <c r="I269" s="873"/>
      <c r="J269" s="873"/>
      <c r="K269" s="873"/>
      <c r="L269" s="873"/>
    </row>
    <row r="270" spans="1:12">
      <c r="A270" s="873"/>
      <c r="B270" s="873"/>
      <c r="C270" s="873"/>
      <c r="D270" s="873"/>
      <c r="E270" s="873"/>
      <c r="F270" s="873"/>
      <c r="G270" s="873"/>
      <c r="H270" s="873"/>
      <c r="I270" s="873"/>
      <c r="J270" s="873"/>
      <c r="K270" s="873"/>
      <c r="L270" s="873"/>
    </row>
    <row r="271" spans="1:12">
      <c r="A271" s="873"/>
      <c r="B271" s="873"/>
      <c r="C271" s="873"/>
      <c r="D271" s="873"/>
      <c r="E271" s="873"/>
      <c r="F271" s="873"/>
      <c r="G271" s="873"/>
      <c r="H271" s="873"/>
      <c r="I271" s="873"/>
      <c r="J271" s="873"/>
      <c r="K271" s="873"/>
      <c r="L271" s="873"/>
    </row>
    <row r="272" spans="1:12">
      <c r="A272" s="873"/>
      <c r="B272" s="873"/>
      <c r="C272" s="873"/>
      <c r="D272" s="873"/>
      <c r="E272" s="873"/>
      <c r="F272" s="873"/>
      <c r="G272" s="873"/>
      <c r="H272" s="873"/>
      <c r="I272" s="873"/>
      <c r="J272" s="873"/>
      <c r="K272" s="873"/>
      <c r="L272" s="873"/>
    </row>
    <row r="273" spans="1:12">
      <c r="A273" s="873"/>
      <c r="B273" s="873"/>
      <c r="C273" s="873"/>
      <c r="D273" s="873"/>
      <c r="E273" s="873"/>
      <c r="F273" s="873"/>
      <c r="G273" s="873"/>
      <c r="H273" s="873"/>
      <c r="I273" s="873"/>
      <c r="J273" s="873"/>
      <c r="K273" s="873"/>
      <c r="L273" s="873"/>
    </row>
    <row r="274" spans="1:12">
      <c r="A274" s="873"/>
      <c r="B274" s="873"/>
      <c r="C274" s="873"/>
      <c r="D274" s="873"/>
      <c r="E274" s="873"/>
      <c r="F274" s="873"/>
      <c r="G274" s="873"/>
      <c r="H274" s="873"/>
      <c r="I274" s="873"/>
      <c r="J274" s="873"/>
      <c r="K274" s="873"/>
      <c r="L274" s="873"/>
    </row>
    <row r="275" spans="1:12">
      <c r="A275" s="873"/>
      <c r="B275" s="873"/>
      <c r="C275" s="873"/>
      <c r="D275" s="873"/>
      <c r="E275" s="873"/>
      <c r="F275" s="873"/>
      <c r="G275" s="873"/>
      <c r="H275" s="873"/>
      <c r="I275" s="873"/>
      <c r="J275" s="873"/>
      <c r="K275" s="873"/>
      <c r="L275" s="873"/>
    </row>
    <row r="276" spans="1:12">
      <c r="A276" s="873"/>
      <c r="B276" s="873"/>
      <c r="C276" s="873"/>
      <c r="D276" s="873"/>
      <c r="E276" s="873"/>
      <c r="F276" s="873"/>
      <c r="G276" s="873"/>
      <c r="H276" s="873"/>
      <c r="I276" s="873"/>
      <c r="J276" s="873"/>
      <c r="K276" s="873"/>
      <c r="L276" s="873"/>
    </row>
    <row r="277" spans="1:12">
      <c r="A277" s="873"/>
      <c r="B277" s="873"/>
      <c r="C277" s="873"/>
      <c r="D277" s="873"/>
      <c r="E277" s="873"/>
      <c r="F277" s="873"/>
      <c r="G277" s="873"/>
      <c r="H277" s="873"/>
      <c r="I277" s="873"/>
      <c r="J277" s="873"/>
      <c r="K277" s="873"/>
      <c r="L277" s="873"/>
    </row>
    <row r="278" spans="1:12">
      <c r="A278" s="873"/>
      <c r="B278" s="873"/>
      <c r="C278" s="873"/>
      <c r="D278" s="873"/>
      <c r="E278" s="873"/>
      <c r="F278" s="873"/>
      <c r="G278" s="873"/>
      <c r="H278" s="873"/>
      <c r="I278" s="873"/>
      <c r="J278" s="873"/>
      <c r="K278" s="873"/>
      <c r="L278" s="873"/>
    </row>
    <row r="279" spans="1:12">
      <c r="A279" s="873"/>
      <c r="B279" s="873"/>
      <c r="C279" s="873"/>
      <c r="D279" s="873"/>
      <c r="E279" s="873"/>
      <c r="F279" s="873"/>
      <c r="G279" s="873"/>
      <c r="H279" s="873"/>
      <c r="I279" s="873"/>
      <c r="J279" s="873"/>
      <c r="K279" s="873"/>
      <c r="L279" s="873"/>
    </row>
    <row r="280" spans="1:12">
      <c r="A280" s="873"/>
      <c r="B280" s="873"/>
      <c r="C280" s="873"/>
      <c r="D280" s="873"/>
      <c r="E280" s="873"/>
      <c r="F280" s="873"/>
      <c r="G280" s="873"/>
      <c r="H280" s="873"/>
      <c r="I280" s="873"/>
      <c r="J280" s="873"/>
      <c r="K280" s="873"/>
      <c r="L280" s="873"/>
    </row>
    <row r="281" spans="1:12">
      <c r="A281" s="873"/>
      <c r="B281" s="873"/>
      <c r="C281" s="873"/>
      <c r="D281" s="873"/>
      <c r="E281" s="873"/>
      <c r="F281" s="873"/>
      <c r="G281" s="873"/>
      <c r="H281" s="873"/>
      <c r="I281" s="873"/>
      <c r="J281" s="873"/>
      <c r="K281" s="873"/>
      <c r="L281" s="873"/>
    </row>
    <row r="282" spans="1:12">
      <c r="A282" s="873"/>
      <c r="B282" s="873"/>
      <c r="C282" s="873"/>
      <c r="D282" s="873"/>
      <c r="E282" s="873"/>
      <c r="F282" s="873"/>
      <c r="G282" s="873"/>
      <c r="H282" s="873"/>
      <c r="I282" s="873"/>
      <c r="J282" s="873"/>
      <c r="K282" s="873"/>
      <c r="L282" s="873"/>
    </row>
    <row r="283" spans="1:12">
      <c r="A283" s="873"/>
      <c r="B283" s="873"/>
      <c r="C283" s="873"/>
      <c r="D283" s="873"/>
      <c r="E283" s="873"/>
      <c r="F283" s="873"/>
      <c r="G283" s="873"/>
      <c r="H283" s="873"/>
      <c r="I283" s="873"/>
      <c r="J283" s="873"/>
      <c r="K283" s="873"/>
      <c r="L283" s="873"/>
    </row>
    <row r="284" spans="1:12">
      <c r="A284" s="873"/>
      <c r="B284" s="873"/>
      <c r="C284" s="873"/>
      <c r="D284" s="873"/>
      <c r="E284" s="873"/>
      <c r="F284" s="873"/>
      <c r="G284" s="873"/>
      <c r="H284" s="873"/>
      <c r="I284" s="873"/>
      <c r="J284" s="873"/>
      <c r="K284" s="873"/>
      <c r="L284" s="873"/>
    </row>
    <row r="285" spans="1:12">
      <c r="A285" s="873"/>
      <c r="B285" s="873"/>
      <c r="C285" s="873"/>
      <c r="D285" s="873"/>
      <c r="E285" s="873"/>
      <c r="F285" s="873"/>
      <c r="G285" s="873"/>
      <c r="H285" s="873"/>
      <c r="I285" s="873"/>
      <c r="J285" s="873"/>
      <c r="K285" s="873"/>
      <c r="L285" s="873"/>
    </row>
    <row r="286" spans="1:12">
      <c r="A286" s="873"/>
      <c r="B286" s="873"/>
      <c r="C286" s="873"/>
      <c r="D286" s="873"/>
      <c r="E286" s="873"/>
      <c r="F286" s="873"/>
      <c r="G286" s="873"/>
      <c r="H286" s="873"/>
      <c r="I286" s="873"/>
      <c r="J286" s="873"/>
      <c r="K286" s="873"/>
      <c r="L286" s="873"/>
    </row>
    <row r="287" spans="1:12">
      <c r="A287" s="873"/>
      <c r="B287" s="873"/>
      <c r="C287" s="873"/>
      <c r="D287" s="873"/>
      <c r="E287" s="873"/>
      <c r="F287" s="873"/>
      <c r="G287" s="873"/>
      <c r="H287" s="873"/>
      <c r="I287" s="873"/>
      <c r="J287" s="873"/>
      <c r="K287" s="873"/>
      <c r="L287" s="873"/>
    </row>
    <row r="288" spans="1:12">
      <c r="A288" s="873"/>
      <c r="B288" s="873"/>
      <c r="C288" s="873"/>
      <c r="D288" s="873"/>
      <c r="E288" s="873"/>
      <c r="F288" s="873"/>
      <c r="G288" s="873"/>
      <c r="H288" s="873"/>
      <c r="I288" s="873"/>
      <c r="J288" s="873"/>
      <c r="K288" s="873"/>
      <c r="L288" s="873"/>
    </row>
    <row r="289" spans="1:12">
      <c r="A289" s="873"/>
      <c r="B289" s="873"/>
      <c r="C289" s="873"/>
      <c r="D289" s="873"/>
      <c r="E289" s="873"/>
      <c r="F289" s="873"/>
      <c r="G289" s="873"/>
      <c r="H289" s="873"/>
      <c r="I289" s="873"/>
      <c r="J289" s="873"/>
      <c r="K289" s="873"/>
      <c r="L289" s="873"/>
    </row>
    <row r="290" spans="1:12">
      <c r="A290" s="873"/>
      <c r="B290" s="873"/>
      <c r="C290" s="873"/>
      <c r="D290" s="873"/>
      <c r="E290" s="873"/>
      <c r="F290" s="873"/>
      <c r="G290" s="873"/>
      <c r="H290" s="873"/>
      <c r="I290" s="873"/>
      <c r="J290" s="873"/>
      <c r="K290" s="873"/>
      <c r="L290" s="873"/>
    </row>
    <row r="291" spans="1:12">
      <c r="A291" s="873"/>
      <c r="B291" s="873"/>
      <c r="C291" s="873"/>
      <c r="D291" s="873"/>
      <c r="E291" s="873"/>
      <c r="F291" s="873"/>
      <c r="G291" s="873"/>
      <c r="H291" s="873"/>
      <c r="I291" s="873"/>
      <c r="J291" s="873"/>
      <c r="K291" s="873"/>
      <c r="L291" s="873"/>
    </row>
    <row r="292" spans="1:12">
      <c r="A292" s="873"/>
      <c r="B292" s="873"/>
      <c r="C292" s="873"/>
      <c r="D292" s="873"/>
      <c r="E292" s="873"/>
      <c r="F292" s="873"/>
      <c r="G292" s="873"/>
      <c r="H292" s="873"/>
      <c r="I292" s="873"/>
      <c r="J292" s="873"/>
      <c r="K292" s="873"/>
      <c r="L292" s="873"/>
    </row>
    <row r="293" spans="1:12">
      <c r="A293" s="873"/>
      <c r="B293" s="873"/>
      <c r="C293" s="873"/>
      <c r="D293" s="873"/>
      <c r="E293" s="873"/>
      <c r="F293" s="873"/>
      <c r="G293" s="873"/>
      <c r="H293" s="873"/>
      <c r="I293" s="873"/>
      <c r="J293" s="873"/>
      <c r="K293" s="873"/>
      <c r="L293" s="873"/>
    </row>
    <row r="294" spans="1:12">
      <c r="A294" s="873"/>
      <c r="B294" s="873"/>
      <c r="C294" s="873"/>
      <c r="D294" s="873"/>
      <c r="E294" s="873"/>
      <c r="F294" s="873"/>
      <c r="G294" s="873"/>
      <c r="H294" s="873"/>
      <c r="I294" s="873"/>
      <c r="J294" s="873"/>
      <c r="K294" s="873"/>
      <c r="L294" s="873"/>
    </row>
    <row r="295" spans="1:12">
      <c r="A295" s="873"/>
      <c r="B295" s="873"/>
      <c r="C295" s="873"/>
      <c r="D295" s="873"/>
      <c r="E295" s="873"/>
      <c r="F295" s="873"/>
      <c r="G295" s="873"/>
      <c r="H295" s="873"/>
      <c r="I295" s="873"/>
      <c r="J295" s="873"/>
      <c r="K295" s="873"/>
      <c r="L295" s="873"/>
    </row>
    <row r="296" spans="1:12">
      <c r="A296" s="873"/>
      <c r="B296" s="873"/>
      <c r="C296" s="873"/>
      <c r="D296" s="873"/>
      <c r="E296" s="873"/>
      <c r="F296" s="873"/>
      <c r="G296" s="873"/>
      <c r="H296" s="873"/>
      <c r="I296" s="873"/>
      <c r="J296" s="873"/>
      <c r="K296" s="873"/>
      <c r="L296" s="873"/>
    </row>
    <row r="297" spans="1:12">
      <c r="A297" s="873"/>
      <c r="B297" s="873"/>
      <c r="C297" s="873"/>
      <c r="D297" s="873"/>
      <c r="E297" s="873"/>
      <c r="F297" s="873"/>
      <c r="G297" s="873"/>
      <c r="H297" s="873"/>
      <c r="I297" s="873"/>
      <c r="J297" s="873"/>
      <c r="K297" s="873"/>
      <c r="L297" s="873"/>
    </row>
    <row r="298" spans="1:12">
      <c r="A298" s="873"/>
      <c r="B298" s="873"/>
      <c r="C298" s="873"/>
      <c r="D298" s="873"/>
      <c r="E298" s="873"/>
      <c r="F298" s="873"/>
      <c r="G298" s="873"/>
      <c r="H298" s="873"/>
      <c r="I298" s="873"/>
      <c r="J298" s="873"/>
      <c r="K298" s="873"/>
      <c r="L298" s="873"/>
    </row>
    <row r="299" spans="1:12">
      <c r="A299" s="873"/>
      <c r="B299" s="873"/>
      <c r="C299" s="873"/>
      <c r="D299" s="873"/>
      <c r="E299" s="873"/>
      <c r="F299" s="873"/>
      <c r="G299" s="873"/>
      <c r="H299" s="873"/>
      <c r="I299" s="873"/>
      <c r="J299" s="873"/>
      <c r="K299" s="873"/>
      <c r="L299" s="873"/>
    </row>
    <row r="300" spans="1:12">
      <c r="A300" s="873"/>
      <c r="B300" s="873"/>
      <c r="C300" s="873"/>
      <c r="D300" s="873"/>
      <c r="E300" s="873"/>
      <c r="F300" s="873"/>
      <c r="G300" s="873"/>
      <c r="H300" s="873"/>
      <c r="I300" s="873"/>
      <c r="J300" s="873"/>
      <c r="K300" s="873"/>
      <c r="L300" s="873"/>
    </row>
    <row r="301" spans="1:12">
      <c r="A301" s="873"/>
      <c r="B301" s="873"/>
      <c r="C301" s="873"/>
      <c r="D301" s="873"/>
      <c r="E301" s="873"/>
      <c r="F301" s="873"/>
      <c r="G301" s="873"/>
      <c r="H301" s="873"/>
      <c r="I301" s="873"/>
      <c r="J301" s="873"/>
      <c r="K301" s="873"/>
      <c r="L301" s="873"/>
    </row>
    <row r="302" spans="1:12">
      <c r="A302" s="873"/>
      <c r="B302" s="873"/>
      <c r="C302" s="873"/>
      <c r="D302" s="873"/>
      <c r="E302" s="873"/>
      <c r="F302" s="873"/>
      <c r="G302" s="873"/>
      <c r="H302" s="873"/>
      <c r="I302" s="873"/>
      <c r="J302" s="873"/>
      <c r="K302" s="873"/>
      <c r="L302" s="873"/>
    </row>
    <row r="303" spans="1:12">
      <c r="A303" s="873"/>
      <c r="B303" s="873"/>
      <c r="C303" s="873"/>
      <c r="D303" s="873"/>
      <c r="E303" s="873"/>
      <c r="F303" s="873"/>
      <c r="G303" s="873"/>
      <c r="H303" s="873"/>
      <c r="I303" s="873"/>
      <c r="J303" s="873"/>
      <c r="K303" s="873"/>
      <c r="L303" s="873"/>
    </row>
    <row r="304" spans="1:12">
      <c r="A304" s="873"/>
      <c r="B304" s="873"/>
      <c r="C304" s="873"/>
      <c r="D304" s="873"/>
      <c r="E304" s="873"/>
      <c r="F304" s="873"/>
      <c r="G304" s="873"/>
      <c r="H304" s="873"/>
      <c r="I304" s="873"/>
      <c r="J304" s="873"/>
      <c r="K304" s="873"/>
      <c r="L304" s="873"/>
    </row>
    <row r="305" spans="1:12">
      <c r="A305" s="873"/>
      <c r="B305" s="873"/>
      <c r="C305" s="873"/>
      <c r="D305" s="873"/>
      <c r="E305" s="873"/>
      <c r="F305" s="873"/>
      <c r="G305" s="873"/>
      <c r="H305" s="873"/>
      <c r="I305" s="873"/>
      <c r="J305" s="873"/>
      <c r="K305" s="873"/>
      <c r="L305" s="873"/>
    </row>
    <row r="306" spans="1:12">
      <c r="A306" s="873"/>
      <c r="B306" s="873"/>
      <c r="C306" s="873"/>
      <c r="D306" s="873"/>
      <c r="E306" s="873"/>
      <c r="F306" s="873"/>
      <c r="G306" s="873"/>
      <c r="H306" s="873"/>
      <c r="I306" s="873"/>
      <c r="J306" s="873"/>
      <c r="K306" s="873"/>
      <c r="L306" s="873"/>
    </row>
    <row r="307" spans="1:12">
      <c r="A307" s="873"/>
      <c r="B307" s="873"/>
      <c r="C307" s="873"/>
      <c r="D307" s="873"/>
      <c r="E307" s="873"/>
      <c r="F307" s="873"/>
      <c r="G307" s="873"/>
      <c r="H307" s="873"/>
      <c r="I307" s="873"/>
      <c r="J307" s="873"/>
      <c r="K307" s="873"/>
      <c r="L307" s="873"/>
    </row>
    <row r="308" spans="1:12">
      <c r="A308" s="873"/>
      <c r="B308" s="873"/>
      <c r="C308" s="873"/>
      <c r="D308" s="873"/>
      <c r="E308" s="873"/>
      <c r="F308" s="873"/>
      <c r="G308" s="873"/>
      <c r="H308" s="873"/>
      <c r="I308" s="873"/>
      <c r="J308" s="873"/>
      <c r="K308" s="873"/>
      <c r="L308" s="873"/>
    </row>
    <row r="309" spans="1:12">
      <c r="A309" s="873"/>
      <c r="B309" s="873"/>
      <c r="C309" s="873"/>
      <c r="D309" s="873"/>
      <c r="E309" s="873"/>
      <c r="F309" s="873"/>
      <c r="G309" s="873"/>
      <c r="H309" s="873"/>
      <c r="I309" s="873"/>
      <c r="J309" s="873"/>
      <c r="K309" s="873"/>
      <c r="L309" s="873"/>
    </row>
    <row r="310" spans="1:12">
      <c r="A310" s="873"/>
      <c r="B310" s="873"/>
      <c r="C310" s="873"/>
      <c r="D310" s="873"/>
      <c r="E310" s="873"/>
      <c r="F310" s="873"/>
      <c r="G310" s="873"/>
      <c r="H310" s="873"/>
      <c r="I310" s="873"/>
      <c r="J310" s="873"/>
      <c r="K310" s="873"/>
      <c r="L310" s="873"/>
    </row>
    <row r="311" spans="1:12">
      <c r="A311" s="873"/>
      <c r="B311" s="873"/>
      <c r="C311" s="873"/>
      <c r="D311" s="873"/>
      <c r="E311" s="873"/>
      <c r="F311" s="873"/>
      <c r="G311" s="873"/>
      <c r="H311" s="873"/>
      <c r="I311" s="873"/>
      <c r="J311" s="873"/>
      <c r="K311" s="873"/>
      <c r="L311" s="873"/>
    </row>
    <row r="312" spans="1:12">
      <c r="A312" s="873"/>
      <c r="B312" s="873"/>
      <c r="C312" s="873"/>
      <c r="D312" s="873"/>
      <c r="E312" s="873"/>
      <c r="F312" s="873"/>
      <c r="G312" s="873"/>
      <c r="H312" s="873"/>
      <c r="I312" s="873"/>
      <c r="J312" s="873"/>
      <c r="K312" s="873"/>
      <c r="L312" s="873"/>
    </row>
    <row r="313" spans="1:12">
      <c r="A313" s="873"/>
      <c r="B313" s="873"/>
      <c r="C313" s="873"/>
      <c r="D313" s="873"/>
      <c r="E313" s="873"/>
      <c r="F313" s="873"/>
      <c r="G313" s="873"/>
      <c r="H313" s="873"/>
      <c r="I313" s="873"/>
      <c r="J313" s="873"/>
      <c r="K313" s="873"/>
      <c r="L313" s="873"/>
    </row>
    <row r="314" spans="1:12">
      <c r="A314" s="873"/>
      <c r="B314" s="873"/>
      <c r="C314" s="873"/>
      <c r="D314" s="873"/>
      <c r="E314" s="873"/>
      <c r="F314" s="873"/>
      <c r="G314" s="873"/>
      <c r="H314" s="873"/>
      <c r="I314" s="873"/>
      <c r="J314" s="873"/>
      <c r="K314" s="873"/>
      <c r="L314" s="873"/>
    </row>
    <row r="315" spans="1:12">
      <c r="A315" s="873"/>
      <c r="B315" s="873"/>
      <c r="C315" s="873"/>
      <c r="D315" s="873"/>
      <c r="E315" s="873"/>
      <c r="F315" s="873"/>
      <c r="G315" s="873"/>
      <c r="H315" s="873"/>
      <c r="I315" s="873"/>
      <c r="J315" s="873"/>
      <c r="K315" s="873"/>
      <c r="L315" s="873"/>
    </row>
    <row r="316" spans="1:12">
      <c r="A316" s="873"/>
      <c r="B316" s="873"/>
      <c r="C316" s="873"/>
      <c r="D316" s="873"/>
      <c r="E316" s="873"/>
      <c r="F316" s="873"/>
      <c r="G316" s="873"/>
      <c r="H316" s="873"/>
      <c r="I316" s="873"/>
      <c r="J316" s="873"/>
      <c r="K316" s="873"/>
      <c r="L316" s="873"/>
    </row>
    <row r="317" spans="1:12">
      <c r="A317" s="873"/>
      <c r="B317" s="873"/>
      <c r="C317" s="873"/>
      <c r="D317" s="873"/>
      <c r="E317" s="873"/>
      <c r="F317" s="873"/>
      <c r="G317" s="873"/>
      <c r="H317" s="873"/>
      <c r="I317" s="873"/>
      <c r="J317" s="873"/>
      <c r="K317" s="873"/>
      <c r="L317" s="873"/>
    </row>
    <row r="318" spans="1:12">
      <c r="A318" s="873"/>
      <c r="B318" s="873"/>
      <c r="C318" s="873"/>
      <c r="D318" s="873"/>
      <c r="E318" s="873"/>
      <c r="F318" s="873"/>
      <c r="G318" s="873"/>
      <c r="H318" s="873"/>
      <c r="I318" s="873"/>
      <c r="J318" s="873"/>
      <c r="K318" s="873"/>
      <c r="L318" s="873"/>
    </row>
    <row r="319" spans="1:12">
      <c r="A319" s="873"/>
      <c r="B319" s="873"/>
      <c r="C319" s="873"/>
      <c r="D319" s="873"/>
      <c r="E319" s="873"/>
      <c r="F319" s="873"/>
      <c r="G319" s="873"/>
      <c r="H319" s="873"/>
      <c r="I319" s="873"/>
      <c r="J319" s="873"/>
      <c r="K319" s="873"/>
      <c r="L319" s="873"/>
    </row>
    <row r="320" spans="1:12">
      <c r="A320" s="873"/>
      <c r="B320" s="873"/>
      <c r="C320" s="873"/>
      <c r="D320" s="873"/>
      <c r="E320" s="873"/>
      <c r="F320" s="873"/>
      <c r="G320" s="873"/>
      <c r="H320" s="873"/>
      <c r="I320" s="873"/>
      <c r="J320" s="873"/>
      <c r="K320" s="873"/>
      <c r="L320" s="873"/>
    </row>
    <row r="321" spans="1:12">
      <c r="A321" s="873"/>
      <c r="B321" s="873"/>
      <c r="C321" s="873"/>
      <c r="D321" s="873"/>
      <c r="E321" s="873"/>
      <c r="F321" s="873"/>
      <c r="G321" s="873"/>
      <c r="H321" s="873"/>
      <c r="I321" s="873"/>
      <c r="J321" s="873"/>
      <c r="K321" s="873"/>
      <c r="L321" s="873"/>
    </row>
    <row r="322" spans="1:12">
      <c r="A322" s="873"/>
      <c r="B322" s="873"/>
      <c r="C322" s="873"/>
      <c r="D322" s="873"/>
      <c r="E322" s="873"/>
      <c r="F322" s="873"/>
      <c r="G322" s="873"/>
      <c r="H322" s="873"/>
      <c r="I322" s="873"/>
      <c r="J322" s="873"/>
      <c r="K322" s="873"/>
      <c r="L322" s="873"/>
    </row>
    <row r="323" spans="1:12">
      <c r="A323" s="873"/>
      <c r="B323" s="873"/>
      <c r="C323" s="873"/>
      <c r="D323" s="873"/>
      <c r="E323" s="873"/>
      <c r="F323" s="873"/>
      <c r="G323" s="873"/>
      <c r="H323" s="873"/>
      <c r="I323" s="873"/>
      <c r="J323" s="873"/>
      <c r="K323" s="873"/>
      <c r="L323" s="873"/>
    </row>
    <row r="324" spans="1:12">
      <c r="A324" s="873"/>
      <c r="B324" s="873"/>
      <c r="C324" s="873"/>
      <c r="D324" s="873"/>
      <c r="E324" s="873"/>
      <c r="F324" s="873"/>
      <c r="G324" s="873"/>
      <c r="H324" s="873"/>
      <c r="I324" s="873"/>
      <c r="J324" s="873"/>
      <c r="K324" s="873"/>
      <c r="L324" s="873"/>
    </row>
    <row r="325" spans="1:12">
      <c r="A325" s="873"/>
      <c r="B325" s="873"/>
      <c r="C325" s="873"/>
      <c r="D325" s="873"/>
      <c r="E325" s="873"/>
      <c r="F325" s="873"/>
      <c r="G325" s="873"/>
      <c r="H325" s="873"/>
      <c r="I325" s="873"/>
      <c r="J325" s="873"/>
      <c r="K325" s="873"/>
      <c r="L325" s="873"/>
    </row>
    <row r="326" spans="1:12">
      <c r="A326" s="873"/>
      <c r="B326" s="873"/>
      <c r="C326" s="873"/>
      <c r="D326" s="873"/>
      <c r="E326" s="873"/>
      <c r="F326" s="873"/>
      <c r="G326" s="873"/>
      <c r="H326" s="873"/>
      <c r="I326" s="873"/>
      <c r="J326" s="873"/>
      <c r="K326" s="873"/>
      <c r="L326" s="873"/>
    </row>
    <row r="327" spans="1:12">
      <c r="A327" s="873"/>
      <c r="B327" s="873"/>
      <c r="C327" s="873"/>
      <c r="D327" s="873"/>
      <c r="E327" s="873"/>
      <c r="F327" s="873"/>
      <c r="G327" s="873"/>
      <c r="H327" s="873"/>
      <c r="I327" s="873"/>
      <c r="J327" s="873"/>
      <c r="K327" s="873"/>
      <c r="L327" s="873"/>
    </row>
    <row r="328" spans="1:12">
      <c r="A328" s="873"/>
      <c r="B328" s="873"/>
      <c r="C328" s="873"/>
      <c r="D328" s="873"/>
      <c r="E328" s="873"/>
      <c r="F328" s="873"/>
      <c r="G328" s="873"/>
      <c r="H328" s="873"/>
      <c r="I328" s="873"/>
      <c r="J328" s="873"/>
      <c r="K328" s="873"/>
      <c r="L328" s="873"/>
    </row>
    <row r="329" spans="1:12">
      <c r="A329" s="873"/>
      <c r="B329" s="873"/>
      <c r="C329" s="873"/>
      <c r="D329" s="873"/>
      <c r="E329" s="873"/>
      <c r="F329" s="873"/>
      <c r="G329" s="873"/>
      <c r="H329" s="873"/>
      <c r="I329" s="873"/>
      <c r="J329" s="873"/>
      <c r="K329" s="873"/>
      <c r="L329" s="873"/>
    </row>
    <row r="330" spans="1:12">
      <c r="A330" s="873"/>
      <c r="B330" s="873"/>
      <c r="C330" s="873"/>
      <c r="D330" s="873"/>
      <c r="E330" s="873"/>
      <c r="F330" s="873"/>
      <c r="G330" s="873"/>
      <c r="H330" s="873"/>
      <c r="I330" s="873"/>
      <c r="J330" s="873"/>
      <c r="K330" s="873"/>
      <c r="L330" s="873"/>
    </row>
    <row r="331" spans="1:12">
      <c r="A331" s="873"/>
      <c r="B331" s="873"/>
      <c r="C331" s="873"/>
      <c r="D331" s="873"/>
      <c r="E331" s="873"/>
      <c r="F331" s="873"/>
      <c r="G331" s="873"/>
      <c r="H331" s="873"/>
      <c r="I331" s="873"/>
      <c r="J331" s="873"/>
      <c r="K331" s="873"/>
      <c r="L331" s="873"/>
    </row>
    <row r="332" spans="1:12">
      <c r="A332" s="873"/>
      <c r="B332" s="873"/>
      <c r="C332" s="873"/>
      <c r="D332" s="873"/>
      <c r="E332" s="873"/>
      <c r="F332" s="873"/>
      <c r="G332" s="873"/>
      <c r="H332" s="873"/>
      <c r="I332" s="873"/>
      <c r="J332" s="873"/>
      <c r="K332" s="873"/>
      <c r="L332" s="873"/>
    </row>
    <row r="333" spans="1:12">
      <c r="A333" s="873"/>
      <c r="B333" s="873"/>
      <c r="C333" s="873"/>
      <c r="D333" s="873"/>
      <c r="E333" s="873"/>
      <c r="F333" s="873"/>
      <c r="G333" s="873"/>
      <c r="H333" s="873"/>
      <c r="I333" s="873"/>
      <c r="J333" s="873"/>
      <c r="K333" s="873"/>
      <c r="L333" s="873"/>
    </row>
    <row r="334" spans="1:12">
      <c r="A334" s="873"/>
      <c r="B334" s="873"/>
      <c r="C334" s="873"/>
      <c r="D334" s="873"/>
      <c r="E334" s="873"/>
      <c r="F334" s="873"/>
      <c r="G334" s="873"/>
      <c r="H334" s="873"/>
      <c r="I334" s="873"/>
      <c r="J334" s="873"/>
      <c r="K334" s="873"/>
      <c r="L334" s="873"/>
    </row>
    <row r="335" spans="1:12">
      <c r="A335" s="873"/>
      <c r="B335" s="873"/>
      <c r="C335" s="873"/>
      <c r="D335" s="873"/>
      <c r="E335" s="873"/>
      <c r="F335" s="873"/>
      <c r="G335" s="873"/>
      <c r="H335" s="873"/>
      <c r="I335" s="873"/>
      <c r="J335" s="873"/>
      <c r="K335" s="873"/>
      <c r="L335" s="873"/>
    </row>
    <row r="336" spans="1:12">
      <c r="A336" s="873"/>
      <c r="B336" s="873"/>
      <c r="C336" s="873"/>
      <c r="D336" s="873"/>
      <c r="E336" s="873"/>
      <c r="F336" s="873"/>
      <c r="G336" s="873"/>
      <c r="H336" s="873"/>
      <c r="I336" s="873"/>
      <c r="J336" s="873"/>
      <c r="K336" s="873"/>
      <c r="L336" s="873"/>
    </row>
    <row r="337" spans="1:12">
      <c r="A337" s="873"/>
      <c r="B337" s="873"/>
      <c r="C337" s="873"/>
      <c r="D337" s="873"/>
      <c r="E337" s="873"/>
      <c r="F337" s="873"/>
      <c r="G337" s="873"/>
      <c r="H337" s="873"/>
      <c r="I337" s="873"/>
      <c r="J337" s="873"/>
      <c r="K337" s="873"/>
      <c r="L337" s="873"/>
    </row>
    <row r="338" spans="1:12">
      <c r="A338" s="873"/>
      <c r="B338" s="873"/>
      <c r="C338" s="873"/>
      <c r="D338" s="873"/>
      <c r="E338" s="873"/>
      <c r="F338" s="873"/>
      <c r="G338" s="873"/>
      <c r="H338" s="873"/>
      <c r="I338" s="873"/>
      <c r="J338" s="873"/>
      <c r="K338" s="873"/>
      <c r="L338" s="873"/>
    </row>
    <row r="339" spans="1:12">
      <c r="A339" s="873"/>
      <c r="B339" s="873"/>
      <c r="C339" s="873"/>
      <c r="D339" s="873"/>
      <c r="E339" s="873"/>
      <c r="F339" s="873"/>
      <c r="G339" s="873"/>
      <c r="H339" s="873"/>
      <c r="I339" s="873"/>
      <c r="J339" s="873"/>
      <c r="K339" s="873"/>
      <c r="L339" s="873"/>
    </row>
    <row r="340" spans="1:12">
      <c r="A340" s="873"/>
      <c r="B340" s="873"/>
      <c r="C340" s="873"/>
      <c r="D340" s="873"/>
      <c r="E340" s="873"/>
      <c r="F340" s="873"/>
      <c r="G340" s="873"/>
      <c r="H340" s="873"/>
      <c r="I340" s="873"/>
      <c r="J340" s="873"/>
      <c r="K340" s="873"/>
      <c r="L340" s="873"/>
    </row>
    <row r="341" spans="1:12">
      <c r="A341" s="873"/>
      <c r="B341" s="873"/>
      <c r="C341" s="873"/>
      <c r="D341" s="873"/>
      <c r="E341" s="873"/>
      <c r="F341" s="873"/>
      <c r="G341" s="873"/>
      <c r="H341" s="873"/>
      <c r="I341" s="873"/>
      <c r="J341" s="873"/>
      <c r="K341" s="873"/>
      <c r="L341" s="873"/>
    </row>
    <row r="342" spans="1:12">
      <c r="A342" s="873"/>
      <c r="B342" s="873"/>
      <c r="C342" s="873"/>
      <c r="D342" s="873"/>
      <c r="E342" s="873"/>
      <c r="F342" s="873"/>
      <c r="G342" s="873"/>
      <c r="H342" s="873"/>
      <c r="I342" s="873"/>
      <c r="J342" s="873"/>
      <c r="K342" s="873"/>
      <c r="L342" s="873"/>
    </row>
    <row r="343" spans="1:12">
      <c r="A343" s="873"/>
      <c r="B343" s="873"/>
      <c r="C343" s="873"/>
      <c r="D343" s="873"/>
      <c r="E343" s="873"/>
      <c r="F343" s="873"/>
      <c r="G343" s="873"/>
      <c r="H343" s="873"/>
      <c r="I343" s="873"/>
      <c r="J343" s="873"/>
      <c r="K343" s="873"/>
      <c r="L343" s="873"/>
    </row>
    <row r="344" spans="1:12">
      <c r="A344" s="873"/>
      <c r="B344" s="873"/>
      <c r="C344" s="873"/>
      <c r="D344" s="873"/>
      <c r="E344" s="873"/>
      <c r="F344" s="873"/>
      <c r="G344" s="873"/>
      <c r="H344" s="873"/>
      <c r="I344" s="873"/>
      <c r="J344" s="873"/>
      <c r="K344" s="873"/>
      <c r="L344" s="873"/>
    </row>
    <row r="345" spans="1:12">
      <c r="A345" s="873"/>
      <c r="B345" s="873"/>
      <c r="C345" s="873"/>
      <c r="D345" s="873"/>
      <c r="E345" s="873"/>
      <c r="F345" s="873"/>
      <c r="G345" s="873"/>
      <c r="H345" s="873"/>
      <c r="I345" s="873"/>
      <c r="J345" s="873"/>
      <c r="K345" s="873"/>
      <c r="L345" s="873"/>
    </row>
    <row r="346" spans="1:12">
      <c r="A346" s="873"/>
      <c r="B346" s="873"/>
      <c r="C346" s="873"/>
      <c r="D346" s="873"/>
      <c r="E346" s="873"/>
      <c r="F346" s="873"/>
      <c r="G346" s="873"/>
      <c r="H346" s="873"/>
      <c r="I346" s="873"/>
      <c r="J346" s="873"/>
      <c r="K346" s="873"/>
      <c r="L346" s="873"/>
    </row>
    <row r="347" spans="1:12">
      <c r="A347" s="873"/>
      <c r="B347" s="873"/>
      <c r="C347" s="873"/>
      <c r="D347" s="873"/>
      <c r="E347" s="873"/>
      <c r="F347" s="873"/>
      <c r="G347" s="873"/>
      <c r="H347" s="873"/>
      <c r="I347" s="873"/>
      <c r="J347" s="873"/>
      <c r="K347" s="873"/>
      <c r="L347" s="873"/>
    </row>
    <row r="348" spans="1:12">
      <c r="A348" s="873"/>
      <c r="B348" s="873"/>
      <c r="C348" s="873"/>
      <c r="D348" s="873"/>
      <c r="E348" s="873"/>
      <c r="F348" s="873"/>
      <c r="G348" s="873"/>
      <c r="H348" s="873"/>
      <c r="I348" s="873"/>
      <c r="J348" s="873"/>
      <c r="K348" s="873"/>
      <c r="L348" s="873"/>
    </row>
    <row r="349" spans="1:12">
      <c r="A349" s="873"/>
      <c r="B349" s="873"/>
      <c r="C349" s="873"/>
      <c r="D349" s="873"/>
      <c r="E349" s="873"/>
      <c r="F349" s="873"/>
      <c r="G349" s="873"/>
      <c r="H349" s="873"/>
      <c r="I349" s="873"/>
      <c r="J349" s="873"/>
      <c r="K349" s="873"/>
      <c r="L349" s="873"/>
    </row>
    <row r="350" spans="1:12">
      <c r="A350" s="873"/>
      <c r="B350" s="873"/>
      <c r="C350" s="873"/>
      <c r="D350" s="873"/>
      <c r="E350" s="873"/>
      <c r="F350" s="873"/>
      <c r="G350" s="873"/>
      <c r="H350" s="873"/>
      <c r="I350" s="873"/>
      <c r="J350" s="873"/>
      <c r="K350" s="873"/>
      <c r="L350" s="873"/>
    </row>
    <row r="351" spans="1:12">
      <c r="A351" s="873"/>
      <c r="B351" s="873"/>
      <c r="C351" s="873"/>
      <c r="D351" s="873"/>
      <c r="E351" s="873"/>
      <c r="F351" s="873"/>
      <c r="G351" s="873"/>
      <c r="H351" s="873"/>
      <c r="I351" s="873"/>
      <c r="J351" s="873"/>
      <c r="K351" s="873"/>
      <c r="L351" s="873"/>
    </row>
    <row r="352" spans="1:12">
      <c r="A352" s="873"/>
      <c r="B352" s="873"/>
      <c r="C352" s="873"/>
      <c r="D352" s="873"/>
      <c r="E352" s="873"/>
      <c r="F352" s="873"/>
      <c r="G352" s="873"/>
      <c r="H352" s="873"/>
      <c r="I352" s="873"/>
      <c r="J352" s="873"/>
      <c r="K352" s="873"/>
      <c r="L352" s="873"/>
    </row>
    <row r="353" spans="1:12">
      <c r="A353" s="873"/>
      <c r="B353" s="873"/>
      <c r="C353" s="873"/>
      <c r="D353" s="873"/>
      <c r="E353" s="873"/>
      <c r="F353" s="873"/>
      <c r="G353" s="873"/>
      <c r="H353" s="873"/>
      <c r="I353" s="873"/>
      <c r="J353" s="873"/>
      <c r="K353" s="873"/>
      <c r="L353" s="873"/>
    </row>
    <row r="354" spans="1:12">
      <c r="A354" s="873"/>
      <c r="B354" s="873"/>
      <c r="C354" s="873"/>
      <c r="D354" s="873"/>
      <c r="E354" s="873"/>
      <c r="F354" s="873"/>
      <c r="G354" s="873"/>
      <c r="H354" s="873"/>
      <c r="I354" s="873"/>
      <c r="J354" s="873"/>
      <c r="K354" s="873"/>
      <c r="L354" s="873"/>
    </row>
    <row r="355" spans="1:12">
      <c r="A355" s="873"/>
      <c r="B355" s="873"/>
      <c r="C355" s="873"/>
      <c r="D355" s="873"/>
      <c r="E355" s="873"/>
      <c r="F355" s="873"/>
      <c r="G355" s="873"/>
      <c r="H355" s="873"/>
      <c r="I355" s="873"/>
      <c r="J355" s="873"/>
      <c r="K355" s="873"/>
      <c r="L355" s="873"/>
    </row>
  </sheetData>
  <mergeCells count="1">
    <mergeCell ref="A1:K1"/>
  </mergeCells>
  <pageMargins left="0.7" right="0.7" top="0.75" bottom="0.75" header="0.3" footer="0.3"/>
  <pageSetup paperSize="9" scale="8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2"/>
  <sheetViews>
    <sheetView showGridLines="0" workbookViewId="0">
      <selection sqref="A1:H1"/>
    </sheetView>
  </sheetViews>
  <sheetFormatPr defaultRowHeight="15"/>
  <cols>
    <col min="1" max="1" width="48.28515625" style="874" customWidth="1"/>
    <col min="2" max="16384" width="9.140625" style="874"/>
  </cols>
  <sheetData>
    <row r="1" spans="1:9">
      <c r="A1" s="1565" t="s">
        <v>809</v>
      </c>
      <c r="B1" s="1565"/>
      <c r="C1" s="1565"/>
      <c r="D1" s="1565"/>
      <c r="E1" s="1565"/>
      <c r="F1" s="1565"/>
      <c r="G1" s="1565"/>
      <c r="H1" s="1565"/>
      <c r="I1" s="873"/>
    </row>
    <row r="2" spans="1:9">
      <c r="A2" s="875"/>
      <c r="B2" s="898">
        <v>2013</v>
      </c>
      <c r="C2" s="898">
        <v>2014</v>
      </c>
      <c r="D2" s="898">
        <v>2015</v>
      </c>
      <c r="E2" s="898">
        <v>2016</v>
      </c>
      <c r="F2" s="898">
        <v>2017</v>
      </c>
      <c r="G2" s="898">
        <v>2018</v>
      </c>
      <c r="H2" s="898">
        <v>2019</v>
      </c>
      <c r="I2" s="899">
        <v>2020</v>
      </c>
    </row>
    <row r="3" spans="1:9">
      <c r="A3" s="900" t="s">
        <v>810</v>
      </c>
      <c r="B3" s="901">
        <v>2.5742977531301463</v>
      </c>
      <c r="C3" s="901">
        <v>-1.2154942852640716</v>
      </c>
      <c r="D3" s="901">
        <v>-1.1829011511163472</v>
      </c>
      <c r="E3" s="901">
        <v>-0.52175873523728455</v>
      </c>
      <c r="F3" s="901">
        <v>-0.69130416066561651</v>
      </c>
      <c r="G3" s="902">
        <v>-0.46088287265214944</v>
      </c>
      <c r="H3" s="902">
        <v>-1.3669957929565086</v>
      </c>
      <c r="I3" s="902">
        <v>-1.772313728495071</v>
      </c>
    </row>
    <row r="4" spans="1:9">
      <c r="A4" s="877" t="s">
        <v>811</v>
      </c>
      <c r="B4" s="903">
        <v>0.1473418393303989</v>
      </c>
      <c r="C4" s="903">
        <v>-2.9291541849385903</v>
      </c>
      <c r="D4" s="903">
        <v>0.46195111307756154</v>
      </c>
      <c r="E4" s="903">
        <v>0.66803394487034673</v>
      </c>
      <c r="F4" s="903">
        <v>-0.56632452373607922</v>
      </c>
      <c r="G4" s="904">
        <v>6.0704785092567271E-2</v>
      </c>
      <c r="H4" s="904">
        <v>6.5004504301411359E-2</v>
      </c>
      <c r="I4" s="904">
        <v>-0.11600392446970709</v>
      </c>
    </row>
    <row r="5" spans="1:9">
      <c r="A5" s="900" t="s">
        <v>812</v>
      </c>
      <c r="B5" s="901">
        <f>B3-B4</f>
        <v>2.4269559137997474</v>
      </c>
      <c r="C5" s="901">
        <f t="shared" ref="C5:I5" si="0">C3-C4</f>
        <v>1.7136598996745187</v>
      </c>
      <c r="D5" s="901">
        <f t="shared" si="0"/>
        <v>-1.6448522641939087</v>
      </c>
      <c r="E5" s="901">
        <f t="shared" si="0"/>
        <v>-1.1897926801076313</v>
      </c>
      <c r="F5" s="901">
        <f t="shared" si="0"/>
        <v>-0.12497963692953729</v>
      </c>
      <c r="G5" s="901">
        <f t="shared" si="0"/>
        <v>-0.52158765774471672</v>
      </c>
      <c r="H5" s="901">
        <f t="shared" si="0"/>
        <v>-1.43200029725792</v>
      </c>
      <c r="I5" s="901">
        <f t="shared" si="0"/>
        <v>-1.6563098040253639</v>
      </c>
    </row>
    <row r="6" spans="1:9">
      <c r="A6" s="877" t="s">
        <v>813</v>
      </c>
      <c r="B6" s="903">
        <v>-0.86871214581413758</v>
      </c>
      <c r="C6" s="903">
        <v>-0.28748512923228148</v>
      </c>
      <c r="D6" s="903">
        <v>-2.3145397876075466</v>
      </c>
      <c r="E6" s="903">
        <v>-1.4358073159480584</v>
      </c>
      <c r="F6" s="903">
        <v>-7.1827657268018708E-2</v>
      </c>
      <c r="G6" s="904">
        <v>-0.16051376659680605</v>
      </c>
      <c r="H6" s="904">
        <v>-0.15498763709318075</v>
      </c>
      <c r="I6" s="904">
        <v>-0.14617010039234535</v>
      </c>
    </row>
    <row r="7" spans="1:9">
      <c r="A7" s="905" t="s">
        <v>814</v>
      </c>
      <c r="B7" s="906">
        <f>B5-B6</f>
        <v>3.295668059613885</v>
      </c>
      <c r="C7" s="906">
        <f t="shared" ref="C7:I7" si="1">C5-C6</f>
        <v>2.0011450289068002</v>
      </c>
      <c r="D7" s="906">
        <f t="shared" si="1"/>
        <v>0.66968752341363791</v>
      </c>
      <c r="E7" s="906">
        <f t="shared" si="1"/>
        <v>0.24601463584042715</v>
      </c>
      <c r="F7" s="906">
        <f t="shared" si="1"/>
        <v>-5.3151979661518578E-2</v>
      </c>
      <c r="G7" s="906">
        <f t="shared" si="1"/>
        <v>-0.36107389114791066</v>
      </c>
      <c r="H7" s="906">
        <f t="shared" si="1"/>
        <v>-1.2770126601647394</v>
      </c>
      <c r="I7" s="906">
        <f t="shared" si="1"/>
        <v>-1.5101397036330186</v>
      </c>
    </row>
    <row r="8" spans="1:9">
      <c r="A8" s="907" t="s">
        <v>815</v>
      </c>
      <c r="B8" s="903">
        <v>0.5403741949227383</v>
      </c>
      <c r="C8" s="903">
        <v>0.13432381217188574</v>
      </c>
      <c r="D8" s="903">
        <v>-0.14702825477461584</v>
      </c>
      <c r="E8" s="903">
        <v>0</v>
      </c>
      <c r="F8" s="903">
        <v>0</v>
      </c>
      <c r="G8" s="904">
        <v>0</v>
      </c>
      <c r="H8" s="904">
        <v>0</v>
      </c>
      <c r="I8" s="904">
        <v>0</v>
      </c>
    </row>
    <row r="9" spans="1:9">
      <c r="A9" s="908" t="s">
        <v>816</v>
      </c>
      <c r="B9" s="909">
        <f>B7-B8</f>
        <v>2.7552938646911467</v>
      </c>
      <c r="C9" s="909">
        <f t="shared" ref="C9:I9" si="2">C7-C8</f>
        <v>1.8668212167349145</v>
      </c>
      <c r="D9" s="909">
        <f t="shared" si="2"/>
        <v>0.81671577818825369</v>
      </c>
      <c r="E9" s="909">
        <f t="shared" si="2"/>
        <v>0.24601463584042715</v>
      </c>
      <c r="F9" s="909">
        <f t="shared" si="2"/>
        <v>-5.3151979661518578E-2</v>
      </c>
      <c r="G9" s="909">
        <f t="shared" si="2"/>
        <v>-0.36107389114791066</v>
      </c>
      <c r="H9" s="909">
        <f t="shared" si="2"/>
        <v>-1.2770126601647394</v>
      </c>
      <c r="I9" s="909">
        <f t="shared" si="2"/>
        <v>-1.5101397036330186</v>
      </c>
    </row>
    <row r="10" spans="1:9">
      <c r="A10" s="873"/>
      <c r="B10" s="895"/>
      <c r="C10" s="895"/>
      <c r="D10" s="895"/>
      <c r="E10" s="1566" t="s">
        <v>808</v>
      </c>
      <c r="F10" s="1566"/>
      <c r="G10" s="1566"/>
      <c r="H10" s="1566"/>
      <c r="I10" s="1566"/>
    </row>
    <row r="11" spans="1:9">
      <c r="A11" s="873"/>
      <c r="B11" s="895"/>
      <c r="C11" s="895"/>
      <c r="D11" s="895"/>
      <c r="E11" s="895"/>
      <c r="F11" s="895"/>
      <c r="G11" s="895"/>
      <c r="H11" s="873"/>
      <c r="I11" s="873"/>
    </row>
    <row r="12" spans="1:9">
      <c r="A12" s="873"/>
      <c r="B12" s="895"/>
      <c r="C12" s="895"/>
      <c r="D12" s="895"/>
      <c r="E12" s="895"/>
      <c r="F12" s="895"/>
      <c r="G12" s="895"/>
      <c r="H12" s="873"/>
      <c r="I12" s="873"/>
    </row>
    <row r="13" spans="1:9">
      <c r="A13" s="873"/>
      <c r="B13" s="895"/>
      <c r="C13" s="895"/>
      <c r="D13" s="895"/>
      <c r="E13" s="895"/>
      <c r="F13" s="895"/>
      <c r="G13" s="895"/>
      <c r="H13" s="873"/>
      <c r="I13" s="873"/>
    </row>
    <row r="14" spans="1:9">
      <c r="A14" s="910" t="s">
        <v>817</v>
      </c>
      <c r="B14" s="895"/>
      <c r="C14" s="895"/>
      <c r="D14" s="895"/>
      <c r="E14" s="895"/>
      <c r="F14" s="895"/>
      <c r="G14" s="895"/>
      <c r="H14" s="873"/>
      <c r="I14" s="873"/>
    </row>
    <row r="15" spans="1:9">
      <c r="A15" s="910" t="s">
        <v>818</v>
      </c>
      <c r="B15" s="895"/>
      <c r="C15" s="895"/>
      <c r="D15" s="895"/>
      <c r="E15" s="895"/>
      <c r="F15" s="895"/>
      <c r="G15" s="895"/>
      <c r="H15" s="873"/>
      <c r="I15" s="873"/>
    </row>
    <row r="16" spans="1:9">
      <c r="A16" s="910" t="s">
        <v>819</v>
      </c>
      <c r="B16" s="895"/>
      <c r="C16" s="895"/>
      <c r="D16" s="895"/>
      <c r="E16" s="895"/>
      <c r="F16" s="895"/>
      <c r="G16" s="895"/>
      <c r="H16" s="873"/>
      <c r="I16" s="873"/>
    </row>
    <row r="17" spans="1:9">
      <c r="A17" s="873"/>
      <c r="B17" s="895"/>
      <c r="C17" s="895"/>
      <c r="D17" s="895"/>
      <c r="E17" s="895"/>
      <c r="F17" s="895"/>
      <c r="G17" s="895"/>
      <c r="H17" s="873"/>
      <c r="I17" s="873"/>
    </row>
    <row r="18" spans="1:9">
      <c r="A18" s="873"/>
      <c r="B18" s="895"/>
      <c r="C18" s="895"/>
      <c r="D18" s="895"/>
      <c r="E18" s="895"/>
      <c r="F18" s="895"/>
      <c r="G18" s="895"/>
      <c r="H18" s="873"/>
      <c r="I18" s="873"/>
    </row>
    <row r="19" spans="1:9">
      <c r="A19" s="873"/>
      <c r="B19" s="895"/>
      <c r="C19" s="895"/>
      <c r="D19" s="895"/>
      <c r="E19" s="895"/>
      <c r="F19" s="895"/>
      <c r="G19" s="895"/>
      <c r="H19" s="873"/>
      <c r="I19" s="873"/>
    </row>
    <row r="20" spans="1:9">
      <c r="A20" s="873"/>
      <c r="B20" s="895"/>
      <c r="C20" s="895"/>
      <c r="D20" s="895"/>
      <c r="E20" s="895"/>
      <c r="F20" s="895"/>
      <c r="G20" s="895"/>
      <c r="H20" s="873"/>
      <c r="I20" s="873"/>
    </row>
    <row r="21" spans="1:9">
      <c r="A21" s="873"/>
      <c r="B21" s="895"/>
      <c r="C21" s="895"/>
      <c r="D21" s="895"/>
      <c r="E21" s="895"/>
      <c r="F21" s="895"/>
      <c r="G21" s="895"/>
      <c r="H21" s="873"/>
      <c r="I21" s="873"/>
    </row>
    <row r="22" spans="1:9">
      <c r="A22" s="873"/>
      <c r="B22" s="895"/>
      <c r="C22" s="895"/>
      <c r="D22" s="895"/>
      <c r="E22" s="895"/>
      <c r="F22" s="895"/>
      <c r="G22" s="895"/>
      <c r="H22" s="873"/>
      <c r="I22" s="873"/>
    </row>
    <row r="23" spans="1:9">
      <c r="A23" s="873"/>
      <c r="B23" s="895"/>
      <c r="C23" s="895"/>
      <c r="D23" s="895"/>
      <c r="E23" s="895"/>
      <c r="F23" s="895"/>
      <c r="G23" s="895"/>
      <c r="H23" s="873"/>
      <c r="I23" s="873"/>
    </row>
    <row r="24" spans="1:9">
      <c r="A24" s="873"/>
      <c r="B24" s="895"/>
      <c r="C24" s="895"/>
      <c r="D24" s="895"/>
      <c r="E24" s="895"/>
      <c r="F24" s="895"/>
      <c r="G24" s="895"/>
      <c r="H24" s="873"/>
      <c r="I24" s="873"/>
    </row>
    <row r="25" spans="1:9">
      <c r="A25" s="873"/>
      <c r="B25" s="873"/>
      <c r="C25" s="873"/>
      <c r="D25" s="873"/>
      <c r="E25" s="873"/>
      <c r="F25" s="873"/>
      <c r="G25" s="873"/>
      <c r="H25" s="873"/>
      <c r="I25" s="873"/>
    </row>
    <row r="26" spans="1:9">
      <c r="A26" s="873"/>
      <c r="B26" s="873"/>
      <c r="C26" s="873"/>
      <c r="D26" s="873"/>
      <c r="E26" s="873"/>
      <c r="F26" s="873"/>
      <c r="G26" s="873"/>
      <c r="H26" s="873"/>
      <c r="I26" s="873"/>
    </row>
    <row r="27" spans="1:9">
      <c r="A27" s="873"/>
      <c r="B27" s="873"/>
      <c r="C27" s="873"/>
      <c r="D27" s="873"/>
      <c r="E27" s="873"/>
      <c r="F27" s="873"/>
      <c r="G27" s="873"/>
      <c r="H27" s="873"/>
      <c r="I27" s="873"/>
    </row>
    <row r="28" spans="1:9">
      <c r="A28" s="873"/>
      <c r="B28" s="873"/>
      <c r="C28" s="873"/>
      <c r="D28" s="873"/>
      <c r="E28" s="873"/>
      <c r="F28" s="873"/>
      <c r="G28" s="873"/>
      <c r="H28" s="873"/>
      <c r="I28" s="873"/>
    </row>
    <row r="29" spans="1:9">
      <c r="A29" s="873"/>
      <c r="B29" s="873"/>
      <c r="C29" s="873"/>
      <c r="D29" s="873"/>
      <c r="E29" s="873"/>
      <c r="F29" s="873"/>
      <c r="G29" s="873"/>
      <c r="H29" s="873"/>
      <c r="I29" s="873"/>
    </row>
    <row r="30" spans="1:9">
      <c r="A30" s="873"/>
      <c r="B30" s="873"/>
      <c r="C30" s="873"/>
      <c r="D30" s="873"/>
      <c r="E30" s="873"/>
      <c r="F30" s="873"/>
      <c r="G30" s="873"/>
      <c r="H30" s="873"/>
      <c r="I30" s="873"/>
    </row>
    <row r="31" spans="1:9">
      <c r="A31" s="873"/>
      <c r="B31" s="873"/>
      <c r="C31" s="873"/>
      <c r="D31" s="873"/>
      <c r="E31" s="873"/>
      <c r="F31" s="873"/>
      <c r="G31" s="873"/>
      <c r="H31" s="873"/>
      <c r="I31" s="873"/>
    </row>
    <row r="32" spans="1:9">
      <c r="A32" s="873"/>
      <c r="B32" s="873"/>
      <c r="C32" s="873"/>
      <c r="D32" s="873"/>
      <c r="E32" s="873"/>
      <c r="F32" s="873"/>
      <c r="G32" s="873"/>
      <c r="H32" s="873"/>
      <c r="I32" s="873"/>
    </row>
    <row r="33" spans="1:9">
      <c r="A33" s="873"/>
      <c r="B33" s="873"/>
      <c r="C33" s="873"/>
      <c r="D33" s="873"/>
      <c r="E33" s="873"/>
      <c r="F33" s="873"/>
      <c r="G33" s="873"/>
      <c r="H33" s="873"/>
      <c r="I33" s="873"/>
    </row>
    <row r="34" spans="1:9">
      <c r="A34" s="873"/>
      <c r="B34" s="873"/>
      <c r="C34" s="873"/>
      <c r="D34" s="873"/>
      <c r="E34" s="873"/>
      <c r="F34" s="873"/>
      <c r="G34" s="873"/>
      <c r="H34" s="873"/>
      <c r="I34" s="873"/>
    </row>
    <row r="35" spans="1:9">
      <c r="A35" s="873"/>
      <c r="B35" s="873"/>
      <c r="C35" s="873"/>
      <c r="D35" s="873"/>
      <c r="E35" s="873"/>
      <c r="F35" s="873"/>
      <c r="G35" s="873"/>
      <c r="H35" s="873"/>
      <c r="I35" s="873"/>
    </row>
    <row r="36" spans="1:9">
      <c r="A36" s="873"/>
      <c r="B36" s="873"/>
      <c r="C36" s="873"/>
      <c r="D36" s="873"/>
      <c r="E36" s="873"/>
      <c r="F36" s="873"/>
      <c r="G36" s="873"/>
      <c r="H36" s="873"/>
      <c r="I36" s="873"/>
    </row>
    <row r="37" spans="1:9">
      <c r="A37" s="873"/>
      <c r="B37" s="873"/>
      <c r="C37" s="873"/>
      <c r="D37" s="873"/>
      <c r="E37" s="873"/>
      <c r="F37" s="873"/>
      <c r="G37" s="873"/>
      <c r="H37" s="873"/>
      <c r="I37" s="873"/>
    </row>
    <row r="38" spans="1:9">
      <c r="A38" s="873"/>
      <c r="B38" s="873"/>
      <c r="C38" s="873"/>
      <c r="D38" s="873"/>
      <c r="E38" s="873"/>
      <c r="F38" s="873"/>
      <c r="G38" s="873"/>
      <c r="H38" s="873"/>
      <c r="I38" s="873"/>
    </row>
    <row r="39" spans="1:9">
      <c r="A39" s="873"/>
      <c r="B39" s="873"/>
      <c r="C39" s="873"/>
      <c r="D39" s="873"/>
      <c r="E39" s="873"/>
      <c r="F39" s="873"/>
      <c r="G39" s="873"/>
      <c r="H39" s="873"/>
      <c r="I39" s="873"/>
    </row>
    <row r="40" spans="1:9">
      <c r="A40" s="873"/>
      <c r="B40" s="873"/>
      <c r="C40" s="873"/>
      <c r="D40" s="873"/>
      <c r="E40" s="873"/>
      <c r="F40" s="873"/>
      <c r="G40" s="873"/>
      <c r="H40" s="873"/>
      <c r="I40" s="873"/>
    </row>
    <row r="41" spans="1:9">
      <c r="A41" s="873"/>
      <c r="B41" s="873"/>
      <c r="C41" s="873"/>
      <c r="D41" s="873"/>
      <c r="E41" s="873"/>
      <c r="F41" s="873"/>
      <c r="G41" s="873"/>
      <c r="H41" s="873"/>
      <c r="I41" s="873"/>
    </row>
    <row r="42" spans="1:9">
      <c r="A42" s="873"/>
      <c r="B42" s="873"/>
      <c r="C42" s="873"/>
      <c r="D42" s="873"/>
      <c r="E42" s="873"/>
      <c r="F42" s="873"/>
      <c r="G42" s="873"/>
      <c r="H42" s="873"/>
      <c r="I42" s="873"/>
    </row>
    <row r="43" spans="1:9">
      <c r="A43" s="873"/>
      <c r="B43" s="873"/>
      <c r="C43" s="873"/>
      <c r="D43" s="873"/>
      <c r="E43" s="873"/>
      <c r="F43" s="873"/>
      <c r="G43" s="873"/>
      <c r="H43" s="873"/>
      <c r="I43" s="873"/>
    </row>
    <row r="44" spans="1:9">
      <c r="A44" s="873"/>
      <c r="B44" s="873"/>
      <c r="C44" s="873"/>
      <c r="D44" s="873"/>
      <c r="E44" s="873"/>
      <c r="F44" s="873"/>
      <c r="G44" s="873"/>
      <c r="H44" s="873"/>
      <c r="I44" s="873"/>
    </row>
    <row r="45" spans="1:9">
      <c r="A45" s="873"/>
      <c r="B45" s="873"/>
      <c r="C45" s="873"/>
      <c r="D45" s="873"/>
      <c r="E45" s="873"/>
      <c r="F45" s="873"/>
      <c r="G45" s="873"/>
      <c r="H45" s="873"/>
      <c r="I45" s="873"/>
    </row>
    <row r="46" spans="1:9">
      <c r="A46" s="873"/>
      <c r="B46" s="873"/>
      <c r="C46" s="873"/>
      <c r="D46" s="873"/>
      <c r="E46" s="873"/>
      <c r="F46" s="873"/>
      <c r="G46" s="873"/>
      <c r="H46" s="873"/>
      <c r="I46" s="873"/>
    </row>
    <row r="47" spans="1:9">
      <c r="A47" s="873"/>
      <c r="B47" s="873"/>
      <c r="C47" s="873"/>
      <c r="D47" s="873"/>
      <c r="E47" s="873"/>
      <c r="F47" s="873"/>
      <c r="G47" s="873"/>
      <c r="H47" s="873"/>
      <c r="I47" s="873"/>
    </row>
    <row r="48" spans="1:9">
      <c r="A48" s="873"/>
      <c r="B48" s="873"/>
      <c r="C48" s="873"/>
      <c r="D48" s="873"/>
      <c r="E48" s="873"/>
      <c r="F48" s="873"/>
      <c r="G48" s="873"/>
      <c r="H48" s="873"/>
      <c r="I48" s="873"/>
    </row>
    <row r="49" spans="1:9">
      <c r="A49" s="873"/>
      <c r="B49" s="873"/>
      <c r="C49" s="873"/>
      <c r="D49" s="873"/>
      <c r="E49" s="873"/>
      <c r="F49" s="873"/>
      <c r="G49" s="873"/>
      <c r="H49" s="873"/>
      <c r="I49" s="873"/>
    </row>
    <row r="50" spans="1:9">
      <c r="A50" s="873"/>
      <c r="B50" s="873"/>
      <c r="C50" s="873"/>
      <c r="D50" s="873"/>
      <c r="E50" s="873"/>
      <c r="F50" s="873"/>
      <c r="G50" s="873"/>
      <c r="H50" s="873"/>
      <c r="I50" s="873"/>
    </row>
    <row r="51" spans="1:9">
      <c r="A51" s="873"/>
      <c r="B51" s="873"/>
      <c r="C51" s="873"/>
      <c r="D51" s="873"/>
      <c r="E51" s="873"/>
      <c r="F51" s="873"/>
      <c r="G51" s="873"/>
      <c r="H51" s="873"/>
      <c r="I51" s="873"/>
    </row>
    <row r="52" spans="1:9">
      <c r="A52" s="873"/>
      <c r="B52" s="873"/>
      <c r="C52" s="873"/>
      <c r="D52" s="873"/>
      <c r="E52" s="873"/>
      <c r="F52" s="873"/>
      <c r="G52" s="873"/>
      <c r="H52" s="873"/>
      <c r="I52" s="873"/>
    </row>
    <row r="53" spans="1:9">
      <c r="A53" s="873"/>
      <c r="B53" s="873"/>
      <c r="C53" s="873"/>
      <c r="D53" s="873"/>
      <c r="E53" s="873"/>
      <c r="F53" s="873"/>
      <c r="G53" s="873"/>
      <c r="H53" s="873"/>
      <c r="I53" s="873"/>
    </row>
    <row r="54" spans="1:9">
      <c r="A54" s="873"/>
      <c r="B54" s="873"/>
      <c r="C54" s="873"/>
      <c r="D54" s="873"/>
      <c r="E54" s="873"/>
      <c r="F54" s="873"/>
      <c r="G54" s="873"/>
      <c r="H54" s="873"/>
      <c r="I54" s="873"/>
    </row>
    <row r="55" spans="1:9">
      <c r="A55" s="873"/>
      <c r="B55" s="873"/>
      <c r="C55" s="873"/>
      <c r="D55" s="873"/>
      <c r="E55" s="873"/>
      <c r="F55" s="873"/>
      <c r="G55" s="873"/>
      <c r="H55" s="873"/>
      <c r="I55" s="873"/>
    </row>
    <row r="56" spans="1:9">
      <c r="A56" s="873"/>
      <c r="B56" s="873"/>
      <c r="C56" s="873"/>
      <c r="D56" s="873"/>
      <c r="E56" s="873"/>
      <c r="F56" s="873"/>
      <c r="G56" s="873"/>
      <c r="H56" s="873"/>
      <c r="I56" s="873"/>
    </row>
    <row r="57" spans="1:9">
      <c r="A57" s="873"/>
      <c r="B57" s="873"/>
      <c r="C57" s="873"/>
      <c r="D57" s="873"/>
      <c r="E57" s="873"/>
      <c r="F57" s="873"/>
      <c r="G57" s="873"/>
      <c r="H57" s="873"/>
      <c r="I57" s="873"/>
    </row>
    <row r="58" spans="1:9">
      <c r="A58" s="873"/>
      <c r="B58" s="873"/>
      <c r="C58" s="873"/>
      <c r="D58" s="873"/>
      <c r="E58" s="873"/>
      <c r="F58" s="873"/>
      <c r="G58" s="873"/>
      <c r="H58" s="873"/>
      <c r="I58" s="873"/>
    </row>
    <row r="59" spans="1:9">
      <c r="A59" s="873"/>
      <c r="B59" s="873"/>
      <c r="C59" s="873"/>
      <c r="D59" s="873"/>
      <c r="E59" s="873"/>
      <c r="F59" s="873"/>
      <c r="G59" s="873"/>
      <c r="H59" s="873"/>
      <c r="I59" s="873"/>
    </row>
    <row r="60" spans="1:9">
      <c r="A60" s="873"/>
      <c r="B60" s="873"/>
      <c r="C60" s="873"/>
      <c r="D60" s="873"/>
      <c r="E60" s="873"/>
      <c r="F60" s="873"/>
      <c r="G60" s="873"/>
      <c r="H60" s="873"/>
      <c r="I60" s="873"/>
    </row>
    <row r="61" spans="1:9">
      <c r="A61" s="873"/>
      <c r="B61" s="873"/>
      <c r="C61" s="873"/>
      <c r="D61" s="873"/>
      <c r="E61" s="873"/>
      <c r="F61" s="873"/>
      <c r="G61" s="873"/>
      <c r="H61" s="873"/>
      <c r="I61" s="873"/>
    </row>
    <row r="62" spans="1:9">
      <c r="A62" s="873"/>
      <c r="B62" s="873"/>
      <c r="C62" s="873"/>
      <c r="D62" s="873"/>
      <c r="E62" s="873"/>
      <c r="F62" s="873"/>
      <c r="G62" s="873"/>
      <c r="H62" s="873"/>
      <c r="I62" s="873"/>
    </row>
    <row r="63" spans="1:9">
      <c r="A63" s="873"/>
      <c r="B63" s="873"/>
      <c r="C63" s="873"/>
      <c r="D63" s="873"/>
      <c r="E63" s="873"/>
      <c r="F63" s="873"/>
      <c r="G63" s="873"/>
      <c r="H63" s="873"/>
      <c r="I63" s="873"/>
    </row>
    <row r="64" spans="1:9">
      <c r="A64" s="873"/>
      <c r="B64" s="873"/>
      <c r="C64" s="873"/>
      <c r="D64" s="873"/>
      <c r="E64" s="873"/>
      <c r="F64" s="873"/>
      <c r="G64" s="873"/>
      <c r="H64" s="873"/>
      <c r="I64" s="873"/>
    </row>
    <row r="65" spans="1:9">
      <c r="A65" s="873"/>
      <c r="B65" s="873"/>
      <c r="C65" s="873"/>
      <c r="D65" s="873"/>
      <c r="E65" s="873"/>
      <c r="F65" s="873"/>
      <c r="G65" s="873"/>
      <c r="H65" s="873"/>
      <c r="I65" s="873"/>
    </row>
    <row r="66" spans="1:9">
      <c r="A66" s="873"/>
      <c r="B66" s="873"/>
      <c r="C66" s="873"/>
      <c r="D66" s="873"/>
      <c r="E66" s="873"/>
      <c r="F66" s="873"/>
      <c r="G66" s="873"/>
      <c r="H66" s="873"/>
      <c r="I66" s="873"/>
    </row>
    <row r="67" spans="1:9">
      <c r="A67" s="873"/>
      <c r="B67" s="873"/>
      <c r="C67" s="873"/>
      <c r="D67" s="873"/>
      <c r="E67" s="873"/>
      <c r="F67" s="873"/>
      <c r="G67" s="873"/>
      <c r="H67" s="873"/>
      <c r="I67" s="873"/>
    </row>
    <row r="68" spans="1:9">
      <c r="A68" s="873"/>
      <c r="B68" s="873"/>
      <c r="C68" s="873"/>
      <c r="D68" s="873"/>
      <c r="E68" s="873"/>
      <c r="F68" s="873"/>
      <c r="G68" s="873"/>
      <c r="H68" s="873"/>
      <c r="I68" s="873"/>
    </row>
    <row r="69" spans="1:9">
      <c r="A69" s="873"/>
      <c r="B69" s="873"/>
      <c r="C69" s="873"/>
      <c r="D69" s="873"/>
      <c r="E69" s="873"/>
      <c r="F69" s="873"/>
      <c r="G69" s="873"/>
      <c r="H69" s="873"/>
      <c r="I69" s="873"/>
    </row>
    <row r="70" spans="1:9">
      <c r="A70" s="873"/>
      <c r="B70" s="873"/>
      <c r="C70" s="873"/>
      <c r="D70" s="873"/>
      <c r="E70" s="873"/>
      <c r="F70" s="873"/>
      <c r="G70" s="873"/>
      <c r="H70" s="873"/>
      <c r="I70" s="873"/>
    </row>
    <row r="71" spans="1:9">
      <c r="A71" s="873"/>
      <c r="B71" s="873"/>
      <c r="C71" s="873"/>
      <c r="D71" s="873"/>
      <c r="E71" s="873"/>
      <c r="F71" s="873"/>
      <c r="G71" s="873"/>
      <c r="H71" s="873"/>
      <c r="I71" s="873"/>
    </row>
    <row r="72" spans="1:9">
      <c r="A72" s="873"/>
      <c r="B72" s="873"/>
      <c r="C72" s="873"/>
      <c r="D72" s="873"/>
      <c r="E72" s="873"/>
      <c r="F72" s="873"/>
      <c r="G72" s="873"/>
      <c r="H72" s="873"/>
      <c r="I72" s="873"/>
    </row>
    <row r="73" spans="1:9">
      <c r="A73" s="873"/>
      <c r="B73" s="873"/>
      <c r="C73" s="873"/>
      <c r="D73" s="873"/>
      <c r="E73" s="873"/>
      <c r="F73" s="873"/>
      <c r="G73" s="873"/>
      <c r="H73" s="873"/>
      <c r="I73" s="873"/>
    </row>
    <row r="74" spans="1:9">
      <c r="A74" s="873"/>
      <c r="B74" s="873"/>
      <c r="C74" s="873"/>
      <c r="D74" s="873"/>
      <c r="E74" s="873"/>
      <c r="F74" s="873"/>
      <c r="G74" s="873"/>
      <c r="H74" s="873"/>
      <c r="I74" s="873"/>
    </row>
    <row r="75" spans="1:9">
      <c r="A75" s="873"/>
      <c r="B75" s="873"/>
      <c r="C75" s="873"/>
      <c r="D75" s="873"/>
      <c r="E75" s="873"/>
      <c r="F75" s="873"/>
      <c r="G75" s="873"/>
      <c r="H75" s="873"/>
      <c r="I75" s="873"/>
    </row>
    <row r="76" spans="1:9">
      <c r="A76" s="873"/>
      <c r="B76" s="873"/>
      <c r="C76" s="873"/>
      <c r="D76" s="873"/>
      <c r="E76" s="873"/>
      <c r="F76" s="873"/>
      <c r="G76" s="873"/>
      <c r="H76" s="873"/>
      <c r="I76" s="873"/>
    </row>
    <row r="77" spans="1:9">
      <c r="A77" s="873"/>
      <c r="B77" s="873"/>
      <c r="C77" s="873"/>
      <c r="D77" s="873"/>
      <c r="E77" s="873"/>
      <c r="F77" s="873"/>
      <c r="G77" s="873"/>
      <c r="H77" s="873"/>
      <c r="I77" s="873"/>
    </row>
    <row r="78" spans="1:9">
      <c r="A78" s="873"/>
      <c r="B78" s="873"/>
      <c r="C78" s="873"/>
      <c r="D78" s="873"/>
      <c r="E78" s="873"/>
      <c r="F78" s="873"/>
      <c r="G78" s="873"/>
      <c r="H78" s="873"/>
      <c r="I78" s="873"/>
    </row>
    <row r="79" spans="1:9">
      <c r="A79" s="873"/>
      <c r="B79" s="873"/>
      <c r="C79" s="873"/>
      <c r="D79" s="873"/>
      <c r="E79" s="873"/>
      <c r="F79" s="873"/>
      <c r="G79" s="873"/>
      <c r="H79" s="873"/>
      <c r="I79" s="873"/>
    </row>
    <row r="80" spans="1:9">
      <c r="A80" s="873"/>
      <c r="B80" s="873"/>
      <c r="C80" s="873"/>
      <c r="D80" s="873"/>
      <c r="E80" s="873"/>
      <c r="F80" s="873"/>
      <c r="G80" s="873"/>
      <c r="H80" s="873"/>
      <c r="I80" s="873"/>
    </row>
    <row r="81" spans="1:9">
      <c r="A81" s="873"/>
      <c r="B81" s="873"/>
      <c r="C81" s="873"/>
      <c r="D81" s="873"/>
      <c r="E81" s="873"/>
      <c r="F81" s="873"/>
      <c r="G81" s="873"/>
      <c r="H81" s="873"/>
      <c r="I81" s="873"/>
    </row>
    <row r="82" spans="1:9">
      <c r="A82" s="873"/>
      <c r="B82" s="873"/>
      <c r="C82" s="873"/>
      <c r="D82" s="873"/>
      <c r="E82" s="873"/>
      <c r="F82" s="873"/>
      <c r="G82" s="873"/>
      <c r="H82" s="873"/>
      <c r="I82" s="873"/>
    </row>
    <row r="83" spans="1:9">
      <c r="A83" s="873"/>
      <c r="B83" s="873"/>
      <c r="C83" s="873"/>
      <c r="D83" s="873"/>
      <c r="E83" s="873"/>
      <c r="F83" s="873"/>
      <c r="G83" s="873"/>
      <c r="H83" s="873"/>
      <c r="I83" s="873"/>
    </row>
    <row r="84" spans="1:9">
      <c r="A84" s="873"/>
      <c r="B84" s="873"/>
      <c r="C84" s="873"/>
      <c r="D84" s="873"/>
      <c r="E84" s="873"/>
      <c r="F84" s="873"/>
      <c r="G84" s="873"/>
      <c r="H84" s="873"/>
      <c r="I84" s="873"/>
    </row>
    <row r="85" spans="1:9">
      <c r="A85" s="873"/>
      <c r="B85" s="873"/>
      <c r="C85" s="873"/>
      <c r="D85" s="873"/>
      <c r="E85" s="873"/>
      <c r="F85" s="873"/>
      <c r="G85" s="873"/>
      <c r="H85" s="873"/>
      <c r="I85" s="873"/>
    </row>
    <row r="86" spans="1:9">
      <c r="A86" s="873"/>
      <c r="B86" s="873"/>
      <c r="C86" s="873"/>
      <c r="D86" s="873"/>
      <c r="E86" s="873"/>
      <c r="F86" s="873"/>
      <c r="G86" s="873"/>
      <c r="H86" s="873"/>
      <c r="I86" s="873"/>
    </row>
    <row r="87" spans="1:9">
      <c r="A87" s="873"/>
      <c r="B87" s="873"/>
      <c r="C87" s="873"/>
      <c r="D87" s="873"/>
      <c r="E87" s="873"/>
      <c r="F87" s="873"/>
      <c r="G87" s="873"/>
      <c r="H87" s="873"/>
      <c r="I87" s="873"/>
    </row>
    <row r="88" spans="1:9">
      <c r="A88" s="873"/>
      <c r="B88" s="873"/>
      <c r="C88" s="873"/>
      <c r="D88" s="873"/>
      <c r="E88" s="873"/>
      <c r="F88" s="873"/>
      <c r="G88" s="873"/>
      <c r="H88" s="873"/>
      <c r="I88" s="873"/>
    </row>
    <row r="89" spans="1:9">
      <c r="A89" s="873"/>
      <c r="B89" s="873"/>
      <c r="C89" s="873"/>
      <c r="D89" s="873"/>
      <c r="E89" s="873"/>
      <c r="F89" s="873"/>
      <c r="G89" s="873"/>
      <c r="H89" s="873"/>
      <c r="I89" s="873"/>
    </row>
    <row r="90" spans="1:9">
      <c r="A90" s="873"/>
      <c r="B90" s="873"/>
      <c r="C90" s="873"/>
      <c r="D90" s="873"/>
      <c r="E90" s="873"/>
      <c r="F90" s="873"/>
      <c r="G90" s="873"/>
      <c r="H90" s="873"/>
      <c r="I90" s="873"/>
    </row>
    <row r="91" spans="1:9">
      <c r="A91" s="873"/>
      <c r="B91" s="873"/>
      <c r="C91" s="873"/>
      <c r="D91" s="873"/>
      <c r="E91" s="873"/>
      <c r="F91" s="873"/>
      <c r="G91" s="873"/>
      <c r="H91" s="873"/>
      <c r="I91" s="873"/>
    </row>
    <row r="92" spans="1:9">
      <c r="A92" s="873"/>
      <c r="B92" s="873"/>
      <c r="C92" s="873"/>
      <c r="D92" s="873"/>
      <c r="E92" s="873"/>
      <c r="F92" s="873"/>
      <c r="G92" s="873"/>
      <c r="H92" s="873"/>
      <c r="I92" s="873"/>
    </row>
    <row r="93" spans="1:9">
      <c r="A93" s="873"/>
      <c r="B93" s="873"/>
      <c r="C93" s="873"/>
      <c r="D93" s="873"/>
      <c r="E93" s="873"/>
      <c r="F93" s="873"/>
      <c r="G93" s="873"/>
      <c r="H93" s="873"/>
      <c r="I93" s="873"/>
    </row>
    <row r="94" spans="1:9">
      <c r="A94" s="873"/>
      <c r="B94" s="873"/>
      <c r="C94" s="873"/>
      <c r="D94" s="873"/>
      <c r="E94" s="873"/>
      <c r="F94" s="873"/>
      <c r="G94" s="873"/>
      <c r="H94" s="873"/>
      <c r="I94" s="873"/>
    </row>
    <row r="95" spans="1:9">
      <c r="A95" s="873"/>
      <c r="B95" s="873"/>
      <c r="C95" s="873"/>
      <c r="D95" s="873"/>
      <c r="E95" s="873"/>
      <c r="F95" s="873"/>
      <c r="G95" s="873"/>
      <c r="H95" s="873"/>
      <c r="I95" s="873"/>
    </row>
    <row r="96" spans="1:9">
      <c r="A96" s="873"/>
      <c r="B96" s="873"/>
      <c r="C96" s="873"/>
      <c r="D96" s="873"/>
      <c r="E96" s="873"/>
      <c r="F96" s="873"/>
      <c r="G96" s="873"/>
      <c r="H96" s="873"/>
      <c r="I96" s="873"/>
    </row>
    <row r="97" spans="1:9">
      <c r="A97" s="873"/>
      <c r="B97" s="873"/>
      <c r="C97" s="873"/>
      <c r="D97" s="873"/>
      <c r="E97" s="873"/>
      <c r="F97" s="873"/>
      <c r="G97" s="873"/>
      <c r="H97" s="873"/>
      <c r="I97" s="873"/>
    </row>
    <row r="98" spans="1:9">
      <c r="A98" s="873"/>
      <c r="B98" s="873"/>
      <c r="C98" s="873"/>
      <c r="D98" s="873"/>
      <c r="E98" s="873"/>
      <c r="F98" s="873"/>
      <c r="G98" s="873"/>
      <c r="H98" s="873"/>
      <c r="I98" s="873"/>
    </row>
    <row r="99" spans="1:9">
      <c r="A99" s="873"/>
      <c r="B99" s="873"/>
      <c r="C99" s="873"/>
      <c r="D99" s="873"/>
      <c r="E99" s="873"/>
      <c r="F99" s="873"/>
      <c r="G99" s="873"/>
      <c r="H99" s="873"/>
      <c r="I99" s="873"/>
    </row>
    <row r="100" spans="1:9">
      <c r="A100" s="873"/>
      <c r="B100" s="873"/>
      <c r="C100" s="873"/>
      <c r="D100" s="873"/>
      <c r="E100" s="873"/>
      <c r="F100" s="873"/>
      <c r="G100" s="873"/>
      <c r="H100" s="873"/>
      <c r="I100" s="873"/>
    </row>
    <row r="101" spans="1:9">
      <c r="A101" s="873"/>
      <c r="B101" s="873"/>
      <c r="C101" s="873"/>
      <c r="D101" s="873"/>
      <c r="E101" s="873"/>
      <c r="F101" s="873"/>
      <c r="G101" s="873"/>
      <c r="H101" s="873"/>
      <c r="I101" s="873"/>
    </row>
    <row r="102" spans="1:9">
      <c r="A102" s="873"/>
      <c r="B102" s="873"/>
      <c r="C102" s="873"/>
      <c r="D102" s="873"/>
      <c r="E102" s="873"/>
      <c r="F102" s="873"/>
      <c r="G102" s="873"/>
      <c r="H102" s="873"/>
      <c r="I102" s="873"/>
    </row>
    <row r="103" spans="1:9">
      <c r="A103" s="873"/>
      <c r="B103" s="873"/>
      <c r="C103" s="873"/>
      <c r="D103" s="873"/>
      <c r="E103" s="873"/>
      <c r="F103" s="873"/>
      <c r="G103" s="873"/>
      <c r="H103" s="873"/>
      <c r="I103" s="873"/>
    </row>
    <row r="104" spans="1:9">
      <c r="A104" s="873"/>
      <c r="B104" s="873"/>
      <c r="C104" s="873"/>
      <c r="D104" s="873"/>
      <c r="E104" s="873"/>
      <c r="F104" s="873"/>
      <c r="G104" s="873"/>
      <c r="H104" s="873"/>
      <c r="I104" s="873"/>
    </row>
    <row r="105" spans="1:9">
      <c r="A105" s="873"/>
      <c r="B105" s="873"/>
      <c r="C105" s="873"/>
      <c r="D105" s="873"/>
      <c r="E105" s="873"/>
      <c r="F105" s="873"/>
      <c r="G105" s="873"/>
      <c r="H105" s="873"/>
      <c r="I105" s="873"/>
    </row>
    <row r="106" spans="1:9">
      <c r="A106" s="873"/>
      <c r="B106" s="873"/>
      <c r="C106" s="873"/>
      <c r="D106" s="873"/>
      <c r="E106" s="873"/>
      <c r="F106" s="873"/>
      <c r="G106" s="873"/>
      <c r="H106" s="873"/>
      <c r="I106" s="873"/>
    </row>
    <row r="107" spans="1:9">
      <c r="A107" s="873"/>
      <c r="B107" s="873"/>
      <c r="C107" s="873"/>
      <c r="D107" s="873"/>
      <c r="E107" s="873"/>
      <c r="F107" s="873"/>
      <c r="G107" s="873"/>
      <c r="H107" s="873"/>
      <c r="I107" s="873"/>
    </row>
    <row r="108" spans="1:9">
      <c r="A108" s="873"/>
      <c r="B108" s="873"/>
      <c r="C108" s="873"/>
      <c r="D108" s="873"/>
      <c r="E108" s="873"/>
      <c r="F108" s="873"/>
      <c r="G108" s="873"/>
      <c r="H108" s="873"/>
      <c r="I108" s="873"/>
    </row>
    <row r="109" spans="1:9">
      <c r="A109" s="873"/>
      <c r="B109" s="873"/>
      <c r="C109" s="873"/>
      <c r="D109" s="873"/>
      <c r="E109" s="873"/>
      <c r="F109" s="873"/>
      <c r="G109" s="873"/>
      <c r="H109" s="873"/>
      <c r="I109" s="873"/>
    </row>
    <row r="110" spans="1:9">
      <c r="A110" s="873"/>
      <c r="B110" s="873"/>
      <c r="C110" s="873"/>
      <c r="D110" s="873"/>
      <c r="E110" s="873"/>
      <c r="F110" s="873"/>
      <c r="G110" s="873"/>
      <c r="H110" s="873"/>
      <c r="I110" s="873"/>
    </row>
    <row r="111" spans="1:9">
      <c r="A111" s="873"/>
      <c r="B111" s="873"/>
      <c r="C111" s="873"/>
      <c r="D111" s="873"/>
      <c r="E111" s="873"/>
      <c r="F111" s="873"/>
      <c r="G111" s="873"/>
      <c r="H111" s="873"/>
      <c r="I111" s="873"/>
    </row>
    <row r="112" spans="1:9">
      <c r="A112" s="873"/>
      <c r="B112" s="873"/>
      <c r="C112" s="873"/>
      <c r="D112" s="873"/>
      <c r="E112" s="873"/>
      <c r="F112" s="873"/>
      <c r="G112" s="873"/>
      <c r="H112" s="873"/>
      <c r="I112" s="873"/>
    </row>
    <row r="113" spans="1:9">
      <c r="A113" s="873"/>
      <c r="B113" s="873"/>
      <c r="C113" s="873"/>
      <c r="D113" s="873"/>
      <c r="E113" s="873"/>
      <c r="F113" s="873"/>
      <c r="G113" s="873"/>
      <c r="H113" s="873"/>
      <c r="I113" s="873"/>
    </row>
    <row r="114" spans="1:9">
      <c r="A114" s="873"/>
      <c r="B114" s="873"/>
      <c r="C114" s="873"/>
      <c r="D114" s="873"/>
      <c r="E114" s="873"/>
      <c r="F114" s="873"/>
      <c r="G114" s="873"/>
      <c r="H114" s="873"/>
      <c r="I114" s="873"/>
    </row>
    <row r="115" spans="1:9">
      <c r="A115" s="873"/>
      <c r="B115" s="873"/>
      <c r="C115" s="873"/>
      <c r="D115" s="873"/>
      <c r="E115" s="873"/>
      <c r="F115" s="873"/>
      <c r="G115" s="873"/>
      <c r="H115" s="873"/>
      <c r="I115" s="873"/>
    </row>
    <row r="116" spans="1:9">
      <c r="A116" s="873"/>
      <c r="B116" s="873"/>
      <c r="C116" s="873"/>
      <c r="D116" s="873"/>
      <c r="E116" s="873"/>
      <c r="F116" s="873"/>
      <c r="G116" s="873"/>
      <c r="H116" s="873"/>
      <c r="I116" s="873"/>
    </row>
    <row r="117" spans="1:9">
      <c r="A117" s="873"/>
      <c r="B117" s="873"/>
      <c r="C117" s="873"/>
      <c r="D117" s="873"/>
      <c r="E117" s="873"/>
      <c r="F117" s="873"/>
      <c r="G117" s="873"/>
      <c r="H117" s="873"/>
      <c r="I117" s="873"/>
    </row>
    <row r="118" spans="1:9">
      <c r="A118" s="873"/>
      <c r="B118" s="873"/>
      <c r="C118" s="873"/>
      <c r="D118" s="873"/>
      <c r="E118" s="873"/>
      <c r="F118" s="873"/>
      <c r="G118" s="873"/>
      <c r="H118" s="873"/>
      <c r="I118" s="873"/>
    </row>
    <row r="119" spans="1:9">
      <c r="A119" s="873"/>
      <c r="B119" s="873"/>
      <c r="C119" s="873"/>
      <c r="D119" s="873"/>
      <c r="E119" s="873"/>
      <c r="F119" s="873"/>
      <c r="G119" s="873"/>
      <c r="H119" s="873"/>
      <c r="I119" s="873"/>
    </row>
    <row r="120" spans="1:9">
      <c r="A120" s="873"/>
      <c r="B120" s="873"/>
      <c r="C120" s="873"/>
      <c r="D120" s="873"/>
      <c r="E120" s="873"/>
      <c r="F120" s="873"/>
      <c r="G120" s="873"/>
      <c r="H120" s="873"/>
      <c r="I120" s="873"/>
    </row>
    <row r="121" spans="1:9">
      <c r="A121" s="873"/>
      <c r="B121" s="873"/>
      <c r="C121" s="873"/>
      <c r="D121" s="873"/>
      <c r="E121" s="873"/>
      <c r="F121" s="873"/>
      <c r="G121" s="873"/>
      <c r="H121" s="873"/>
      <c r="I121" s="873"/>
    </row>
    <row r="122" spans="1:9">
      <c r="A122" s="873"/>
      <c r="B122" s="873"/>
      <c r="C122" s="873"/>
      <c r="D122" s="873"/>
      <c r="E122" s="873"/>
      <c r="F122" s="873"/>
      <c r="G122" s="873"/>
      <c r="H122" s="873"/>
      <c r="I122" s="873"/>
    </row>
    <row r="123" spans="1:9">
      <c r="A123" s="873"/>
      <c r="B123" s="873"/>
      <c r="C123" s="873"/>
      <c r="D123" s="873"/>
      <c r="E123" s="873"/>
      <c r="F123" s="873"/>
      <c r="G123" s="873"/>
      <c r="H123" s="873"/>
      <c r="I123" s="873"/>
    </row>
    <row r="124" spans="1:9">
      <c r="A124" s="873"/>
      <c r="B124" s="873"/>
      <c r="C124" s="873"/>
      <c r="D124" s="873"/>
      <c r="E124" s="873"/>
      <c r="F124" s="873"/>
      <c r="G124" s="873"/>
      <c r="H124" s="873"/>
      <c r="I124" s="873"/>
    </row>
    <row r="125" spans="1:9">
      <c r="A125" s="873"/>
      <c r="B125" s="873"/>
      <c r="C125" s="873"/>
      <c r="D125" s="873"/>
      <c r="E125" s="873"/>
      <c r="F125" s="873"/>
      <c r="G125" s="873"/>
      <c r="H125" s="873"/>
      <c r="I125" s="873"/>
    </row>
    <row r="126" spans="1:9">
      <c r="A126" s="873"/>
      <c r="B126" s="873"/>
      <c r="C126" s="873"/>
      <c r="D126" s="873"/>
      <c r="E126" s="873"/>
      <c r="F126" s="873"/>
      <c r="G126" s="873"/>
      <c r="H126" s="873"/>
      <c r="I126" s="873"/>
    </row>
    <row r="127" spans="1:9">
      <c r="A127" s="873"/>
      <c r="B127" s="873"/>
      <c r="C127" s="873"/>
      <c r="D127" s="873"/>
      <c r="E127" s="873"/>
      <c r="F127" s="873"/>
      <c r="G127" s="873"/>
      <c r="H127" s="873"/>
      <c r="I127" s="873"/>
    </row>
    <row r="128" spans="1:9">
      <c r="A128" s="873"/>
      <c r="B128" s="873"/>
      <c r="C128" s="873"/>
      <c r="D128" s="873"/>
      <c r="E128" s="873"/>
      <c r="F128" s="873"/>
      <c r="G128" s="873"/>
      <c r="H128" s="873"/>
      <c r="I128" s="873"/>
    </row>
    <row r="129" spans="1:9">
      <c r="A129" s="873"/>
      <c r="B129" s="873"/>
      <c r="C129" s="873"/>
      <c r="D129" s="873"/>
      <c r="E129" s="873"/>
      <c r="F129" s="873"/>
      <c r="G129" s="873"/>
      <c r="H129" s="873"/>
      <c r="I129" s="873"/>
    </row>
    <row r="130" spans="1:9">
      <c r="A130" s="873"/>
      <c r="B130" s="873"/>
      <c r="C130" s="873"/>
      <c r="D130" s="873"/>
      <c r="E130" s="873"/>
      <c r="F130" s="873"/>
      <c r="G130" s="873"/>
      <c r="H130" s="873"/>
      <c r="I130" s="873"/>
    </row>
    <row r="131" spans="1:9">
      <c r="A131" s="873"/>
      <c r="B131" s="873"/>
      <c r="C131" s="873"/>
      <c r="D131" s="873"/>
      <c r="E131" s="873"/>
      <c r="F131" s="873"/>
      <c r="G131" s="873"/>
      <c r="H131" s="873"/>
      <c r="I131" s="873"/>
    </row>
    <row r="132" spans="1:9">
      <c r="A132" s="873"/>
      <c r="B132" s="873"/>
      <c r="C132" s="873"/>
      <c r="D132" s="873"/>
      <c r="E132" s="873"/>
      <c r="F132" s="873"/>
      <c r="G132" s="873"/>
      <c r="H132" s="873"/>
      <c r="I132" s="873"/>
    </row>
    <row r="133" spans="1:9">
      <c r="A133" s="873"/>
      <c r="B133" s="873"/>
      <c r="C133" s="873"/>
      <c r="D133" s="873"/>
      <c r="E133" s="873"/>
      <c r="F133" s="873"/>
      <c r="G133" s="873"/>
      <c r="H133" s="873"/>
      <c r="I133" s="873"/>
    </row>
    <row r="134" spans="1:9">
      <c r="A134" s="873"/>
      <c r="B134" s="873"/>
      <c r="C134" s="873"/>
      <c r="D134" s="873"/>
      <c r="E134" s="873"/>
      <c r="F134" s="873"/>
      <c r="G134" s="873"/>
      <c r="H134" s="873"/>
      <c r="I134" s="873"/>
    </row>
    <row r="135" spans="1:9">
      <c r="A135" s="873"/>
      <c r="B135" s="873"/>
      <c r="C135" s="873"/>
      <c r="D135" s="873"/>
      <c r="E135" s="873"/>
      <c r="F135" s="873"/>
      <c r="G135" s="873"/>
      <c r="H135" s="873"/>
      <c r="I135" s="873"/>
    </row>
    <row r="136" spans="1:9">
      <c r="A136" s="873"/>
      <c r="B136" s="873"/>
      <c r="C136" s="873"/>
      <c r="D136" s="873"/>
      <c r="E136" s="873"/>
      <c r="F136" s="873"/>
      <c r="G136" s="873"/>
      <c r="H136" s="873"/>
      <c r="I136" s="873"/>
    </row>
    <row r="137" spans="1:9">
      <c r="A137" s="873"/>
      <c r="B137" s="873"/>
      <c r="C137" s="873"/>
      <c r="D137" s="873"/>
      <c r="E137" s="873"/>
      <c r="F137" s="873"/>
      <c r="G137" s="873"/>
      <c r="H137" s="873"/>
      <c r="I137" s="873"/>
    </row>
    <row r="138" spans="1:9">
      <c r="A138" s="873"/>
      <c r="B138" s="873"/>
      <c r="C138" s="873"/>
      <c r="D138" s="873"/>
      <c r="E138" s="873"/>
      <c r="F138" s="873"/>
      <c r="G138" s="873"/>
      <c r="H138" s="873"/>
      <c r="I138" s="873"/>
    </row>
    <row r="139" spans="1:9">
      <c r="A139" s="873"/>
      <c r="B139" s="873"/>
      <c r="C139" s="873"/>
      <c r="D139" s="873"/>
      <c r="E139" s="873"/>
      <c r="F139" s="873"/>
      <c r="G139" s="873"/>
      <c r="H139" s="873"/>
      <c r="I139" s="873"/>
    </row>
    <row r="140" spans="1:9">
      <c r="A140" s="873"/>
      <c r="B140" s="873"/>
      <c r="C140" s="873"/>
      <c r="D140" s="873"/>
      <c r="E140" s="873"/>
      <c r="F140" s="873"/>
      <c r="G140" s="873"/>
      <c r="H140" s="873"/>
      <c r="I140" s="873"/>
    </row>
    <row r="141" spans="1:9">
      <c r="A141" s="873"/>
      <c r="B141" s="873"/>
      <c r="C141" s="873"/>
      <c r="D141" s="873"/>
      <c r="E141" s="873"/>
      <c r="F141" s="873"/>
      <c r="G141" s="873"/>
      <c r="H141" s="873"/>
      <c r="I141" s="873"/>
    </row>
    <row r="142" spans="1:9">
      <c r="A142" s="873"/>
      <c r="B142" s="873"/>
      <c r="C142" s="873"/>
      <c r="D142" s="873"/>
      <c r="E142" s="873"/>
      <c r="F142" s="873"/>
      <c r="G142" s="873"/>
      <c r="H142" s="873"/>
      <c r="I142" s="873"/>
    </row>
    <row r="143" spans="1:9">
      <c r="A143" s="873"/>
      <c r="B143" s="873"/>
      <c r="C143" s="873"/>
      <c r="D143" s="873"/>
      <c r="E143" s="873"/>
      <c r="F143" s="873"/>
      <c r="G143" s="873"/>
      <c r="H143" s="873"/>
      <c r="I143" s="873"/>
    </row>
    <row r="144" spans="1:9">
      <c r="A144" s="873"/>
      <c r="B144" s="873"/>
      <c r="C144" s="873"/>
      <c r="D144" s="873"/>
      <c r="E144" s="873"/>
      <c r="F144" s="873"/>
      <c r="G144" s="873"/>
      <c r="H144" s="873"/>
      <c r="I144" s="873"/>
    </row>
    <row r="145" spans="1:9">
      <c r="A145" s="873"/>
      <c r="B145" s="873"/>
      <c r="C145" s="873"/>
      <c r="D145" s="873"/>
      <c r="E145" s="873"/>
      <c r="F145" s="873"/>
      <c r="G145" s="873"/>
      <c r="H145" s="873"/>
      <c r="I145" s="873"/>
    </row>
    <row r="146" spans="1:9">
      <c r="A146" s="873"/>
      <c r="B146" s="873"/>
      <c r="C146" s="873"/>
      <c r="D146" s="873"/>
      <c r="E146" s="873"/>
      <c r="F146" s="873"/>
      <c r="G146" s="873"/>
      <c r="H146" s="873"/>
      <c r="I146" s="873"/>
    </row>
    <row r="147" spans="1:9">
      <c r="A147" s="873"/>
      <c r="B147" s="873"/>
      <c r="C147" s="873"/>
      <c r="D147" s="873"/>
      <c r="E147" s="873"/>
      <c r="F147" s="873"/>
      <c r="G147" s="873"/>
      <c r="H147" s="873"/>
      <c r="I147" s="873"/>
    </row>
    <row r="148" spans="1:9">
      <c r="A148" s="873"/>
      <c r="B148" s="873"/>
      <c r="C148" s="873"/>
      <c r="D148" s="873"/>
      <c r="E148" s="873"/>
      <c r="F148" s="873"/>
      <c r="G148" s="873"/>
      <c r="H148" s="873"/>
      <c r="I148" s="873"/>
    </row>
    <row r="149" spans="1:9">
      <c r="A149" s="873"/>
      <c r="B149" s="873"/>
      <c r="C149" s="873"/>
      <c r="D149" s="873"/>
      <c r="E149" s="873"/>
      <c r="F149" s="873"/>
      <c r="G149" s="873"/>
      <c r="H149" s="873"/>
      <c r="I149" s="873"/>
    </row>
    <row r="150" spans="1:9">
      <c r="A150" s="873"/>
      <c r="B150" s="873"/>
      <c r="C150" s="873"/>
      <c r="D150" s="873"/>
      <c r="E150" s="873"/>
      <c r="F150" s="873"/>
      <c r="G150" s="873"/>
      <c r="H150" s="873"/>
      <c r="I150" s="873"/>
    </row>
    <row r="151" spans="1:9">
      <c r="A151" s="873"/>
      <c r="B151" s="873"/>
      <c r="C151" s="873"/>
      <c r="D151" s="873"/>
      <c r="E151" s="873"/>
      <c r="F151" s="873"/>
      <c r="G151" s="873"/>
      <c r="H151" s="873"/>
      <c r="I151" s="873"/>
    </row>
    <row r="152" spans="1:9">
      <c r="A152" s="873"/>
      <c r="B152" s="873"/>
      <c r="C152" s="873"/>
      <c r="D152" s="873"/>
      <c r="E152" s="873"/>
      <c r="F152" s="873"/>
      <c r="G152" s="873"/>
      <c r="H152" s="873"/>
      <c r="I152" s="873"/>
    </row>
    <row r="153" spans="1:9">
      <c r="A153" s="873"/>
      <c r="B153" s="873"/>
      <c r="C153" s="873"/>
      <c r="D153" s="873"/>
      <c r="E153" s="873"/>
      <c r="F153" s="873"/>
      <c r="G153" s="873"/>
      <c r="H153" s="873"/>
      <c r="I153" s="873"/>
    </row>
    <row r="154" spans="1:9">
      <c r="A154" s="873"/>
      <c r="B154" s="873"/>
      <c r="C154" s="873"/>
      <c r="D154" s="873"/>
      <c r="E154" s="873"/>
      <c r="F154" s="873"/>
      <c r="G154" s="873"/>
      <c r="H154" s="873"/>
      <c r="I154" s="873"/>
    </row>
    <row r="155" spans="1:9">
      <c r="A155" s="873"/>
      <c r="B155" s="873"/>
      <c r="C155" s="873"/>
      <c r="D155" s="873"/>
      <c r="E155" s="873"/>
      <c r="F155" s="873"/>
      <c r="G155" s="873"/>
      <c r="H155" s="873"/>
      <c r="I155" s="873"/>
    </row>
    <row r="156" spans="1:9">
      <c r="A156" s="873"/>
      <c r="B156" s="873"/>
      <c r="C156" s="873"/>
      <c r="D156" s="873"/>
      <c r="E156" s="873"/>
      <c r="F156" s="873"/>
      <c r="G156" s="873"/>
      <c r="H156" s="873"/>
      <c r="I156" s="873"/>
    </row>
    <row r="157" spans="1:9">
      <c r="A157" s="873"/>
      <c r="B157" s="873"/>
      <c r="C157" s="873"/>
      <c r="D157" s="873"/>
      <c r="E157" s="873"/>
      <c r="F157" s="873"/>
      <c r="G157" s="873"/>
      <c r="H157" s="873"/>
      <c r="I157" s="873"/>
    </row>
    <row r="158" spans="1:9">
      <c r="A158" s="873"/>
      <c r="B158" s="873"/>
      <c r="C158" s="873"/>
      <c r="D158" s="873"/>
      <c r="E158" s="873"/>
      <c r="F158" s="873"/>
      <c r="G158" s="873"/>
      <c r="H158" s="873"/>
      <c r="I158" s="873"/>
    </row>
    <row r="159" spans="1:9">
      <c r="A159" s="873"/>
      <c r="B159" s="873"/>
      <c r="C159" s="873"/>
      <c r="D159" s="873"/>
      <c r="E159" s="873"/>
      <c r="F159" s="873"/>
      <c r="G159" s="873"/>
      <c r="H159" s="873"/>
      <c r="I159" s="873"/>
    </row>
    <row r="160" spans="1:9">
      <c r="A160" s="873"/>
      <c r="B160" s="873"/>
      <c r="C160" s="873"/>
      <c r="D160" s="873"/>
      <c r="E160" s="873"/>
      <c r="F160" s="873"/>
      <c r="G160" s="873"/>
      <c r="H160" s="873"/>
      <c r="I160" s="873"/>
    </row>
    <row r="161" spans="1:9">
      <c r="A161" s="873"/>
      <c r="B161" s="873"/>
      <c r="C161" s="873"/>
      <c r="D161" s="873"/>
      <c r="E161" s="873"/>
      <c r="F161" s="873"/>
      <c r="G161" s="873"/>
      <c r="H161" s="873"/>
      <c r="I161" s="873"/>
    </row>
    <row r="162" spans="1:9">
      <c r="A162" s="873"/>
      <c r="B162" s="873"/>
      <c r="C162" s="873"/>
      <c r="D162" s="873"/>
      <c r="E162" s="873"/>
      <c r="F162" s="873"/>
      <c r="G162" s="873"/>
      <c r="H162" s="873"/>
      <c r="I162" s="873"/>
    </row>
    <row r="163" spans="1:9">
      <c r="A163" s="873"/>
      <c r="B163" s="873"/>
      <c r="C163" s="873"/>
      <c r="D163" s="873"/>
      <c r="E163" s="873"/>
      <c r="F163" s="873"/>
      <c r="G163" s="873"/>
      <c r="H163" s="873"/>
      <c r="I163" s="873"/>
    </row>
    <row r="164" spans="1:9">
      <c r="A164" s="873"/>
      <c r="B164" s="873"/>
      <c r="C164" s="873"/>
      <c r="D164" s="873"/>
      <c r="E164" s="873"/>
      <c r="F164" s="873"/>
      <c r="G164" s="873"/>
      <c r="H164" s="873"/>
      <c r="I164" s="873"/>
    </row>
    <row r="165" spans="1:9">
      <c r="A165" s="873"/>
      <c r="B165" s="873"/>
      <c r="C165" s="873"/>
      <c r="D165" s="873"/>
      <c r="E165" s="873"/>
      <c r="F165" s="873"/>
      <c r="G165" s="873"/>
      <c r="H165" s="873"/>
      <c r="I165" s="873"/>
    </row>
    <row r="166" spans="1:9">
      <c r="A166" s="873"/>
      <c r="B166" s="873"/>
      <c r="C166" s="873"/>
      <c r="D166" s="873"/>
      <c r="E166" s="873"/>
      <c r="F166" s="873"/>
      <c r="G166" s="873"/>
      <c r="H166" s="873"/>
      <c r="I166" s="873"/>
    </row>
    <row r="167" spans="1:9">
      <c r="A167" s="873"/>
      <c r="B167" s="873"/>
      <c r="C167" s="873"/>
      <c r="D167" s="873"/>
      <c r="E167" s="873"/>
      <c r="F167" s="873"/>
      <c r="G167" s="873"/>
      <c r="H167" s="873"/>
      <c r="I167" s="873"/>
    </row>
    <row r="168" spans="1:9">
      <c r="A168" s="873"/>
      <c r="B168" s="873"/>
      <c r="C168" s="873"/>
      <c r="D168" s="873"/>
      <c r="E168" s="873"/>
      <c r="F168" s="873"/>
      <c r="G168" s="873"/>
      <c r="H168" s="873"/>
      <c r="I168" s="873"/>
    </row>
    <row r="169" spans="1:9">
      <c r="A169" s="873"/>
      <c r="B169" s="873"/>
      <c r="C169" s="873"/>
      <c r="D169" s="873"/>
      <c r="E169" s="873"/>
      <c r="F169" s="873"/>
      <c r="G169" s="873"/>
      <c r="H169" s="873"/>
      <c r="I169" s="873"/>
    </row>
    <row r="170" spans="1:9">
      <c r="A170" s="873"/>
      <c r="B170" s="873"/>
      <c r="C170" s="873"/>
      <c r="D170" s="873"/>
      <c r="E170" s="873"/>
      <c r="F170" s="873"/>
      <c r="G170" s="873"/>
      <c r="H170" s="873"/>
      <c r="I170" s="873"/>
    </row>
    <row r="171" spans="1:9">
      <c r="A171" s="873"/>
      <c r="B171" s="873"/>
      <c r="C171" s="873"/>
      <c r="D171" s="873"/>
      <c r="E171" s="873"/>
      <c r="F171" s="873"/>
      <c r="G171" s="873"/>
      <c r="H171" s="873"/>
      <c r="I171" s="873"/>
    </row>
    <row r="172" spans="1:9">
      <c r="A172" s="873"/>
      <c r="B172" s="873"/>
      <c r="C172" s="873"/>
      <c r="D172" s="873"/>
      <c r="E172" s="873"/>
      <c r="F172" s="873"/>
      <c r="G172" s="873"/>
      <c r="H172" s="873"/>
      <c r="I172" s="873"/>
    </row>
    <row r="173" spans="1:9">
      <c r="A173" s="873"/>
      <c r="B173" s="873"/>
      <c r="C173" s="873"/>
      <c r="D173" s="873"/>
      <c r="E173" s="873"/>
      <c r="F173" s="873"/>
      <c r="G173" s="873"/>
      <c r="H173" s="873"/>
      <c r="I173" s="873"/>
    </row>
    <row r="174" spans="1:9">
      <c r="A174" s="873"/>
      <c r="B174" s="873"/>
      <c r="C174" s="873"/>
      <c r="D174" s="873"/>
      <c r="E174" s="873"/>
      <c r="F174" s="873"/>
      <c r="G174" s="873"/>
      <c r="H174" s="873"/>
      <c r="I174" s="873"/>
    </row>
    <row r="175" spans="1:9">
      <c r="A175" s="873"/>
      <c r="B175" s="873"/>
      <c r="C175" s="873"/>
      <c r="D175" s="873"/>
      <c r="E175" s="873"/>
      <c r="F175" s="873"/>
      <c r="G175" s="873"/>
      <c r="H175" s="873"/>
      <c r="I175" s="873"/>
    </row>
    <row r="176" spans="1:9">
      <c r="A176" s="873"/>
      <c r="B176" s="873"/>
      <c r="C176" s="873"/>
      <c r="D176" s="873"/>
      <c r="E176" s="873"/>
      <c r="F176" s="873"/>
      <c r="G176" s="873"/>
      <c r="H176" s="873"/>
      <c r="I176" s="873"/>
    </row>
    <row r="177" spans="1:9">
      <c r="A177" s="873"/>
      <c r="B177" s="873"/>
      <c r="C177" s="873"/>
      <c r="D177" s="873"/>
      <c r="E177" s="873"/>
      <c r="F177" s="873"/>
      <c r="G177" s="873"/>
      <c r="H177" s="873"/>
      <c r="I177" s="873"/>
    </row>
    <row r="178" spans="1:9">
      <c r="A178" s="873"/>
      <c r="B178" s="873"/>
      <c r="C178" s="873"/>
      <c r="D178" s="873"/>
      <c r="E178" s="873"/>
      <c r="F178" s="873"/>
      <c r="G178" s="873"/>
      <c r="H178" s="873"/>
      <c r="I178" s="873"/>
    </row>
    <row r="179" spans="1:9">
      <c r="A179" s="873"/>
      <c r="B179" s="873"/>
      <c r="C179" s="873"/>
      <c r="D179" s="873"/>
      <c r="E179" s="873"/>
      <c r="F179" s="873"/>
      <c r="G179" s="873"/>
      <c r="H179" s="873"/>
      <c r="I179" s="873"/>
    </row>
    <row r="180" spans="1:9">
      <c r="A180" s="873"/>
      <c r="B180" s="873"/>
      <c r="C180" s="873"/>
      <c r="D180" s="873"/>
      <c r="E180" s="873"/>
      <c r="F180" s="873"/>
      <c r="G180" s="873"/>
      <c r="H180" s="873"/>
      <c r="I180" s="873"/>
    </row>
    <row r="181" spans="1:9">
      <c r="A181" s="873"/>
      <c r="B181" s="873"/>
      <c r="C181" s="873"/>
      <c r="D181" s="873"/>
      <c r="E181" s="873"/>
      <c r="F181" s="873"/>
      <c r="G181" s="873"/>
      <c r="H181" s="873"/>
      <c r="I181" s="873"/>
    </row>
    <row r="182" spans="1:9">
      <c r="A182" s="873"/>
      <c r="B182" s="873"/>
      <c r="C182" s="873"/>
      <c r="D182" s="873"/>
      <c r="E182" s="873"/>
      <c r="F182" s="873"/>
      <c r="G182" s="873"/>
      <c r="H182" s="873"/>
      <c r="I182" s="873"/>
    </row>
    <row r="183" spans="1:9">
      <c r="A183" s="873"/>
      <c r="B183" s="873"/>
      <c r="C183" s="873"/>
      <c r="D183" s="873"/>
      <c r="E183" s="873"/>
      <c r="F183" s="873"/>
      <c r="G183" s="873"/>
      <c r="H183" s="873"/>
      <c r="I183" s="873"/>
    </row>
    <row r="184" spans="1:9">
      <c r="A184" s="873"/>
      <c r="B184" s="873"/>
      <c r="C184" s="873"/>
      <c r="D184" s="873"/>
      <c r="E184" s="873"/>
      <c r="F184" s="873"/>
      <c r="G184" s="873"/>
      <c r="H184" s="873"/>
      <c r="I184" s="873"/>
    </row>
    <row r="185" spans="1:9">
      <c r="A185" s="873"/>
      <c r="B185" s="873"/>
      <c r="C185" s="873"/>
      <c r="D185" s="873"/>
      <c r="E185" s="873"/>
      <c r="F185" s="873"/>
      <c r="G185" s="873"/>
      <c r="H185" s="873"/>
      <c r="I185" s="873"/>
    </row>
    <row r="186" spans="1:9">
      <c r="A186" s="873"/>
      <c r="B186" s="873"/>
      <c r="C186" s="873"/>
      <c r="D186" s="873"/>
      <c r="E186" s="873"/>
      <c r="F186" s="873"/>
      <c r="G186" s="873"/>
      <c r="H186" s="873"/>
      <c r="I186" s="873"/>
    </row>
    <row r="187" spans="1:9">
      <c r="A187" s="873"/>
      <c r="B187" s="873"/>
      <c r="C187" s="873"/>
      <c r="D187" s="873"/>
      <c r="E187" s="873"/>
      <c r="F187" s="873"/>
      <c r="G187" s="873"/>
      <c r="H187" s="873"/>
      <c r="I187" s="873"/>
    </row>
    <row r="188" spans="1:9">
      <c r="A188" s="873"/>
      <c r="B188" s="873"/>
      <c r="C188" s="873"/>
      <c r="D188" s="873"/>
      <c r="E188" s="873"/>
      <c r="F188" s="873"/>
      <c r="G188" s="873"/>
      <c r="H188" s="873"/>
      <c r="I188" s="873"/>
    </row>
    <row r="189" spans="1:9">
      <c r="A189" s="873"/>
      <c r="B189" s="873"/>
      <c r="C189" s="873"/>
      <c r="D189" s="873"/>
      <c r="E189" s="873"/>
      <c r="F189" s="873"/>
      <c r="G189" s="873"/>
      <c r="H189" s="873"/>
      <c r="I189" s="873"/>
    </row>
    <row r="190" spans="1:9">
      <c r="A190" s="873"/>
      <c r="B190" s="873"/>
      <c r="C190" s="873"/>
      <c r="D190" s="873"/>
      <c r="E190" s="873"/>
      <c r="F190" s="873"/>
      <c r="G190" s="873"/>
      <c r="H190" s="873"/>
      <c r="I190" s="873"/>
    </row>
    <row r="191" spans="1:9">
      <c r="A191" s="873"/>
      <c r="B191" s="873"/>
      <c r="C191" s="873"/>
      <c r="D191" s="873"/>
      <c r="E191" s="873"/>
      <c r="F191" s="873"/>
      <c r="G191" s="873"/>
      <c r="H191" s="873"/>
      <c r="I191" s="873"/>
    </row>
    <row r="192" spans="1:9">
      <c r="A192" s="873"/>
      <c r="B192" s="873"/>
      <c r="C192" s="873"/>
      <c r="D192" s="873"/>
      <c r="E192" s="873"/>
      <c r="F192" s="873"/>
      <c r="G192" s="873"/>
      <c r="H192" s="873"/>
      <c r="I192" s="873"/>
    </row>
    <row r="193" spans="1:9">
      <c r="A193" s="873"/>
      <c r="B193" s="873"/>
      <c r="C193" s="873"/>
      <c r="D193" s="873"/>
      <c r="E193" s="873"/>
      <c r="F193" s="873"/>
      <c r="G193" s="873"/>
      <c r="H193" s="873"/>
      <c r="I193" s="873"/>
    </row>
    <row r="194" spans="1:9">
      <c r="A194" s="873"/>
      <c r="B194" s="873"/>
      <c r="C194" s="873"/>
      <c r="D194" s="873"/>
      <c r="E194" s="873"/>
      <c r="F194" s="873"/>
      <c r="G194" s="873"/>
      <c r="H194" s="873"/>
      <c r="I194" s="873"/>
    </row>
    <row r="195" spans="1:9">
      <c r="A195" s="873"/>
      <c r="B195" s="873"/>
      <c r="C195" s="873"/>
      <c r="D195" s="873"/>
      <c r="E195" s="873"/>
      <c r="F195" s="873"/>
      <c r="G195" s="873"/>
      <c r="H195" s="873"/>
      <c r="I195" s="873"/>
    </row>
    <row r="196" spans="1:9">
      <c r="A196" s="873"/>
      <c r="B196" s="873"/>
      <c r="C196" s="873"/>
      <c r="D196" s="873"/>
      <c r="E196" s="873"/>
      <c r="F196" s="873"/>
      <c r="G196" s="873"/>
      <c r="H196" s="873"/>
      <c r="I196" s="873"/>
    </row>
    <row r="197" spans="1:9">
      <c r="A197" s="873"/>
      <c r="B197" s="873"/>
      <c r="C197" s="873"/>
      <c r="D197" s="873"/>
      <c r="E197" s="873"/>
      <c r="F197" s="873"/>
      <c r="G197" s="873"/>
      <c r="H197" s="873"/>
      <c r="I197" s="873"/>
    </row>
    <row r="198" spans="1:9">
      <c r="A198" s="873"/>
      <c r="B198" s="873"/>
      <c r="C198" s="873"/>
      <c r="D198" s="873"/>
      <c r="E198" s="873"/>
      <c r="F198" s="873"/>
      <c r="G198" s="873"/>
      <c r="H198" s="873"/>
      <c r="I198" s="873"/>
    </row>
    <row r="199" spans="1:9">
      <c r="A199" s="873"/>
      <c r="B199" s="873"/>
      <c r="C199" s="873"/>
      <c r="D199" s="873"/>
      <c r="E199" s="873"/>
      <c r="F199" s="873"/>
      <c r="G199" s="873"/>
      <c r="H199" s="873"/>
      <c r="I199" s="873"/>
    </row>
    <row r="200" spans="1:9">
      <c r="A200" s="873"/>
      <c r="B200" s="873"/>
      <c r="C200" s="873"/>
      <c r="D200" s="873"/>
      <c r="E200" s="873"/>
      <c r="F200" s="873"/>
      <c r="G200" s="873"/>
      <c r="H200" s="873"/>
      <c r="I200" s="873"/>
    </row>
    <row r="201" spans="1:9">
      <c r="A201" s="873"/>
      <c r="B201" s="873"/>
      <c r="C201" s="873"/>
      <c r="D201" s="873"/>
      <c r="E201" s="873"/>
      <c r="F201" s="873"/>
      <c r="G201" s="873"/>
      <c r="H201" s="873"/>
      <c r="I201" s="873"/>
    </row>
    <row r="202" spans="1:9">
      <c r="A202" s="873"/>
      <c r="B202" s="873"/>
      <c r="C202" s="873"/>
      <c r="D202" s="873"/>
      <c r="E202" s="873"/>
      <c r="F202" s="873"/>
      <c r="G202" s="873"/>
      <c r="H202" s="873"/>
      <c r="I202" s="873"/>
    </row>
    <row r="203" spans="1:9">
      <c r="A203" s="873"/>
      <c r="B203" s="873"/>
      <c r="C203" s="873"/>
      <c r="D203" s="873"/>
      <c r="E203" s="873"/>
      <c r="F203" s="873"/>
      <c r="G203" s="873"/>
      <c r="H203" s="873"/>
      <c r="I203" s="873"/>
    </row>
    <row r="204" spans="1:9">
      <c r="A204" s="873"/>
      <c r="B204" s="873"/>
      <c r="C204" s="873"/>
      <c r="D204" s="873"/>
      <c r="E204" s="873"/>
      <c r="F204" s="873"/>
      <c r="G204" s="873"/>
      <c r="H204" s="873"/>
      <c r="I204" s="873"/>
    </row>
    <row r="205" spans="1:9">
      <c r="A205" s="873"/>
      <c r="B205" s="873"/>
      <c r="C205" s="873"/>
      <c r="D205" s="873"/>
      <c r="E205" s="873"/>
      <c r="F205" s="873"/>
      <c r="G205" s="873"/>
      <c r="H205" s="873"/>
      <c r="I205" s="873"/>
    </row>
    <row r="206" spans="1:9">
      <c r="A206" s="873"/>
      <c r="B206" s="873"/>
      <c r="C206" s="873"/>
      <c r="D206" s="873"/>
      <c r="E206" s="873"/>
      <c r="F206" s="873"/>
      <c r="G206" s="873"/>
      <c r="H206" s="873"/>
      <c r="I206" s="873"/>
    </row>
    <row r="207" spans="1:9">
      <c r="A207" s="873"/>
      <c r="B207" s="873"/>
      <c r="C207" s="873"/>
      <c r="D207" s="873"/>
      <c r="E207" s="873"/>
      <c r="F207" s="873"/>
      <c r="G207" s="873"/>
      <c r="H207" s="873"/>
      <c r="I207" s="873"/>
    </row>
    <row r="208" spans="1:9">
      <c r="A208" s="873"/>
      <c r="B208" s="873"/>
      <c r="C208" s="873"/>
      <c r="D208" s="873"/>
      <c r="E208" s="873"/>
      <c r="F208" s="873"/>
      <c r="G208" s="873"/>
      <c r="H208" s="873"/>
      <c r="I208" s="873"/>
    </row>
    <row r="209" spans="1:9">
      <c r="A209" s="873"/>
      <c r="B209" s="873"/>
      <c r="C209" s="873"/>
      <c r="D209" s="873"/>
      <c r="E209" s="873"/>
      <c r="F209" s="873"/>
      <c r="G209" s="873"/>
      <c r="H209" s="873"/>
      <c r="I209" s="873"/>
    </row>
    <row r="210" spans="1:9">
      <c r="A210" s="873"/>
      <c r="B210" s="873"/>
      <c r="C210" s="873"/>
      <c r="D210" s="873"/>
      <c r="E210" s="873"/>
      <c r="F210" s="873"/>
      <c r="G210" s="873"/>
      <c r="H210" s="873"/>
      <c r="I210" s="873"/>
    </row>
    <row r="211" spans="1:9">
      <c r="A211" s="873"/>
      <c r="B211" s="873"/>
      <c r="C211" s="873"/>
      <c r="D211" s="873"/>
      <c r="E211" s="873"/>
      <c r="F211" s="873"/>
      <c r="G211" s="873"/>
      <c r="H211" s="873"/>
      <c r="I211" s="873"/>
    </row>
    <row r="212" spans="1:9">
      <c r="A212" s="873"/>
      <c r="B212" s="873"/>
      <c r="C212" s="873"/>
      <c r="D212" s="873"/>
      <c r="E212" s="873"/>
      <c r="F212" s="873"/>
      <c r="G212" s="873"/>
      <c r="H212" s="873"/>
      <c r="I212" s="873"/>
    </row>
    <row r="213" spans="1:9">
      <c r="A213" s="873"/>
      <c r="B213" s="873"/>
      <c r="C213" s="873"/>
      <c r="D213" s="873"/>
      <c r="E213" s="873"/>
      <c r="F213" s="873"/>
      <c r="G213" s="873"/>
      <c r="H213" s="873"/>
      <c r="I213" s="873"/>
    </row>
    <row r="214" spans="1:9">
      <c r="A214" s="873"/>
      <c r="B214" s="873"/>
      <c r="C214" s="873"/>
      <c r="D214" s="873"/>
      <c r="E214" s="873"/>
      <c r="F214" s="873"/>
      <c r="G214" s="873"/>
      <c r="H214" s="873"/>
      <c r="I214" s="873"/>
    </row>
    <row r="215" spans="1:9">
      <c r="A215" s="873"/>
      <c r="B215" s="873"/>
      <c r="C215" s="873"/>
      <c r="D215" s="873"/>
      <c r="E215" s="873"/>
      <c r="F215" s="873"/>
      <c r="G215" s="873"/>
      <c r="H215" s="873"/>
      <c r="I215" s="873"/>
    </row>
    <row r="216" spans="1:9">
      <c r="A216" s="873"/>
      <c r="B216" s="873"/>
      <c r="C216" s="873"/>
      <c r="D216" s="873"/>
      <c r="E216" s="873"/>
      <c r="F216" s="873"/>
      <c r="G216" s="873"/>
      <c r="H216" s="873"/>
      <c r="I216" s="873"/>
    </row>
    <row r="217" spans="1:9">
      <c r="A217" s="873"/>
      <c r="B217" s="873"/>
      <c r="C217" s="873"/>
      <c r="D217" s="873"/>
      <c r="E217" s="873"/>
      <c r="F217" s="873"/>
      <c r="G217" s="873"/>
      <c r="H217" s="873"/>
      <c r="I217" s="873"/>
    </row>
    <row r="218" spans="1:9">
      <c r="A218" s="873"/>
      <c r="B218" s="873"/>
      <c r="C218" s="873"/>
      <c r="D218" s="873"/>
      <c r="E218" s="873"/>
      <c r="F218" s="873"/>
      <c r="G218" s="873"/>
      <c r="H218" s="873"/>
      <c r="I218" s="873"/>
    </row>
    <row r="219" spans="1:9">
      <c r="A219" s="873"/>
      <c r="B219" s="873"/>
      <c r="C219" s="873"/>
      <c r="D219" s="873"/>
      <c r="E219" s="873"/>
      <c r="F219" s="873"/>
      <c r="G219" s="873"/>
      <c r="H219" s="873"/>
      <c r="I219" s="873"/>
    </row>
    <row r="220" spans="1:9">
      <c r="A220" s="873"/>
      <c r="B220" s="873"/>
      <c r="C220" s="873"/>
      <c r="D220" s="873"/>
      <c r="E220" s="873"/>
      <c r="F220" s="873"/>
      <c r="G220" s="873"/>
      <c r="H220" s="873"/>
      <c r="I220" s="873"/>
    </row>
    <row r="221" spans="1:9">
      <c r="A221" s="873"/>
      <c r="B221" s="873"/>
      <c r="C221" s="873"/>
      <c r="D221" s="873"/>
      <c r="E221" s="873"/>
      <c r="F221" s="873"/>
      <c r="G221" s="873"/>
      <c r="H221" s="873"/>
      <c r="I221" s="873"/>
    </row>
    <row r="222" spans="1:9">
      <c r="A222" s="873"/>
      <c r="B222" s="873"/>
      <c r="C222" s="873"/>
      <c r="D222" s="873"/>
      <c r="E222" s="873"/>
      <c r="F222" s="873"/>
      <c r="G222" s="873"/>
      <c r="H222" s="873"/>
      <c r="I222" s="873"/>
    </row>
    <row r="223" spans="1:9">
      <c r="A223" s="873"/>
      <c r="B223" s="873"/>
      <c r="C223" s="873"/>
      <c r="D223" s="873"/>
      <c r="E223" s="873"/>
      <c r="F223" s="873"/>
      <c r="G223" s="873"/>
      <c r="H223" s="873"/>
      <c r="I223" s="873"/>
    </row>
    <row r="224" spans="1:9">
      <c r="A224" s="873"/>
      <c r="B224" s="873"/>
      <c r="C224" s="873"/>
      <c r="D224" s="873"/>
      <c r="E224" s="873"/>
      <c r="F224" s="873"/>
      <c r="G224" s="873"/>
      <c r="H224" s="873"/>
      <c r="I224" s="873"/>
    </row>
    <row r="225" spans="1:9">
      <c r="A225" s="873"/>
      <c r="B225" s="873"/>
      <c r="C225" s="873"/>
      <c r="D225" s="873"/>
      <c r="E225" s="873"/>
      <c r="F225" s="873"/>
      <c r="G225" s="873"/>
      <c r="H225" s="873"/>
      <c r="I225" s="873"/>
    </row>
    <row r="226" spans="1:9">
      <c r="A226" s="873"/>
      <c r="B226" s="873"/>
      <c r="C226" s="873"/>
      <c r="D226" s="873"/>
      <c r="E226" s="873"/>
      <c r="F226" s="873"/>
      <c r="G226" s="873"/>
      <c r="H226" s="873"/>
      <c r="I226" s="873"/>
    </row>
    <row r="227" spans="1:9">
      <c r="A227" s="873"/>
      <c r="B227" s="873"/>
      <c r="C227" s="873"/>
      <c r="D227" s="873"/>
      <c r="E227" s="873"/>
      <c r="F227" s="873"/>
      <c r="G227" s="873"/>
      <c r="H227" s="873"/>
      <c r="I227" s="873"/>
    </row>
    <row r="228" spans="1:9">
      <c r="A228" s="873"/>
      <c r="B228" s="873"/>
      <c r="C228" s="873"/>
      <c r="D228" s="873"/>
      <c r="E228" s="873"/>
      <c r="F228" s="873"/>
      <c r="G228" s="873"/>
      <c r="H228" s="873"/>
      <c r="I228" s="873"/>
    </row>
    <row r="229" spans="1:9">
      <c r="A229" s="873"/>
      <c r="B229" s="873"/>
      <c r="C229" s="873"/>
      <c r="D229" s="873"/>
      <c r="E229" s="873"/>
      <c r="F229" s="873"/>
      <c r="G229" s="873"/>
      <c r="H229" s="873"/>
      <c r="I229" s="873"/>
    </row>
    <row r="230" spans="1:9">
      <c r="A230" s="873"/>
      <c r="B230" s="873"/>
      <c r="C230" s="873"/>
      <c r="D230" s="873"/>
      <c r="E230" s="873"/>
      <c r="F230" s="873"/>
      <c r="G230" s="873"/>
      <c r="H230" s="873"/>
      <c r="I230" s="873"/>
    </row>
    <row r="231" spans="1:9">
      <c r="A231" s="873"/>
      <c r="B231" s="873"/>
      <c r="C231" s="873"/>
      <c r="D231" s="873"/>
      <c r="E231" s="873"/>
      <c r="F231" s="873"/>
      <c r="G231" s="873"/>
      <c r="H231" s="873"/>
      <c r="I231" s="873"/>
    </row>
    <row r="232" spans="1:9">
      <c r="A232" s="873"/>
      <c r="B232" s="873"/>
      <c r="C232" s="873"/>
      <c r="D232" s="873"/>
      <c r="E232" s="873"/>
      <c r="F232" s="873"/>
      <c r="G232" s="873"/>
      <c r="H232" s="873"/>
      <c r="I232" s="873"/>
    </row>
    <row r="233" spans="1:9">
      <c r="A233" s="873"/>
      <c r="B233" s="873"/>
      <c r="C233" s="873"/>
      <c r="D233" s="873"/>
      <c r="E233" s="873"/>
      <c r="F233" s="873"/>
      <c r="G233" s="873"/>
      <c r="H233" s="873"/>
      <c r="I233" s="873"/>
    </row>
    <row r="234" spans="1:9">
      <c r="A234" s="873"/>
      <c r="B234" s="873"/>
      <c r="C234" s="873"/>
      <c r="D234" s="873"/>
      <c r="E234" s="873"/>
      <c r="F234" s="873"/>
      <c r="G234" s="873"/>
      <c r="H234" s="873"/>
      <c r="I234" s="873"/>
    </row>
    <row r="235" spans="1:9">
      <c r="A235" s="873"/>
      <c r="B235" s="873"/>
      <c r="C235" s="873"/>
      <c r="D235" s="873"/>
      <c r="E235" s="873"/>
      <c r="F235" s="873"/>
      <c r="G235" s="873"/>
      <c r="H235" s="873"/>
      <c r="I235" s="873"/>
    </row>
    <row r="236" spans="1:9">
      <c r="A236" s="873"/>
      <c r="B236" s="873"/>
      <c r="C236" s="873"/>
      <c r="D236" s="873"/>
      <c r="E236" s="873"/>
      <c r="F236" s="873"/>
      <c r="G236" s="873"/>
      <c r="H236" s="873"/>
      <c r="I236" s="873"/>
    </row>
    <row r="237" spans="1:9">
      <c r="A237" s="873"/>
      <c r="B237" s="873"/>
      <c r="C237" s="873"/>
      <c r="D237" s="873"/>
      <c r="E237" s="873"/>
      <c r="F237" s="873"/>
      <c r="G237" s="873"/>
      <c r="H237" s="873"/>
      <c r="I237" s="873"/>
    </row>
    <row r="238" spans="1:9">
      <c r="A238" s="873"/>
      <c r="B238" s="873"/>
      <c r="C238" s="873"/>
      <c r="D238" s="873"/>
      <c r="E238" s="873"/>
      <c r="F238" s="873"/>
      <c r="G238" s="873"/>
      <c r="H238" s="873"/>
      <c r="I238" s="873"/>
    </row>
    <row r="239" spans="1:9">
      <c r="A239" s="873"/>
      <c r="B239" s="873"/>
      <c r="C239" s="873"/>
      <c r="D239" s="873"/>
      <c r="E239" s="873"/>
      <c r="F239" s="873"/>
      <c r="G239" s="873"/>
      <c r="H239" s="873"/>
      <c r="I239" s="873"/>
    </row>
    <row r="240" spans="1:9">
      <c r="A240" s="873"/>
      <c r="B240" s="873"/>
      <c r="C240" s="873"/>
      <c r="D240" s="873"/>
      <c r="E240" s="873"/>
      <c r="F240" s="873"/>
      <c r="G240" s="873"/>
      <c r="H240" s="873"/>
      <c r="I240" s="873"/>
    </row>
    <row r="241" spans="1:9">
      <c r="A241" s="873"/>
      <c r="B241" s="873"/>
      <c r="C241" s="873"/>
      <c r="D241" s="873"/>
      <c r="E241" s="873"/>
      <c r="F241" s="873"/>
      <c r="G241" s="873"/>
      <c r="H241" s="873"/>
      <c r="I241" s="873"/>
    </row>
    <row r="242" spans="1:9">
      <c r="A242" s="873"/>
      <c r="B242" s="873"/>
      <c r="C242" s="873"/>
      <c r="D242" s="873"/>
      <c r="E242" s="873"/>
      <c r="F242" s="873"/>
      <c r="G242" s="873"/>
      <c r="H242" s="873"/>
      <c r="I242" s="873"/>
    </row>
    <row r="243" spans="1:9">
      <c r="A243" s="873"/>
      <c r="B243" s="873"/>
      <c r="C243" s="873"/>
      <c r="D243" s="873"/>
      <c r="E243" s="873"/>
      <c r="F243" s="873"/>
      <c r="G243" s="873"/>
      <c r="H243" s="873"/>
      <c r="I243" s="873"/>
    </row>
    <row r="244" spans="1:9">
      <c r="A244" s="873"/>
      <c r="B244" s="873"/>
      <c r="C244" s="873"/>
      <c r="D244" s="873"/>
      <c r="E244" s="873"/>
      <c r="F244" s="873"/>
      <c r="G244" s="873"/>
      <c r="H244" s="873"/>
      <c r="I244" s="873"/>
    </row>
    <row r="245" spans="1:9">
      <c r="A245" s="873"/>
      <c r="B245" s="873"/>
      <c r="C245" s="873"/>
      <c r="D245" s="873"/>
      <c r="E245" s="873"/>
      <c r="F245" s="873"/>
      <c r="G245" s="873"/>
      <c r="H245" s="873"/>
      <c r="I245" s="873"/>
    </row>
    <row r="246" spans="1:9">
      <c r="A246" s="873"/>
      <c r="B246" s="873"/>
      <c r="C246" s="873"/>
      <c r="D246" s="873"/>
      <c r="E246" s="873"/>
      <c r="F246" s="873"/>
      <c r="G246" s="873"/>
      <c r="H246" s="873"/>
      <c r="I246" s="873"/>
    </row>
    <row r="247" spans="1:9">
      <c r="A247" s="873"/>
      <c r="B247" s="873"/>
      <c r="C247" s="873"/>
      <c r="D247" s="873"/>
      <c r="E247" s="873"/>
      <c r="F247" s="873"/>
      <c r="G247" s="873"/>
      <c r="H247" s="873"/>
      <c r="I247" s="873"/>
    </row>
    <row r="248" spans="1:9">
      <c r="A248" s="873"/>
      <c r="B248" s="873"/>
      <c r="C248" s="873"/>
      <c r="D248" s="873"/>
      <c r="E248" s="873"/>
      <c r="F248" s="873"/>
      <c r="G248" s="873"/>
      <c r="H248" s="873"/>
      <c r="I248" s="873"/>
    </row>
    <row r="249" spans="1:9">
      <c r="A249" s="873"/>
      <c r="B249" s="873"/>
      <c r="C249" s="873"/>
      <c r="D249" s="873"/>
      <c r="E249" s="873"/>
      <c r="F249" s="873"/>
      <c r="G249" s="873"/>
      <c r="H249" s="873"/>
      <c r="I249" s="873"/>
    </row>
    <row r="250" spans="1:9">
      <c r="A250" s="873"/>
      <c r="B250" s="873"/>
      <c r="C250" s="873"/>
      <c r="D250" s="873"/>
      <c r="E250" s="873"/>
      <c r="F250" s="873"/>
      <c r="G250" s="873"/>
      <c r="H250" s="873"/>
      <c r="I250" s="873"/>
    </row>
    <row r="251" spans="1:9">
      <c r="A251" s="873"/>
      <c r="B251" s="873"/>
      <c r="C251" s="873"/>
      <c r="D251" s="873"/>
      <c r="E251" s="873"/>
      <c r="F251" s="873"/>
      <c r="G251" s="873"/>
      <c r="H251" s="873"/>
      <c r="I251" s="873"/>
    </row>
    <row r="252" spans="1:9">
      <c r="A252" s="873"/>
      <c r="B252" s="873"/>
      <c r="C252" s="873"/>
      <c r="D252" s="873"/>
      <c r="E252" s="873"/>
      <c r="F252" s="873"/>
      <c r="G252" s="873"/>
      <c r="H252" s="873"/>
      <c r="I252" s="873"/>
    </row>
    <row r="253" spans="1:9">
      <c r="A253" s="873"/>
      <c r="B253" s="873"/>
      <c r="C253" s="873"/>
      <c r="D253" s="873"/>
      <c r="E253" s="873"/>
      <c r="F253" s="873"/>
      <c r="G253" s="873"/>
      <c r="H253" s="873"/>
      <c r="I253" s="873"/>
    </row>
    <row r="254" spans="1:9">
      <c r="A254" s="873"/>
      <c r="B254" s="873"/>
      <c r="C254" s="873"/>
      <c r="D254" s="873"/>
      <c r="E254" s="873"/>
      <c r="F254" s="873"/>
      <c r="G254" s="873"/>
      <c r="H254" s="873"/>
      <c r="I254" s="873"/>
    </row>
    <row r="255" spans="1:9">
      <c r="A255" s="873"/>
      <c r="B255" s="873"/>
      <c r="C255" s="873"/>
      <c r="D255" s="873"/>
      <c r="E255" s="873"/>
      <c r="F255" s="873"/>
      <c r="G255" s="873"/>
      <c r="H255" s="873"/>
      <c r="I255" s="873"/>
    </row>
    <row r="256" spans="1:9">
      <c r="A256" s="873"/>
      <c r="B256" s="873"/>
      <c r="C256" s="873"/>
      <c r="D256" s="873"/>
      <c r="E256" s="873"/>
      <c r="F256" s="873"/>
      <c r="G256" s="873"/>
      <c r="H256" s="873"/>
      <c r="I256" s="873"/>
    </row>
    <row r="257" spans="1:9">
      <c r="A257" s="873"/>
      <c r="B257" s="873"/>
      <c r="C257" s="873"/>
      <c r="D257" s="873"/>
      <c r="E257" s="873"/>
      <c r="F257" s="873"/>
      <c r="G257" s="873"/>
      <c r="H257" s="873"/>
      <c r="I257" s="873"/>
    </row>
    <row r="258" spans="1:9">
      <c r="A258" s="873"/>
      <c r="B258" s="873"/>
      <c r="C258" s="873"/>
      <c r="D258" s="873"/>
      <c r="E258" s="873"/>
      <c r="F258" s="873"/>
      <c r="G258" s="873"/>
      <c r="H258" s="873"/>
      <c r="I258" s="873"/>
    </row>
    <row r="259" spans="1:9">
      <c r="A259" s="873"/>
      <c r="B259" s="873"/>
      <c r="C259" s="873"/>
      <c r="D259" s="873"/>
      <c r="E259" s="873"/>
      <c r="F259" s="873"/>
      <c r="G259" s="873"/>
      <c r="H259" s="873"/>
      <c r="I259" s="873"/>
    </row>
    <row r="260" spans="1:9">
      <c r="A260" s="873"/>
      <c r="B260" s="873"/>
      <c r="C260" s="873"/>
      <c r="D260" s="873"/>
      <c r="E260" s="873"/>
      <c r="F260" s="873"/>
      <c r="G260" s="873"/>
      <c r="H260" s="873"/>
      <c r="I260" s="873"/>
    </row>
    <row r="261" spans="1:9">
      <c r="A261" s="873"/>
      <c r="B261" s="873"/>
      <c r="C261" s="873"/>
      <c r="D261" s="873"/>
      <c r="E261" s="873"/>
      <c r="F261" s="873"/>
      <c r="G261" s="873"/>
      <c r="H261" s="873"/>
      <c r="I261" s="873"/>
    </row>
    <row r="262" spans="1:9">
      <c r="A262" s="873"/>
      <c r="B262" s="873"/>
      <c r="C262" s="873"/>
      <c r="D262" s="873"/>
      <c r="E262" s="873"/>
      <c r="F262" s="873"/>
      <c r="G262" s="873"/>
      <c r="H262" s="873"/>
      <c r="I262" s="873"/>
    </row>
    <row r="263" spans="1:9">
      <c r="A263" s="873"/>
      <c r="B263" s="873"/>
      <c r="C263" s="873"/>
      <c r="D263" s="873"/>
      <c r="E263" s="873"/>
      <c r="F263" s="873"/>
      <c r="G263" s="873"/>
      <c r="H263" s="873"/>
      <c r="I263" s="873"/>
    </row>
    <row r="264" spans="1:9">
      <c r="A264" s="873"/>
      <c r="B264" s="873"/>
      <c r="C264" s="873"/>
      <c r="D264" s="873"/>
      <c r="E264" s="873"/>
      <c r="F264" s="873"/>
      <c r="G264" s="873"/>
      <c r="H264" s="873"/>
      <c r="I264" s="873"/>
    </row>
    <row r="265" spans="1:9">
      <c r="A265" s="873"/>
      <c r="B265" s="873"/>
      <c r="C265" s="873"/>
      <c r="D265" s="873"/>
      <c r="E265" s="873"/>
      <c r="F265" s="873"/>
      <c r="G265" s="873"/>
      <c r="H265" s="873"/>
      <c r="I265" s="873"/>
    </row>
    <row r="266" spans="1:9">
      <c r="A266" s="873"/>
      <c r="B266" s="873"/>
      <c r="C266" s="873"/>
      <c r="D266" s="873"/>
      <c r="E266" s="873"/>
      <c r="F266" s="873"/>
      <c r="G266" s="873"/>
      <c r="H266" s="873"/>
      <c r="I266" s="873"/>
    </row>
    <row r="267" spans="1:9">
      <c r="A267" s="873"/>
      <c r="B267" s="873"/>
      <c r="C267" s="873"/>
      <c r="D267" s="873"/>
      <c r="E267" s="873"/>
      <c r="F267" s="873"/>
      <c r="G267" s="873"/>
      <c r="H267" s="873"/>
      <c r="I267" s="873"/>
    </row>
    <row r="268" spans="1:9">
      <c r="A268" s="873"/>
      <c r="B268" s="873"/>
      <c r="C268" s="873"/>
      <c r="D268" s="873"/>
      <c r="E268" s="873"/>
      <c r="F268" s="873"/>
      <c r="G268" s="873"/>
      <c r="H268" s="873"/>
      <c r="I268" s="873"/>
    </row>
    <row r="269" spans="1:9">
      <c r="A269" s="873"/>
      <c r="B269" s="873"/>
      <c r="C269" s="873"/>
      <c r="D269" s="873"/>
      <c r="E269" s="873"/>
      <c r="F269" s="873"/>
      <c r="G269" s="873"/>
      <c r="H269" s="873"/>
      <c r="I269" s="873"/>
    </row>
    <row r="270" spans="1:9">
      <c r="A270" s="873"/>
      <c r="B270" s="873"/>
      <c r="C270" s="873"/>
      <c r="D270" s="873"/>
      <c r="E270" s="873"/>
      <c r="F270" s="873"/>
      <c r="G270" s="873"/>
      <c r="H270" s="873"/>
      <c r="I270" s="873"/>
    </row>
    <row r="271" spans="1:9">
      <c r="A271" s="873"/>
      <c r="B271" s="873"/>
      <c r="C271" s="873"/>
      <c r="D271" s="873"/>
      <c r="E271" s="873"/>
      <c r="F271" s="873"/>
      <c r="G271" s="873"/>
      <c r="H271" s="873"/>
      <c r="I271" s="873"/>
    </row>
    <row r="272" spans="1:9">
      <c r="A272" s="873"/>
      <c r="B272" s="873"/>
      <c r="C272" s="873"/>
      <c r="D272" s="873"/>
      <c r="E272" s="873"/>
      <c r="F272" s="873"/>
      <c r="G272" s="873"/>
      <c r="H272" s="873"/>
      <c r="I272" s="873"/>
    </row>
    <row r="273" spans="1:9">
      <c r="A273" s="873"/>
      <c r="B273" s="873"/>
      <c r="C273" s="873"/>
      <c r="D273" s="873"/>
      <c r="E273" s="873"/>
      <c r="F273" s="873"/>
      <c r="G273" s="873"/>
      <c r="H273" s="873"/>
      <c r="I273" s="873"/>
    </row>
    <row r="274" spans="1:9">
      <c r="A274" s="873"/>
      <c r="B274" s="873"/>
      <c r="C274" s="873"/>
      <c r="D274" s="873"/>
      <c r="E274" s="873"/>
      <c r="F274" s="873"/>
      <c r="G274" s="873"/>
      <c r="H274" s="873"/>
      <c r="I274" s="873"/>
    </row>
    <row r="275" spans="1:9">
      <c r="A275" s="873"/>
      <c r="B275" s="873"/>
      <c r="C275" s="873"/>
      <c r="D275" s="873"/>
      <c r="E275" s="873"/>
      <c r="F275" s="873"/>
      <c r="G275" s="873"/>
      <c r="H275" s="873"/>
      <c r="I275" s="873"/>
    </row>
    <row r="276" spans="1:9">
      <c r="A276" s="873"/>
      <c r="B276" s="873"/>
      <c r="C276" s="873"/>
      <c r="D276" s="873"/>
      <c r="E276" s="873"/>
      <c r="F276" s="873"/>
      <c r="G276" s="873"/>
      <c r="H276" s="873"/>
      <c r="I276" s="873"/>
    </row>
    <row r="277" spans="1:9">
      <c r="A277" s="873"/>
      <c r="B277" s="873"/>
      <c r="C277" s="873"/>
      <c r="D277" s="873"/>
      <c r="E277" s="873"/>
      <c r="F277" s="873"/>
      <c r="G277" s="873"/>
      <c r="H277" s="873"/>
      <c r="I277" s="873"/>
    </row>
    <row r="278" spans="1:9">
      <c r="A278" s="873"/>
      <c r="B278" s="873"/>
      <c r="C278" s="873"/>
      <c r="D278" s="873"/>
      <c r="E278" s="873"/>
      <c r="F278" s="873"/>
      <c r="G278" s="873"/>
      <c r="H278" s="873"/>
      <c r="I278" s="873"/>
    </row>
    <row r="279" spans="1:9">
      <c r="A279" s="873"/>
      <c r="B279" s="873"/>
      <c r="C279" s="873"/>
      <c r="D279" s="873"/>
      <c r="E279" s="873"/>
      <c r="F279" s="873"/>
      <c r="G279" s="873"/>
      <c r="H279" s="873"/>
      <c r="I279" s="873"/>
    </row>
    <row r="280" spans="1:9">
      <c r="A280" s="873"/>
      <c r="B280" s="873"/>
      <c r="C280" s="873"/>
      <c r="D280" s="873"/>
      <c r="E280" s="873"/>
      <c r="F280" s="873"/>
      <c r="G280" s="873"/>
      <c r="H280" s="873"/>
      <c r="I280" s="873"/>
    </row>
    <row r="281" spans="1:9">
      <c r="A281" s="873"/>
      <c r="B281" s="873"/>
      <c r="C281" s="873"/>
      <c r="D281" s="873"/>
      <c r="E281" s="873"/>
      <c r="F281" s="873"/>
      <c r="G281" s="873"/>
      <c r="H281" s="873"/>
      <c r="I281" s="873"/>
    </row>
    <row r="282" spans="1:9">
      <c r="A282" s="873"/>
      <c r="B282" s="873"/>
      <c r="C282" s="873"/>
      <c r="D282" s="873"/>
      <c r="E282" s="873"/>
      <c r="F282" s="873"/>
      <c r="G282" s="873"/>
      <c r="H282" s="873"/>
      <c r="I282" s="873"/>
    </row>
    <row r="283" spans="1:9">
      <c r="A283" s="873"/>
      <c r="B283" s="873"/>
      <c r="C283" s="873"/>
      <c r="D283" s="873"/>
      <c r="E283" s="873"/>
      <c r="F283" s="873"/>
      <c r="G283" s="873"/>
      <c r="H283" s="873"/>
      <c r="I283" s="873"/>
    </row>
    <row r="284" spans="1:9">
      <c r="A284" s="873"/>
      <c r="B284" s="873"/>
      <c r="C284" s="873"/>
      <c r="D284" s="873"/>
      <c r="E284" s="873"/>
      <c r="F284" s="873"/>
      <c r="G284" s="873"/>
      <c r="H284" s="873"/>
      <c r="I284" s="873"/>
    </row>
    <row r="285" spans="1:9">
      <c r="A285" s="873"/>
      <c r="B285" s="873"/>
      <c r="C285" s="873"/>
      <c r="D285" s="873"/>
      <c r="E285" s="873"/>
      <c r="F285" s="873"/>
      <c r="G285" s="873"/>
      <c r="H285" s="873"/>
      <c r="I285" s="873"/>
    </row>
    <row r="286" spans="1:9">
      <c r="A286" s="873"/>
      <c r="B286" s="873"/>
      <c r="C286" s="873"/>
      <c r="D286" s="873"/>
      <c r="E286" s="873"/>
      <c r="F286" s="873"/>
      <c r="G286" s="873"/>
      <c r="H286" s="873"/>
      <c r="I286" s="873"/>
    </row>
    <row r="287" spans="1:9">
      <c r="A287" s="873"/>
      <c r="B287" s="873"/>
      <c r="C287" s="873"/>
      <c r="D287" s="873"/>
      <c r="E287" s="873"/>
      <c r="F287" s="873"/>
      <c r="G287" s="873"/>
      <c r="H287" s="873"/>
      <c r="I287" s="873"/>
    </row>
    <row r="288" spans="1:9">
      <c r="A288" s="873"/>
      <c r="B288" s="873"/>
      <c r="C288" s="873"/>
      <c r="D288" s="873"/>
      <c r="E288" s="873"/>
      <c r="F288" s="873"/>
      <c r="G288" s="873"/>
      <c r="H288" s="873"/>
      <c r="I288" s="873"/>
    </row>
    <row r="289" spans="1:9">
      <c r="A289" s="873"/>
      <c r="B289" s="873"/>
      <c r="C289" s="873"/>
      <c r="D289" s="873"/>
      <c r="E289" s="873"/>
      <c r="F289" s="873"/>
      <c r="G289" s="873"/>
      <c r="H289" s="873"/>
      <c r="I289" s="873"/>
    </row>
    <row r="290" spans="1:9">
      <c r="A290" s="873"/>
      <c r="B290" s="873"/>
      <c r="C290" s="873"/>
      <c r="D290" s="873"/>
      <c r="E290" s="873"/>
      <c r="F290" s="873"/>
      <c r="G290" s="873"/>
      <c r="H290" s="873"/>
      <c r="I290" s="873"/>
    </row>
    <row r="291" spans="1:9">
      <c r="A291" s="873"/>
      <c r="B291" s="873"/>
      <c r="C291" s="873"/>
      <c r="D291" s="873"/>
      <c r="E291" s="873"/>
      <c r="F291" s="873"/>
      <c r="G291" s="873"/>
      <c r="H291" s="873"/>
      <c r="I291" s="873"/>
    </row>
    <row r="292" spans="1:9">
      <c r="A292" s="873"/>
      <c r="B292" s="873"/>
      <c r="C292" s="873"/>
      <c r="D292" s="873"/>
      <c r="E292" s="873"/>
      <c r="F292" s="873"/>
      <c r="G292" s="873"/>
      <c r="H292" s="873"/>
      <c r="I292" s="873"/>
    </row>
    <row r="293" spans="1:9">
      <c r="A293" s="873"/>
      <c r="B293" s="873"/>
      <c r="C293" s="873"/>
      <c r="D293" s="873"/>
      <c r="E293" s="873"/>
      <c r="F293" s="873"/>
      <c r="G293" s="873"/>
      <c r="H293" s="873"/>
      <c r="I293" s="873"/>
    </row>
    <row r="294" spans="1:9">
      <c r="A294" s="873"/>
      <c r="B294" s="873"/>
      <c r="C294" s="873"/>
      <c r="D294" s="873"/>
      <c r="E294" s="873"/>
      <c r="F294" s="873"/>
      <c r="G294" s="873"/>
      <c r="H294" s="873"/>
      <c r="I294" s="873"/>
    </row>
    <row r="295" spans="1:9">
      <c r="A295" s="873"/>
      <c r="B295" s="873"/>
      <c r="C295" s="873"/>
      <c r="D295" s="873"/>
      <c r="E295" s="873"/>
      <c r="F295" s="873"/>
      <c r="G295" s="873"/>
      <c r="H295" s="873"/>
      <c r="I295" s="873"/>
    </row>
    <row r="296" spans="1:9">
      <c r="A296" s="873"/>
      <c r="B296" s="873"/>
      <c r="C296" s="873"/>
      <c r="D296" s="873"/>
      <c r="E296" s="873"/>
      <c r="F296" s="873"/>
      <c r="G296" s="873"/>
      <c r="H296" s="873"/>
      <c r="I296" s="873"/>
    </row>
    <row r="297" spans="1:9">
      <c r="A297" s="873"/>
      <c r="B297" s="873"/>
      <c r="C297" s="873"/>
      <c r="D297" s="873"/>
      <c r="E297" s="873"/>
      <c r="F297" s="873"/>
      <c r="G297" s="873"/>
      <c r="H297" s="873"/>
      <c r="I297" s="873"/>
    </row>
    <row r="298" spans="1:9">
      <c r="A298" s="873"/>
      <c r="B298" s="873"/>
      <c r="C298" s="873"/>
      <c r="D298" s="873"/>
      <c r="E298" s="873"/>
      <c r="F298" s="873"/>
      <c r="G298" s="873"/>
      <c r="H298" s="873"/>
      <c r="I298" s="873"/>
    </row>
    <row r="299" spans="1:9">
      <c r="A299" s="873"/>
      <c r="B299" s="873"/>
      <c r="C299" s="873"/>
      <c r="D299" s="873"/>
      <c r="E299" s="873"/>
      <c r="F299" s="873"/>
      <c r="G299" s="873"/>
      <c r="H299" s="873"/>
      <c r="I299" s="873"/>
    </row>
    <row r="300" spans="1:9">
      <c r="A300" s="873"/>
      <c r="B300" s="873"/>
      <c r="C300" s="873"/>
      <c r="D300" s="873"/>
      <c r="E300" s="873"/>
      <c r="F300" s="873"/>
      <c r="G300" s="873"/>
      <c r="H300" s="873"/>
      <c r="I300" s="873"/>
    </row>
    <row r="301" spans="1:9">
      <c r="A301" s="873"/>
      <c r="B301" s="873"/>
      <c r="C301" s="873"/>
      <c r="D301" s="873"/>
      <c r="E301" s="873"/>
      <c r="F301" s="873"/>
      <c r="G301" s="873"/>
      <c r="H301" s="873"/>
      <c r="I301" s="873"/>
    </row>
    <row r="302" spans="1:9">
      <c r="A302" s="873"/>
      <c r="B302" s="873"/>
      <c r="C302" s="873"/>
      <c r="D302" s="873"/>
      <c r="E302" s="873"/>
      <c r="F302" s="873"/>
      <c r="G302" s="873"/>
      <c r="H302" s="873"/>
      <c r="I302" s="873"/>
    </row>
    <row r="303" spans="1:9">
      <c r="A303" s="873"/>
      <c r="B303" s="873"/>
      <c r="C303" s="873"/>
      <c r="D303" s="873"/>
      <c r="E303" s="873"/>
      <c r="F303" s="873"/>
      <c r="G303" s="873"/>
      <c r="H303" s="873"/>
      <c r="I303" s="873"/>
    </row>
    <row r="304" spans="1:9">
      <c r="A304" s="873"/>
      <c r="B304" s="873"/>
      <c r="C304" s="873"/>
      <c r="D304" s="873"/>
      <c r="E304" s="873"/>
      <c r="F304" s="873"/>
      <c r="G304" s="873"/>
      <c r="H304" s="873"/>
      <c r="I304" s="873"/>
    </row>
    <row r="305" spans="1:9">
      <c r="A305" s="873"/>
      <c r="B305" s="873"/>
      <c r="C305" s="873"/>
      <c r="D305" s="873"/>
      <c r="E305" s="873"/>
      <c r="F305" s="873"/>
      <c r="G305" s="873"/>
      <c r="H305" s="873"/>
      <c r="I305" s="873"/>
    </row>
    <row r="306" spans="1:9">
      <c r="A306" s="873"/>
      <c r="B306" s="873"/>
      <c r="C306" s="873"/>
      <c r="D306" s="873"/>
      <c r="E306" s="873"/>
      <c r="F306" s="873"/>
      <c r="G306" s="873"/>
      <c r="H306" s="873"/>
      <c r="I306" s="873"/>
    </row>
    <row r="307" spans="1:9">
      <c r="A307" s="873"/>
      <c r="B307" s="873"/>
      <c r="C307" s="873"/>
      <c r="D307" s="873"/>
      <c r="E307" s="873"/>
      <c r="F307" s="873"/>
      <c r="G307" s="873"/>
      <c r="H307" s="873"/>
      <c r="I307" s="873"/>
    </row>
    <row r="308" spans="1:9">
      <c r="A308" s="873"/>
      <c r="B308" s="873"/>
      <c r="C308" s="873"/>
      <c r="D308" s="873"/>
      <c r="E308" s="873"/>
      <c r="F308" s="873"/>
      <c r="G308" s="873"/>
      <c r="H308" s="873"/>
      <c r="I308" s="873"/>
    </row>
    <row r="309" spans="1:9">
      <c r="A309" s="873"/>
      <c r="B309" s="873"/>
      <c r="C309" s="873"/>
      <c r="D309" s="873"/>
      <c r="E309" s="873"/>
      <c r="F309" s="873"/>
      <c r="G309" s="873"/>
      <c r="H309" s="873"/>
      <c r="I309" s="873"/>
    </row>
    <row r="310" spans="1:9">
      <c r="A310" s="873"/>
      <c r="B310" s="873"/>
      <c r="C310" s="873"/>
      <c r="D310" s="873"/>
      <c r="E310" s="873"/>
      <c r="F310" s="873"/>
      <c r="G310" s="873"/>
      <c r="H310" s="873"/>
      <c r="I310" s="873"/>
    </row>
    <row r="311" spans="1:9">
      <c r="A311" s="873"/>
      <c r="B311" s="873"/>
      <c r="C311" s="873"/>
      <c r="D311" s="873"/>
      <c r="E311" s="873"/>
      <c r="F311" s="873"/>
      <c r="G311" s="873"/>
      <c r="H311" s="873"/>
      <c r="I311" s="873"/>
    </row>
    <row r="312" spans="1:9">
      <c r="A312" s="873"/>
      <c r="B312" s="873"/>
      <c r="C312" s="873"/>
      <c r="D312" s="873"/>
      <c r="E312" s="873"/>
      <c r="F312" s="873"/>
      <c r="G312" s="873"/>
      <c r="H312" s="873"/>
      <c r="I312" s="873"/>
    </row>
    <row r="313" spans="1:9">
      <c r="A313" s="873"/>
      <c r="B313" s="873"/>
      <c r="C313" s="873"/>
      <c r="D313" s="873"/>
      <c r="E313" s="873"/>
      <c r="F313" s="873"/>
      <c r="G313" s="873"/>
      <c r="H313" s="873"/>
      <c r="I313" s="873"/>
    </row>
    <row r="314" spans="1:9">
      <c r="A314" s="873"/>
      <c r="B314" s="873"/>
      <c r="C314" s="873"/>
      <c r="D314" s="873"/>
      <c r="E314" s="873"/>
      <c r="F314" s="873"/>
      <c r="G314" s="873"/>
      <c r="H314" s="873"/>
      <c r="I314" s="873"/>
    </row>
    <row r="315" spans="1:9">
      <c r="A315" s="873"/>
      <c r="B315" s="873"/>
      <c r="C315" s="873"/>
      <c r="D315" s="873"/>
      <c r="E315" s="873"/>
      <c r="F315" s="873"/>
      <c r="G315" s="873"/>
      <c r="H315" s="873"/>
      <c r="I315" s="873"/>
    </row>
    <row r="316" spans="1:9">
      <c r="A316" s="873"/>
      <c r="B316" s="873"/>
      <c r="C316" s="873"/>
      <c r="D316" s="873"/>
      <c r="E316" s="873"/>
      <c r="F316" s="873"/>
      <c r="G316" s="873"/>
      <c r="H316" s="873"/>
      <c r="I316" s="873"/>
    </row>
    <row r="317" spans="1:9">
      <c r="A317" s="873"/>
      <c r="B317" s="873"/>
      <c r="C317" s="873"/>
      <c r="D317" s="873"/>
      <c r="E317" s="873"/>
      <c r="F317" s="873"/>
      <c r="G317" s="873"/>
      <c r="H317" s="873"/>
      <c r="I317" s="873"/>
    </row>
    <row r="318" spans="1:9">
      <c r="A318" s="873"/>
      <c r="B318" s="873"/>
      <c r="C318" s="873"/>
      <c r="D318" s="873"/>
      <c r="E318" s="873"/>
      <c r="F318" s="873"/>
      <c r="G318" s="873"/>
      <c r="H318" s="873"/>
      <c r="I318" s="873"/>
    </row>
    <row r="319" spans="1:9">
      <c r="A319" s="873"/>
      <c r="B319" s="873"/>
      <c r="C319" s="873"/>
      <c r="D319" s="873"/>
      <c r="E319" s="873"/>
      <c r="F319" s="873"/>
      <c r="G319" s="873"/>
      <c r="H319" s="873"/>
      <c r="I319" s="873"/>
    </row>
    <row r="320" spans="1:9">
      <c r="A320" s="873"/>
      <c r="B320" s="873"/>
      <c r="C320" s="873"/>
      <c r="D320" s="873"/>
      <c r="E320" s="873"/>
      <c r="F320" s="873"/>
      <c r="G320" s="873"/>
      <c r="H320" s="873"/>
      <c r="I320" s="873"/>
    </row>
    <row r="321" spans="1:9">
      <c r="A321" s="873"/>
      <c r="B321" s="873"/>
      <c r="C321" s="873"/>
      <c r="D321" s="873"/>
      <c r="E321" s="873"/>
      <c r="F321" s="873"/>
      <c r="G321" s="873"/>
      <c r="H321" s="873"/>
      <c r="I321" s="873"/>
    </row>
    <row r="322" spans="1:9">
      <c r="A322" s="873"/>
      <c r="B322" s="873"/>
      <c r="C322" s="873"/>
      <c r="D322" s="873"/>
      <c r="E322" s="873"/>
      <c r="F322" s="873"/>
      <c r="G322" s="873"/>
      <c r="H322" s="873"/>
      <c r="I322" s="873"/>
    </row>
    <row r="323" spans="1:9">
      <c r="A323" s="873"/>
      <c r="B323" s="873"/>
      <c r="C323" s="873"/>
      <c r="D323" s="873"/>
      <c r="E323" s="873"/>
      <c r="F323" s="873"/>
      <c r="G323" s="873"/>
      <c r="H323" s="873"/>
      <c r="I323" s="873"/>
    </row>
    <row r="324" spans="1:9">
      <c r="A324" s="873"/>
      <c r="B324" s="873"/>
      <c r="C324" s="873"/>
      <c r="D324" s="873"/>
      <c r="E324" s="873"/>
      <c r="F324" s="873"/>
      <c r="G324" s="873"/>
      <c r="H324" s="873"/>
      <c r="I324" s="873"/>
    </row>
    <row r="325" spans="1:9">
      <c r="A325" s="873"/>
      <c r="B325" s="873"/>
      <c r="C325" s="873"/>
      <c r="D325" s="873"/>
      <c r="E325" s="873"/>
      <c r="F325" s="873"/>
      <c r="G325" s="873"/>
      <c r="H325" s="873"/>
      <c r="I325" s="873"/>
    </row>
    <row r="326" spans="1:9">
      <c r="A326" s="873"/>
      <c r="B326" s="873"/>
      <c r="C326" s="873"/>
      <c r="D326" s="873"/>
      <c r="E326" s="873"/>
      <c r="F326" s="873"/>
      <c r="G326" s="873"/>
      <c r="H326" s="873"/>
      <c r="I326" s="873"/>
    </row>
    <row r="327" spans="1:9">
      <c r="A327" s="873"/>
      <c r="B327" s="873"/>
      <c r="C327" s="873"/>
      <c r="D327" s="873"/>
      <c r="E327" s="873"/>
      <c r="F327" s="873"/>
      <c r="G327" s="873"/>
      <c r="H327" s="873"/>
      <c r="I327" s="873"/>
    </row>
    <row r="328" spans="1:9">
      <c r="A328" s="873"/>
      <c r="B328" s="873"/>
      <c r="C328" s="873"/>
      <c r="D328" s="873"/>
      <c r="E328" s="873"/>
      <c r="F328" s="873"/>
      <c r="G328" s="873"/>
      <c r="H328" s="873"/>
      <c r="I328" s="873"/>
    </row>
    <row r="329" spans="1:9">
      <c r="A329" s="873"/>
      <c r="B329" s="873"/>
      <c r="C329" s="873"/>
      <c r="D329" s="873"/>
      <c r="E329" s="873"/>
      <c r="F329" s="873"/>
      <c r="G329" s="873"/>
      <c r="H329" s="873"/>
      <c r="I329" s="873"/>
    </row>
    <row r="330" spans="1:9">
      <c r="A330" s="873"/>
      <c r="B330" s="873"/>
      <c r="C330" s="873"/>
      <c r="D330" s="873"/>
      <c r="E330" s="873"/>
      <c r="F330" s="873"/>
      <c r="G330" s="873"/>
      <c r="H330" s="873"/>
      <c r="I330" s="873"/>
    </row>
    <row r="331" spans="1:9">
      <c r="A331" s="873"/>
      <c r="B331" s="873"/>
      <c r="C331" s="873"/>
      <c r="D331" s="873"/>
      <c r="E331" s="873"/>
      <c r="F331" s="873"/>
      <c r="G331" s="873"/>
      <c r="H331" s="873"/>
      <c r="I331" s="873"/>
    </row>
    <row r="332" spans="1:9">
      <c r="A332" s="873"/>
      <c r="B332" s="873"/>
      <c r="C332" s="873"/>
      <c r="D332" s="873"/>
      <c r="E332" s="873"/>
      <c r="F332" s="873"/>
      <c r="G332" s="873"/>
      <c r="H332" s="873"/>
      <c r="I332" s="873"/>
    </row>
    <row r="333" spans="1:9">
      <c r="A333" s="873"/>
      <c r="B333" s="873"/>
      <c r="C333" s="873"/>
      <c r="D333" s="873"/>
      <c r="E333" s="873"/>
      <c r="F333" s="873"/>
      <c r="G333" s="873"/>
      <c r="H333" s="873"/>
      <c r="I333" s="873"/>
    </row>
    <row r="334" spans="1:9">
      <c r="A334" s="873"/>
      <c r="B334" s="873"/>
      <c r="C334" s="873"/>
      <c r="D334" s="873"/>
      <c r="E334" s="873"/>
      <c r="F334" s="873"/>
      <c r="G334" s="873"/>
      <c r="H334" s="873"/>
      <c r="I334" s="873"/>
    </row>
    <row r="335" spans="1:9">
      <c r="A335" s="873"/>
      <c r="B335" s="873"/>
      <c r="C335" s="873"/>
      <c r="D335" s="873"/>
      <c r="E335" s="873"/>
      <c r="F335" s="873"/>
      <c r="G335" s="873"/>
      <c r="H335" s="873"/>
      <c r="I335" s="873"/>
    </row>
    <row r="336" spans="1:9">
      <c r="A336" s="873"/>
      <c r="B336" s="873"/>
      <c r="C336" s="873"/>
      <c r="D336" s="873"/>
      <c r="E336" s="873"/>
      <c r="F336" s="873"/>
      <c r="G336" s="873"/>
      <c r="H336" s="873"/>
      <c r="I336" s="873"/>
    </row>
    <row r="337" spans="1:9">
      <c r="A337" s="873"/>
      <c r="B337" s="873"/>
      <c r="C337" s="873"/>
      <c r="D337" s="873"/>
      <c r="E337" s="873"/>
      <c r="F337" s="873"/>
      <c r="G337" s="873"/>
      <c r="H337" s="873"/>
      <c r="I337" s="873"/>
    </row>
    <row r="338" spans="1:9">
      <c r="A338" s="873"/>
      <c r="B338" s="873"/>
      <c r="C338" s="873"/>
      <c r="D338" s="873"/>
      <c r="E338" s="873"/>
      <c r="F338" s="873"/>
      <c r="G338" s="873"/>
      <c r="H338" s="873"/>
      <c r="I338" s="873"/>
    </row>
    <row r="339" spans="1:9">
      <c r="A339" s="873"/>
      <c r="B339" s="873"/>
      <c r="C339" s="873"/>
      <c r="D339" s="873"/>
      <c r="E339" s="873"/>
      <c r="F339" s="873"/>
      <c r="G339" s="873"/>
      <c r="H339" s="873"/>
      <c r="I339" s="873"/>
    </row>
    <row r="340" spans="1:9">
      <c r="A340" s="873"/>
      <c r="B340" s="873"/>
      <c r="C340" s="873"/>
      <c r="D340" s="873"/>
      <c r="E340" s="873"/>
      <c r="F340" s="873"/>
      <c r="G340" s="873"/>
      <c r="H340" s="873"/>
      <c r="I340" s="873"/>
    </row>
    <row r="341" spans="1:9">
      <c r="A341" s="873"/>
      <c r="B341" s="873"/>
      <c r="C341" s="873"/>
      <c r="D341" s="873"/>
      <c r="E341" s="873"/>
      <c r="F341" s="873"/>
      <c r="G341" s="873"/>
      <c r="H341" s="873"/>
      <c r="I341" s="873"/>
    </row>
    <row r="342" spans="1:9">
      <c r="A342" s="873"/>
      <c r="B342" s="873"/>
      <c r="C342" s="873"/>
      <c r="D342" s="873"/>
      <c r="E342" s="873"/>
      <c r="F342" s="873"/>
      <c r="G342" s="873"/>
      <c r="H342" s="873"/>
      <c r="I342" s="873"/>
    </row>
  </sheetData>
  <mergeCells count="2">
    <mergeCell ref="A1:H1"/>
    <mergeCell ref="E10:I10"/>
  </mergeCells>
  <pageMargins left="0.7" right="0.7" top="0.75" bottom="0.75" header="0.3" footer="0.3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>
      <selection sqref="A1:H1"/>
    </sheetView>
  </sheetViews>
  <sheetFormatPr defaultRowHeight="15"/>
  <cols>
    <col min="1" max="1" width="35.7109375" style="439" customWidth="1"/>
    <col min="2" max="16384" width="9.140625" style="439"/>
  </cols>
  <sheetData>
    <row r="1" spans="1:8">
      <c r="A1" s="1567" t="s">
        <v>367</v>
      </c>
      <c r="B1" s="1567"/>
      <c r="C1" s="1567"/>
      <c r="D1" s="1567"/>
      <c r="E1" s="1567"/>
      <c r="F1" s="1567"/>
      <c r="G1" s="1567"/>
      <c r="H1" s="1567"/>
    </row>
    <row r="2" spans="1:8">
      <c r="A2" s="440"/>
      <c r="B2" s="441">
        <v>2012</v>
      </c>
      <c r="C2" s="441">
        <v>2013</v>
      </c>
      <c r="D2" s="441">
        <v>2014</v>
      </c>
      <c r="E2" s="441">
        <v>2015</v>
      </c>
      <c r="F2" s="441">
        <v>2016</v>
      </c>
      <c r="G2" s="441">
        <v>2017</v>
      </c>
      <c r="H2" s="441">
        <v>2018</v>
      </c>
    </row>
    <row r="3" spans="1:8">
      <c r="A3" s="442" t="s">
        <v>7</v>
      </c>
      <c r="B3" s="443">
        <v>164.83899999999994</v>
      </c>
      <c r="C3" s="443">
        <v>169.12099999999987</v>
      </c>
      <c r="D3" s="443">
        <v>-55.715999999999902</v>
      </c>
      <c r="E3" s="443">
        <v>-219.49000000000024</v>
      </c>
      <c r="F3" s="443">
        <v>-217.40831400000002</v>
      </c>
      <c r="G3" s="443">
        <v>-292.06099999999998</v>
      </c>
      <c r="H3" s="443">
        <v>-353.317611</v>
      </c>
    </row>
    <row r="4" spans="1:8">
      <c r="A4" s="444" t="s">
        <v>368</v>
      </c>
      <c r="B4" s="445">
        <v>156.15600000000001</v>
      </c>
      <c r="C4" s="445">
        <v>-21.896000000000001</v>
      </c>
      <c r="D4" s="445">
        <v>-118.883</v>
      </c>
      <c r="E4" s="445">
        <v>-192.66315054000009</v>
      </c>
      <c r="F4" s="445">
        <v>184.91014478290464</v>
      </c>
      <c r="G4" s="445">
        <v>-46.637999999999998</v>
      </c>
      <c r="H4" s="445">
        <v>-46.459180000000011</v>
      </c>
    </row>
    <row r="5" spans="1:8">
      <c r="A5" s="446" t="s">
        <v>369</v>
      </c>
      <c r="B5" s="445">
        <v>160.179</v>
      </c>
      <c r="C5" s="445">
        <v>18.007000000000001</v>
      </c>
      <c r="D5" s="445">
        <v>-24.978999999999999</v>
      </c>
      <c r="E5" s="445">
        <v>-135.77403285000005</v>
      </c>
      <c r="F5" s="445">
        <v>220.43188874290462</v>
      </c>
      <c r="G5" s="445">
        <v>14.013999999999999</v>
      </c>
      <c r="H5" s="445">
        <v>58.02</v>
      </c>
    </row>
    <row r="6" spans="1:8">
      <c r="A6" s="446" t="s">
        <v>370</v>
      </c>
      <c r="B6" s="445">
        <v>-6.3070000000000004</v>
      </c>
      <c r="C6" s="445">
        <v>-3.5859999999999999</v>
      </c>
      <c r="D6" s="445">
        <v>-53.6</v>
      </c>
      <c r="E6" s="445">
        <v>-5.3031598799999955</v>
      </c>
      <c r="F6" s="445">
        <v>9.9438616899999701</v>
      </c>
      <c r="G6" s="445">
        <v>0</v>
      </c>
      <c r="H6" s="445">
        <v>0</v>
      </c>
    </row>
    <row r="7" spans="1:8">
      <c r="A7" s="446" t="s">
        <v>371</v>
      </c>
      <c r="B7" s="445">
        <v>-2.2839999999999998</v>
      </c>
      <c r="C7" s="445">
        <v>36.317</v>
      </c>
      <c r="D7" s="445">
        <v>40.304000000000002</v>
      </c>
      <c r="E7" s="445">
        <v>51.585957810000053</v>
      </c>
      <c r="F7" s="445">
        <v>45.465605649999908</v>
      </c>
      <c r="G7" s="445">
        <v>60.652000000000001</v>
      </c>
      <c r="H7" s="445">
        <v>104.47918000000001</v>
      </c>
    </row>
    <row r="8" spans="1:8" ht="15.75" thickBot="1">
      <c r="A8" s="447" t="s">
        <v>372</v>
      </c>
      <c r="B8" s="448">
        <v>47.689</v>
      </c>
      <c r="C8" s="448">
        <v>217.042</v>
      </c>
      <c r="D8" s="448">
        <v>83.168000000000006</v>
      </c>
      <c r="E8" s="448">
        <v>133.74778040073048</v>
      </c>
      <c r="F8" s="448">
        <v>-402.31845878290466</v>
      </c>
      <c r="G8" s="448">
        <v>-245.423</v>
      </c>
      <c r="H8" s="448">
        <v>-306.858431</v>
      </c>
    </row>
    <row r="9" spans="1:8">
      <c r="A9" s="444" t="s">
        <v>373</v>
      </c>
      <c r="B9" s="445">
        <v>-602.52622293224931</v>
      </c>
      <c r="C9" s="445">
        <v>112.4355709480013</v>
      </c>
      <c r="D9" s="445">
        <v>913.1018254678404</v>
      </c>
      <c r="E9" s="445">
        <v>1042.5874091575213</v>
      </c>
      <c r="F9" s="445">
        <v>356.33030468658302</v>
      </c>
      <c r="G9" s="445">
        <v>-55.97</v>
      </c>
      <c r="H9" s="445">
        <v>-76.527000000000001</v>
      </c>
    </row>
    <row r="10" spans="1:8">
      <c r="A10" s="444" t="s">
        <v>374</v>
      </c>
      <c r="B10" s="445">
        <v>13.091610109999966</v>
      </c>
      <c r="C10" s="445">
        <v>-321.73835498</v>
      </c>
      <c r="D10" s="445">
        <v>-931.81355341000005</v>
      </c>
      <c r="E10" s="445">
        <v>-218.43392678999996</v>
      </c>
      <c r="F10" s="445">
        <v>-163.88267898000004</v>
      </c>
      <c r="G10" s="445">
        <v>-32.320999999999998</v>
      </c>
      <c r="H10" s="445">
        <v>95.835999999999984</v>
      </c>
    </row>
    <row r="11" spans="1:8">
      <c r="A11" s="446" t="s">
        <v>375</v>
      </c>
      <c r="B11" s="445">
        <v>-17.686</v>
      </c>
      <c r="C11" s="445">
        <v>-93.300400000000025</v>
      </c>
      <c r="D11" s="445">
        <v>-712.55269999999996</v>
      </c>
      <c r="E11" s="445">
        <v>-158.28814036999998</v>
      </c>
      <c r="F11" s="445">
        <v>-173.55121700000001</v>
      </c>
      <c r="G11" s="445">
        <v>8.0660000000000007</v>
      </c>
      <c r="H11" s="445">
        <v>-3.3220000000000001</v>
      </c>
    </row>
    <row r="12" spans="1:8">
      <c r="A12" s="446" t="s">
        <v>376</v>
      </c>
      <c r="B12" s="445">
        <v>76.575339999999983</v>
      </c>
      <c r="C12" s="445">
        <v>-156.94514299999997</v>
      </c>
      <c r="D12" s="445">
        <v>-208.537542</v>
      </c>
      <c r="E12" s="445">
        <v>-106.36073929</v>
      </c>
      <c r="F12" s="445">
        <v>-30.505017950000003</v>
      </c>
      <c r="G12" s="445">
        <v>-16.228999999999999</v>
      </c>
      <c r="H12" s="445">
        <v>11.133819000000003</v>
      </c>
    </row>
    <row r="13" spans="1:8">
      <c r="A13" s="446" t="s">
        <v>377</v>
      </c>
      <c r="B13" s="445">
        <v>-9.9605595700000116</v>
      </c>
      <c r="C13" s="445">
        <v>36.638218909999999</v>
      </c>
      <c r="D13" s="445">
        <v>52.187613970000008</v>
      </c>
      <c r="E13" s="445">
        <v>13.460262090000004</v>
      </c>
      <c r="F13" s="445">
        <v>-1.4424224800000229</v>
      </c>
      <c r="G13" s="445">
        <v>-26.257999999999999</v>
      </c>
      <c r="H13" s="445">
        <v>10.924180999999983</v>
      </c>
    </row>
    <row r="14" spans="1:8">
      <c r="A14" s="446" t="s">
        <v>378</v>
      </c>
      <c r="B14" s="445">
        <v>4.1628296799999953</v>
      </c>
      <c r="C14" s="445">
        <v>21.868969110000005</v>
      </c>
      <c r="D14" s="445">
        <v>23.18907462</v>
      </c>
      <c r="E14" s="445">
        <v>32.754690780000004</v>
      </c>
      <c r="F14" s="445">
        <v>41.615978449999993</v>
      </c>
      <c r="G14" s="445">
        <v>2.1</v>
      </c>
      <c r="H14" s="445">
        <v>77.099999999999994</v>
      </c>
    </row>
    <row r="15" spans="1:8">
      <c r="A15" s="446" t="s">
        <v>379</v>
      </c>
      <c r="B15" s="445">
        <v>-40</v>
      </c>
      <c r="C15" s="445">
        <v>-130</v>
      </c>
      <c r="D15" s="445">
        <v>-86.1</v>
      </c>
      <c r="E15" s="445">
        <v>0</v>
      </c>
      <c r="F15" s="445">
        <v>0</v>
      </c>
      <c r="G15" s="445">
        <v>0</v>
      </c>
      <c r="H15" s="445">
        <v>0</v>
      </c>
    </row>
    <row r="16" spans="1:8">
      <c r="A16" s="444" t="s">
        <v>380</v>
      </c>
      <c r="B16" s="445">
        <v>0</v>
      </c>
      <c r="C16" s="445">
        <v>-124.399</v>
      </c>
      <c r="D16" s="445">
        <v>-208.75299999999999</v>
      </c>
      <c r="E16" s="445">
        <v>-304.28612781999999</v>
      </c>
      <c r="F16" s="445">
        <v>-186.60354704</v>
      </c>
      <c r="G16" s="445">
        <v>-77.7</v>
      </c>
      <c r="H16" s="445">
        <v>0</v>
      </c>
    </row>
    <row r="17" spans="1:8">
      <c r="A17" s="444" t="s">
        <v>381</v>
      </c>
      <c r="B17" s="445">
        <v>0</v>
      </c>
      <c r="C17" s="445">
        <v>0</v>
      </c>
      <c r="D17" s="445">
        <v>0</v>
      </c>
      <c r="E17" s="445">
        <v>34.976092999999992</v>
      </c>
      <c r="F17" s="445">
        <v>0</v>
      </c>
      <c r="G17" s="445">
        <v>0</v>
      </c>
      <c r="H17" s="445">
        <v>0</v>
      </c>
    </row>
    <row r="18" spans="1:8">
      <c r="A18" s="446" t="s">
        <v>382</v>
      </c>
      <c r="B18" s="445">
        <v>440.59657160999973</v>
      </c>
      <c r="C18" s="445">
        <v>564.37917465000066</v>
      </c>
      <c r="D18" s="445">
        <v>650.10029523000003</v>
      </c>
      <c r="E18" s="445">
        <v>88.636312759999996</v>
      </c>
      <c r="F18" s="445">
        <v>287.17343857436731</v>
      </c>
      <c r="G18" s="445">
        <v>272.85217000000006</v>
      </c>
      <c r="H18" s="445">
        <v>364.65946499999995</v>
      </c>
    </row>
    <row r="19" spans="1:8">
      <c r="A19" s="446" t="s">
        <v>383</v>
      </c>
      <c r="B19" s="445">
        <v>223.04835990999976</v>
      </c>
      <c r="C19" s="445">
        <v>260.35802903000058</v>
      </c>
      <c r="D19" s="445">
        <v>256.78753539000024</v>
      </c>
      <c r="E19" s="445">
        <v>-84.153613630000038</v>
      </c>
      <c r="F19" s="445">
        <v>123.74620146999999</v>
      </c>
      <c r="G19" s="445">
        <v>261.83100000000002</v>
      </c>
      <c r="H19" s="445">
        <v>381.081795</v>
      </c>
    </row>
    <row r="20" spans="1:8">
      <c r="A20" s="446" t="s">
        <v>384</v>
      </c>
      <c r="B20" s="445">
        <v>132.19999999999999</v>
      </c>
      <c r="C20" s="445">
        <v>206.567553</v>
      </c>
      <c r="D20" s="445">
        <v>211.00899999999999</v>
      </c>
      <c r="E20" s="445">
        <v>-9.7757521100000009</v>
      </c>
      <c r="F20" s="445">
        <v>93.308519430000004</v>
      </c>
      <c r="G20" s="445">
        <v>-11.01183</v>
      </c>
      <c r="H20" s="445">
        <v>0</v>
      </c>
    </row>
    <row r="21" spans="1:8">
      <c r="A21" s="446" t="s">
        <v>385</v>
      </c>
      <c r="B21" s="445">
        <v>43.529322270000002</v>
      </c>
      <c r="C21" s="445">
        <v>15.961013999999967</v>
      </c>
      <c r="D21" s="445">
        <v>147.35600159999996</v>
      </c>
      <c r="E21" s="445">
        <v>151.45216165000002</v>
      </c>
      <c r="F21" s="445">
        <v>42.523447999999995</v>
      </c>
      <c r="G21" s="445">
        <v>11.897</v>
      </c>
      <c r="H21" s="445">
        <v>-0.34100000000000003</v>
      </c>
    </row>
    <row r="22" spans="1:8">
      <c r="A22" s="444" t="s">
        <v>386</v>
      </c>
      <c r="B22" s="445">
        <v>41.818889429999984</v>
      </c>
      <c r="C22" s="445">
        <v>81.492578620000046</v>
      </c>
      <c r="D22" s="445">
        <v>34.947758239999878</v>
      </c>
      <c r="E22" s="445">
        <v>31.113516850000014</v>
      </c>
      <c r="F22" s="445">
        <v>27.595269674367302</v>
      </c>
      <c r="G22" s="445">
        <v>10.135999999999999</v>
      </c>
      <c r="H22" s="445">
        <v>-16.081329999999998</v>
      </c>
    </row>
    <row r="23" spans="1:8">
      <c r="A23" s="446" t="s">
        <v>387</v>
      </c>
      <c r="B23" s="445">
        <v>190.4648291300004</v>
      </c>
      <c r="C23" s="445">
        <v>-62.754076839999847</v>
      </c>
      <c r="D23" s="445">
        <v>-71.510145660000006</v>
      </c>
      <c r="E23" s="445">
        <v>-448.83036596999983</v>
      </c>
      <c r="F23" s="445">
        <v>-60.329402679999589</v>
      </c>
      <c r="G23" s="445">
        <v>150.96</v>
      </c>
      <c r="H23" s="445">
        <v>-490.53940799999998</v>
      </c>
    </row>
    <row r="24" spans="1:8">
      <c r="A24" s="446" t="s">
        <v>388</v>
      </c>
      <c r="B24" s="445">
        <v>-159.05887756999977</v>
      </c>
      <c r="C24" s="445">
        <v>-177.3054757699999</v>
      </c>
      <c r="D24" s="445">
        <v>-258.58547943999992</v>
      </c>
      <c r="E24" s="445">
        <v>-204.32091331999982</v>
      </c>
      <c r="F24" s="445">
        <v>-158.37656146999961</v>
      </c>
      <c r="G24" s="445">
        <v>-90.051000000000002</v>
      </c>
      <c r="H24" s="445">
        <v>-256.44384100000002</v>
      </c>
    </row>
    <row r="25" spans="1:8">
      <c r="A25" s="446" t="s">
        <v>389</v>
      </c>
      <c r="B25" s="445">
        <v>209.01925513000018</v>
      </c>
      <c r="C25" s="445">
        <v>300.64536990000005</v>
      </c>
      <c r="D25" s="445">
        <v>325.10761587999991</v>
      </c>
      <c r="E25" s="445">
        <v>330.16856244000002</v>
      </c>
      <c r="F25" s="445">
        <v>187.82149909000006</v>
      </c>
      <c r="G25" s="445">
        <v>73.688000000000002</v>
      </c>
      <c r="H25" s="445">
        <v>-197.62288100000006</v>
      </c>
    </row>
    <row r="26" spans="1:8">
      <c r="A26" s="446" t="s">
        <v>390</v>
      </c>
      <c r="B26" s="445">
        <v>6.0931993000000952</v>
      </c>
      <c r="C26" s="445">
        <v>-107.31168816000002</v>
      </c>
      <c r="D26" s="445">
        <v>-2.9514094800000312</v>
      </c>
      <c r="E26" s="445">
        <v>7.9175694900000231</v>
      </c>
      <c r="F26" s="445">
        <v>-2.7023683799999998</v>
      </c>
      <c r="G26" s="445">
        <v>27.960999999999999</v>
      </c>
      <c r="H26" s="445">
        <v>-48.095124000000006</v>
      </c>
    </row>
    <row r="27" spans="1:8">
      <c r="A27" s="444" t="s">
        <v>391</v>
      </c>
      <c r="B27" s="445">
        <v>134.41125226999992</v>
      </c>
      <c r="C27" s="445">
        <v>-78.78228280999997</v>
      </c>
      <c r="D27" s="445">
        <v>-135.08087262000001</v>
      </c>
      <c r="E27" s="445">
        <v>-582.59558458000004</v>
      </c>
      <c r="F27" s="445">
        <v>-87.071971920000038</v>
      </c>
      <c r="G27" s="445">
        <v>139.36199999999999</v>
      </c>
      <c r="H27" s="445">
        <v>11.622438000000082</v>
      </c>
    </row>
    <row r="28" spans="1:8">
      <c r="A28" s="444" t="s">
        <v>392</v>
      </c>
      <c r="B28" s="445">
        <v>-180.09360000000001</v>
      </c>
      <c r="C28" s="445">
        <v>-92.852500000000006</v>
      </c>
      <c r="D28" s="445">
        <v>-151.1575</v>
      </c>
      <c r="E28" s="445">
        <v>-17.045999999999999</v>
      </c>
      <c r="F28" s="445">
        <v>-75.007000000000005</v>
      </c>
      <c r="G28" s="445">
        <v>0</v>
      </c>
      <c r="H28" s="445">
        <v>0</v>
      </c>
    </row>
    <row r="29" spans="1:8">
      <c r="A29" s="444" t="s">
        <v>393</v>
      </c>
      <c r="B29" s="445">
        <v>58.291304999999703</v>
      </c>
      <c r="C29" s="445">
        <v>19.40566000000015</v>
      </c>
      <c r="D29" s="445">
        <v>-137.04423300000002</v>
      </c>
      <c r="E29" s="445">
        <v>-232.07062918000017</v>
      </c>
      <c r="F29" s="445">
        <v>-251.79400000000001</v>
      </c>
      <c r="G29" s="445">
        <v>-141.959</v>
      </c>
      <c r="H29" s="445">
        <v>-30.362296000000089</v>
      </c>
    </row>
    <row r="30" spans="1:8">
      <c r="A30" s="444" t="s">
        <v>394</v>
      </c>
      <c r="B30" s="445">
        <v>-22.367604999999998</v>
      </c>
      <c r="C30" s="445">
        <v>-30.197402999999998</v>
      </c>
      <c r="D30" s="445">
        <v>-62.902017999999998</v>
      </c>
      <c r="E30" s="445">
        <v>-19.370949069999931</v>
      </c>
      <c r="F30" s="445">
        <v>-68.950999999999993</v>
      </c>
      <c r="G30" s="445">
        <v>-23.693999999999999</v>
      </c>
      <c r="H30" s="445">
        <v>-20.381</v>
      </c>
    </row>
    <row r="31" spans="1:8">
      <c r="A31" s="444" t="s">
        <v>395</v>
      </c>
      <c r="B31" s="445">
        <v>87.948591000000022</v>
      </c>
      <c r="C31" s="445">
        <v>53.540403999998233</v>
      </c>
      <c r="D31" s="445">
        <v>-14.389500999999232</v>
      </c>
      <c r="E31" s="445">
        <v>47.932102939999659</v>
      </c>
      <c r="F31" s="445">
        <v>83.343671999999785</v>
      </c>
      <c r="G31" s="445">
        <v>-10.38</v>
      </c>
      <c r="H31" s="445">
        <v>-105.61114899999997</v>
      </c>
    </row>
    <row r="32" spans="1:8">
      <c r="A32" s="444" t="s">
        <v>396</v>
      </c>
      <c r="B32" s="445">
        <v>64.805000000000007</v>
      </c>
      <c r="C32" s="445">
        <v>147.16</v>
      </c>
      <c r="D32" s="445">
        <v>6.8540000000000001</v>
      </c>
      <c r="E32" s="445">
        <v>-27.21844763999993</v>
      </c>
      <c r="F32" s="445">
        <v>62.529000000000003</v>
      </c>
      <c r="G32" s="445">
        <v>-111.051</v>
      </c>
      <c r="H32" s="445">
        <v>-16.044</v>
      </c>
    </row>
    <row r="33" spans="1:8">
      <c r="A33" s="444" t="s">
        <v>397</v>
      </c>
      <c r="B33" s="445">
        <v>46.6</v>
      </c>
      <c r="C33" s="445">
        <v>58.253999999999998</v>
      </c>
      <c r="D33" s="445">
        <v>30.998000000000001</v>
      </c>
      <c r="E33" s="445">
        <v>-16.044360230000063</v>
      </c>
      <c r="F33" s="445">
        <v>46.264000000000003</v>
      </c>
      <c r="G33" s="445">
        <v>-78.096000000000004</v>
      </c>
      <c r="H33" s="445">
        <v>0</v>
      </c>
    </row>
    <row r="34" spans="1:8">
      <c r="A34" s="444" t="s">
        <v>398</v>
      </c>
      <c r="B34" s="445">
        <v>-80.673000000000002</v>
      </c>
      <c r="C34" s="445">
        <v>-37.579000000000001</v>
      </c>
      <c r="D34" s="445">
        <v>-26.390999999999998</v>
      </c>
      <c r="E34" s="445">
        <v>5.6040000000000001</v>
      </c>
      <c r="F34" s="445">
        <v>-14.576000000000001</v>
      </c>
      <c r="G34" s="445">
        <v>-15.07</v>
      </c>
      <c r="H34" s="445">
        <v>0</v>
      </c>
    </row>
    <row r="35" spans="1:8" ht="15.75" thickBot="1">
      <c r="A35" s="447" t="s">
        <v>399</v>
      </c>
      <c r="B35" s="448">
        <v>-211.10306379275048</v>
      </c>
      <c r="C35" s="448">
        <v>-58.343474777996889</v>
      </c>
      <c r="D35" s="448">
        <v>97.971713652160773</v>
      </c>
      <c r="E35" s="448">
        <v>186.27094143287201</v>
      </c>
      <c r="F35" s="448">
        <v>-416.81524534385511</v>
      </c>
      <c r="G35" s="448">
        <v>-122.99417000000004</v>
      </c>
      <c r="H35" s="448">
        <v>-27.889042999999887</v>
      </c>
    </row>
    <row r="36" spans="1:8">
      <c r="A36" s="444" t="s">
        <v>400</v>
      </c>
      <c r="B36" s="445">
        <v>236.88093355275038</v>
      </c>
      <c r="C36" s="445">
        <v>530.51974559800192</v>
      </c>
      <c r="D36" s="445">
        <v>1444.3191206978406</v>
      </c>
      <c r="E36" s="445">
        <v>973.53666437752111</v>
      </c>
      <c r="F36" s="445">
        <v>828.41388804385485</v>
      </c>
      <c r="G36" s="445">
        <v>170.24417000000003</v>
      </c>
      <c r="H36" s="445">
        <v>241.67328499999999</v>
      </c>
    </row>
    <row r="37" spans="1:8" ht="15.75" thickBot="1">
      <c r="A37" s="449" t="s">
        <v>401</v>
      </c>
      <c r="B37" s="450">
        <v>-72.041933552750436</v>
      </c>
      <c r="C37" s="450">
        <v>-361.39874559800205</v>
      </c>
      <c r="D37" s="450">
        <v>-1500.0351206978405</v>
      </c>
      <c r="E37" s="450">
        <v>-1193.0266643775212</v>
      </c>
      <c r="F37" s="450">
        <v>-1045.8222020438548</v>
      </c>
      <c r="G37" s="450">
        <v>-462.30516999999998</v>
      </c>
      <c r="H37" s="450">
        <v>-594.99089600000002</v>
      </c>
    </row>
    <row r="38" spans="1:8">
      <c r="A38" s="444" t="s">
        <v>402</v>
      </c>
      <c r="B38" s="445">
        <v>-3323.7240000000002</v>
      </c>
      <c r="C38" s="445">
        <v>-2186.5329999999999</v>
      </c>
      <c r="D38" s="445">
        <v>-2000.4</v>
      </c>
      <c r="E38" s="445">
        <v>-1940.1</v>
      </c>
      <c r="F38" s="445">
        <v>-1556.504686</v>
      </c>
      <c r="G38" s="445">
        <v>-1083.489</v>
      </c>
      <c r="H38" s="445">
        <v>-389.49366199999997</v>
      </c>
    </row>
    <row r="39" spans="1:8">
      <c r="A39" s="442" t="s">
        <v>403</v>
      </c>
      <c r="B39" s="443">
        <v>-3086.8430664472498</v>
      </c>
      <c r="C39" s="443">
        <v>-1656.013254401998</v>
      </c>
      <c r="D39" s="443">
        <v>-556.08087930215947</v>
      </c>
      <c r="E39" s="443">
        <v>-966.5633356224788</v>
      </c>
      <c r="F39" s="443">
        <v>-728.09079795614514</v>
      </c>
      <c r="G39" s="443">
        <v>-913.24482999999998</v>
      </c>
      <c r="H39" s="443">
        <v>-147.82037699999998</v>
      </c>
    </row>
    <row r="40" spans="1:8" ht="15.75" thickBot="1">
      <c r="A40" s="449" t="s">
        <v>404</v>
      </c>
      <c r="B40" s="450">
        <v>-3158.8850000000002</v>
      </c>
      <c r="C40" s="450">
        <v>-2017.412</v>
      </c>
      <c r="D40" s="450">
        <v>-2056.116</v>
      </c>
      <c r="E40" s="450">
        <v>-2159.59</v>
      </c>
      <c r="F40" s="450">
        <v>-1774</v>
      </c>
      <c r="G40" s="450">
        <v>-1375.55</v>
      </c>
      <c r="H40" s="450">
        <v>-742.81127300000003</v>
      </c>
    </row>
    <row r="41" spans="1:8">
      <c r="A41" s="1568" t="s">
        <v>405</v>
      </c>
      <c r="B41" s="1568"/>
      <c r="C41" s="1568"/>
      <c r="D41" s="1568"/>
      <c r="E41" s="1568"/>
      <c r="F41" s="1568"/>
      <c r="G41" s="1569" t="s">
        <v>406</v>
      </c>
      <c r="H41" s="1569"/>
    </row>
  </sheetData>
  <mergeCells count="3">
    <mergeCell ref="A1:H1"/>
    <mergeCell ref="A41:F41"/>
    <mergeCell ref="G41:H41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H37"/>
  <sheetViews>
    <sheetView showGridLines="0" workbookViewId="0"/>
  </sheetViews>
  <sheetFormatPr defaultRowHeight="12.75"/>
  <cols>
    <col min="1" max="1" width="30.28515625" style="6" customWidth="1"/>
    <col min="2" max="2" width="11.42578125" style="6" bestFit="1" customWidth="1"/>
    <col min="3" max="16384" width="9.140625" style="6"/>
  </cols>
  <sheetData>
    <row r="1" spans="1:8">
      <c r="A1" s="97" t="s">
        <v>362</v>
      </c>
      <c r="B1" s="97"/>
      <c r="C1" s="97"/>
      <c r="D1" s="97"/>
      <c r="E1" s="97"/>
      <c r="F1" s="97"/>
    </row>
    <row r="2" spans="1:8">
      <c r="A2" s="20"/>
      <c r="B2" s="21">
        <v>2016</v>
      </c>
      <c r="C2" s="21">
        <v>2017</v>
      </c>
      <c r="D2" s="21">
        <v>2018</v>
      </c>
      <c r="E2" s="21">
        <v>2019</v>
      </c>
      <c r="F2" s="21">
        <v>2020</v>
      </c>
    </row>
    <row r="3" spans="1:8" s="14" customFormat="1">
      <c r="A3" s="262" t="s">
        <v>13</v>
      </c>
      <c r="B3" s="23">
        <v>-7.1321218173306875E-3</v>
      </c>
      <c r="C3" s="23">
        <v>-6.8251191742690646E-3</v>
      </c>
      <c r="D3" s="23">
        <v>-6.4517617668018072E-3</v>
      </c>
      <c r="E3" s="23">
        <v>-6.0612731040221492E-3</v>
      </c>
      <c r="F3" s="23">
        <v>-5.7164359384860933E-3</v>
      </c>
    </row>
    <row r="4" spans="1:8">
      <c r="A4" s="253" t="s">
        <v>169</v>
      </c>
      <c r="B4" s="23">
        <v>-8.5492481454641139E-2</v>
      </c>
      <c r="C4" s="23" t="s">
        <v>1</v>
      </c>
      <c r="D4" s="23" t="s">
        <v>1</v>
      </c>
      <c r="E4" s="23" t="s">
        <v>1</v>
      </c>
      <c r="F4" s="253"/>
    </row>
    <row r="5" spans="1:8">
      <c r="A5" s="265" t="s">
        <v>114</v>
      </c>
      <c r="B5" s="91">
        <v>-3.214506942790353E-2</v>
      </c>
      <c r="C5" s="23" t="s">
        <v>1</v>
      </c>
      <c r="D5" s="23" t="s">
        <v>1</v>
      </c>
      <c r="E5" s="23" t="s">
        <v>1</v>
      </c>
      <c r="F5" s="23" t="s">
        <v>1</v>
      </c>
    </row>
    <row r="6" spans="1:8">
      <c r="A6" s="24" t="s">
        <v>60</v>
      </c>
      <c r="B6" s="23">
        <v>-5.6814226093929845E-2</v>
      </c>
      <c r="C6" s="23" t="s">
        <v>1</v>
      </c>
      <c r="D6" s="23" t="s">
        <v>1</v>
      </c>
      <c r="E6" s="23" t="s">
        <v>1</v>
      </c>
      <c r="F6" s="23" t="s">
        <v>1</v>
      </c>
    </row>
    <row r="7" spans="1:8">
      <c r="A7" s="253" t="s">
        <v>361</v>
      </c>
      <c r="B7" s="91" t="s">
        <v>176</v>
      </c>
      <c r="C7" s="91">
        <v>-0.10708173327839907</v>
      </c>
      <c r="D7" s="91" t="s">
        <v>1</v>
      </c>
      <c r="E7" s="91" t="s">
        <v>1</v>
      </c>
      <c r="F7" s="91" t="s">
        <v>1</v>
      </c>
    </row>
    <row r="8" spans="1:8">
      <c r="A8" s="253" t="s">
        <v>191</v>
      </c>
      <c r="B8" s="253"/>
      <c r="C8" s="253"/>
      <c r="D8" s="91">
        <v>7.2454131797186849E-2</v>
      </c>
      <c r="E8" s="253"/>
      <c r="F8" s="253"/>
    </row>
    <row r="9" spans="1:8">
      <c r="A9" s="19" t="s">
        <v>4</v>
      </c>
      <c r="B9" s="26">
        <f>SUM(B3:B6)</f>
        <v>-0.18158389879380521</v>
      </c>
      <c r="C9" s="26">
        <f>SUM(C3:C7)</f>
        <v>-0.11390685245266813</v>
      </c>
      <c r="D9" s="26">
        <f>SUM(D3:D8)</f>
        <v>6.6002370030385046E-2</v>
      </c>
      <c r="E9" s="26">
        <f>SUM(E3:E6)</f>
        <v>-6.0612731040221492E-3</v>
      </c>
      <c r="F9" s="26">
        <f>SUM(F3:F6)</f>
        <v>-5.7164359384860933E-3</v>
      </c>
      <c r="G9" s="34"/>
    </row>
    <row r="10" spans="1:8">
      <c r="A10" s="17"/>
      <c r="B10" s="22"/>
      <c r="C10" s="22"/>
      <c r="E10" s="243"/>
      <c r="F10" s="243" t="s">
        <v>3</v>
      </c>
      <c r="G10" s="24"/>
    </row>
    <row r="11" spans="1:8">
      <c r="A11" s="140"/>
      <c r="B11" s="35"/>
      <c r="C11" s="35"/>
      <c r="D11" s="35"/>
      <c r="E11" s="35"/>
      <c r="F11" s="35"/>
      <c r="G11" s="24"/>
    </row>
    <row r="12" spans="1:8">
      <c r="A12" s="37"/>
      <c r="B12" s="163"/>
      <c r="C12" s="163"/>
      <c r="D12" s="163"/>
      <c r="E12" s="163"/>
      <c r="F12" s="163"/>
      <c r="G12" s="24"/>
      <c r="H12" s="30"/>
    </row>
    <row r="13" spans="1:8">
      <c r="A13" s="37"/>
      <c r="B13" s="35"/>
      <c r="C13" s="35"/>
      <c r="D13" s="35"/>
      <c r="E13" s="35"/>
      <c r="F13" s="35"/>
      <c r="G13" s="24"/>
      <c r="H13" s="30"/>
    </row>
    <row r="14" spans="1:8">
      <c r="A14" s="284"/>
      <c r="B14" s="248"/>
      <c r="C14" s="285"/>
      <c r="D14" s="285"/>
      <c r="E14" s="285"/>
      <c r="F14" s="285"/>
      <c r="G14" s="24"/>
      <c r="H14" s="30"/>
    </row>
    <row r="15" spans="1:8">
      <c r="A15" s="30"/>
      <c r="B15" s="249"/>
      <c r="C15" s="285"/>
      <c r="D15" s="285"/>
      <c r="E15" s="285"/>
      <c r="F15" s="285"/>
      <c r="G15" s="30"/>
      <c r="H15" s="30"/>
    </row>
    <row r="16" spans="1:8">
      <c r="A16" s="58"/>
      <c r="B16" s="248"/>
      <c r="C16" s="285"/>
      <c r="D16" s="285"/>
      <c r="E16" s="285"/>
      <c r="F16" s="285"/>
      <c r="G16" s="30"/>
      <c r="H16" s="30"/>
    </row>
    <row r="17" spans="1:8">
      <c r="A17" s="24"/>
      <c r="B17" s="248"/>
      <c r="C17" s="285"/>
      <c r="D17" s="285"/>
      <c r="E17" s="285"/>
      <c r="F17" s="285"/>
      <c r="G17" s="30"/>
      <c r="H17" s="30"/>
    </row>
    <row r="18" spans="1:8">
      <c r="A18" s="30"/>
      <c r="B18" s="285"/>
      <c r="C18" s="250"/>
      <c r="D18" s="285"/>
      <c r="E18" s="285"/>
      <c r="F18" s="285"/>
      <c r="G18" s="30"/>
      <c r="H18" s="30"/>
    </row>
    <row r="19" spans="1:8">
      <c r="A19" s="286"/>
      <c r="B19" s="283"/>
      <c r="C19" s="283"/>
      <c r="D19" s="283"/>
      <c r="E19" s="283"/>
      <c r="F19" s="283"/>
      <c r="G19" s="30"/>
      <c r="H19" s="30"/>
    </row>
    <row r="20" spans="1:8">
      <c r="A20" s="41"/>
      <c r="B20" s="40"/>
      <c r="C20" s="40"/>
      <c r="D20" s="40"/>
      <c r="E20" s="42"/>
      <c r="F20" s="30"/>
      <c r="G20" s="30"/>
      <c r="H20" s="30"/>
    </row>
    <row r="21" spans="1:8">
      <c r="A21" s="30"/>
      <c r="B21" s="30"/>
      <c r="C21" s="30"/>
      <c r="D21" s="30"/>
      <c r="E21" s="30"/>
      <c r="F21" s="30"/>
      <c r="G21" s="30"/>
      <c r="H21" s="30"/>
    </row>
    <row r="22" spans="1:8">
      <c r="A22" s="44"/>
      <c r="B22" s="45"/>
      <c r="C22" s="45"/>
      <c r="D22" s="45"/>
      <c r="E22" s="45"/>
      <c r="F22" s="45"/>
      <c r="G22" s="30"/>
      <c r="H22" s="30"/>
    </row>
    <row r="23" spans="1:8">
      <c r="A23" s="46"/>
      <c r="B23" s="47"/>
      <c r="C23" s="43"/>
      <c r="D23" s="43"/>
      <c r="E23" s="43"/>
      <c r="F23" s="43"/>
      <c r="G23" s="30"/>
      <c r="H23" s="30"/>
    </row>
    <row r="24" spans="1:8">
      <c r="A24" s="48"/>
      <c r="B24" s="49"/>
      <c r="C24" s="49"/>
      <c r="D24" s="49"/>
      <c r="E24" s="49"/>
      <c r="F24" s="49"/>
      <c r="G24" s="30"/>
      <c r="H24" s="30"/>
    </row>
    <row r="25" spans="1:8">
      <c r="A25" s="50"/>
      <c r="B25" s="51"/>
      <c r="C25" s="51"/>
      <c r="D25" s="51"/>
      <c r="E25" s="51"/>
      <c r="F25" s="51"/>
      <c r="G25" s="30"/>
    </row>
    <row r="26" spans="1:8">
      <c r="A26" s="30"/>
      <c r="B26" s="30"/>
      <c r="C26" s="30"/>
      <c r="D26" s="30"/>
      <c r="E26" s="1572"/>
      <c r="F26" s="1572"/>
      <c r="G26" s="30"/>
    </row>
    <row r="27" spans="1:8">
      <c r="A27" s="30"/>
      <c r="B27" s="52"/>
      <c r="C27" s="52"/>
      <c r="D27" s="52"/>
      <c r="E27" s="52"/>
      <c r="F27" s="52"/>
      <c r="G27" s="30"/>
    </row>
    <row r="28" spans="1:8">
      <c r="A28" s="30"/>
      <c r="B28" s="30"/>
      <c r="C28" s="30"/>
      <c r="D28" s="30"/>
      <c r="E28" s="30"/>
      <c r="F28" s="30"/>
      <c r="G28" s="30"/>
    </row>
    <row r="29" spans="1:8">
      <c r="A29" s="1570"/>
      <c r="B29" s="1570"/>
      <c r="C29" s="1570"/>
      <c r="D29" s="1570"/>
      <c r="E29" s="1570"/>
      <c r="F29" s="1570"/>
      <c r="G29" s="30"/>
    </row>
    <row r="30" spans="1:8">
      <c r="A30" s="53"/>
      <c r="B30" s="35"/>
      <c r="C30" s="35"/>
      <c r="D30" s="35"/>
      <c r="E30" s="35"/>
      <c r="F30" s="35"/>
      <c r="G30" s="30"/>
    </row>
    <row r="31" spans="1:8">
      <c r="A31" s="30"/>
      <c r="B31" s="38"/>
      <c r="C31" s="38"/>
      <c r="D31" s="38"/>
      <c r="E31" s="38"/>
      <c r="F31" s="38"/>
      <c r="G31" s="30"/>
    </row>
    <row r="32" spans="1:8">
      <c r="A32" s="30"/>
      <c r="B32" s="54"/>
      <c r="C32" s="54"/>
      <c r="D32" s="54"/>
      <c r="E32" s="54"/>
      <c r="F32" s="54"/>
      <c r="G32" s="30"/>
    </row>
    <row r="33" spans="3:6">
      <c r="E33" s="1571"/>
      <c r="F33" s="1571"/>
    </row>
    <row r="37" spans="3:6">
      <c r="C37" s="2"/>
    </row>
  </sheetData>
  <mergeCells count="3">
    <mergeCell ref="A29:F29"/>
    <mergeCell ref="E33:F33"/>
    <mergeCell ref="E26:F26"/>
  </mergeCells>
  <pageMargins left="0.7" right="0.7" top="0.75" bottom="0.75" header="0.3" footer="0.3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53"/>
  <sheetViews>
    <sheetView showGridLines="0" workbookViewId="0"/>
  </sheetViews>
  <sheetFormatPr defaultRowHeight="12"/>
  <cols>
    <col min="1" max="1" width="51" style="24" customWidth="1"/>
    <col min="2" max="2" width="10" style="24" bestFit="1" customWidth="1"/>
    <col min="3" max="3" width="10.28515625" style="24" bestFit="1" customWidth="1"/>
    <col min="4" max="4" width="10.140625" style="24" bestFit="1" customWidth="1"/>
    <col min="5" max="5" width="9.85546875" style="24" bestFit="1" customWidth="1"/>
    <col min="6" max="6" width="10" style="24" bestFit="1" customWidth="1"/>
    <col min="7" max="7" width="9.140625" style="24"/>
    <col min="8" max="8" width="53.42578125" style="24" bestFit="1" customWidth="1"/>
    <col min="9" max="16384" width="9.140625" style="24"/>
  </cols>
  <sheetData>
    <row r="1" spans="1:13" ht="12.75" customHeight="1">
      <c r="A1" s="92" t="s">
        <v>363</v>
      </c>
      <c r="B1" s="82"/>
      <c r="C1" s="83"/>
      <c r="D1" s="1573"/>
      <c r="E1" s="1573"/>
      <c r="F1" s="1573"/>
      <c r="H1" s="82" t="s">
        <v>364</v>
      </c>
    </row>
    <row r="2" spans="1:13">
      <c r="A2" s="84"/>
      <c r="B2" s="21" t="s">
        <v>73</v>
      </c>
      <c r="C2" s="21" t="s">
        <v>115</v>
      </c>
      <c r="D2" s="21" t="s">
        <v>75</v>
      </c>
      <c r="E2" s="21" t="s">
        <v>74</v>
      </c>
      <c r="F2" s="21" t="s">
        <v>111</v>
      </c>
      <c r="H2" s="84"/>
      <c r="I2" s="21" t="s">
        <v>73</v>
      </c>
      <c r="J2" s="21" t="s">
        <v>115</v>
      </c>
      <c r="K2" s="21" t="s">
        <v>75</v>
      </c>
      <c r="L2" s="21" t="s">
        <v>74</v>
      </c>
      <c r="M2" s="21" t="s">
        <v>111</v>
      </c>
    </row>
    <row r="3" spans="1:13">
      <c r="A3" s="48" t="s">
        <v>14</v>
      </c>
      <c r="B3" s="85">
        <f>B4+B17+B20+B25</f>
        <v>33450.130000000005</v>
      </c>
      <c r="C3" s="85">
        <f>C4+C17+C20+C25</f>
        <v>33310.095999999998</v>
      </c>
      <c r="D3" s="85">
        <f>D4+D17+D20+D25</f>
        <v>34432.272000000004</v>
      </c>
      <c r="E3" s="85">
        <f>E4+E17+E20+E25</f>
        <v>37073.249000000003</v>
      </c>
      <c r="F3" s="85">
        <f>F4+F17+F20+F25</f>
        <v>38696.677000000003</v>
      </c>
      <c r="H3" s="48" t="s">
        <v>14</v>
      </c>
      <c r="I3" s="110">
        <f>B3/B$53*100</f>
        <v>39.825667360698162</v>
      </c>
      <c r="J3" s="110">
        <f>C3/C$53*100</f>
        <v>39.373836526283007</v>
      </c>
      <c r="K3" s="110">
        <f>D3/D$53*100</f>
        <v>38.473818087544096</v>
      </c>
      <c r="L3" s="110">
        <f>E3/E$53*100</f>
        <v>38.917605297092138</v>
      </c>
      <c r="M3" s="110">
        <f>F3/F$53*100</f>
        <v>38.310752106227831</v>
      </c>
    </row>
    <row r="4" spans="1:13">
      <c r="A4" s="75" t="s">
        <v>15</v>
      </c>
      <c r="B4" s="86">
        <f>B5+B10+B16</f>
        <v>15594.23</v>
      </c>
      <c r="C4" s="86">
        <f>C5+C10+C16</f>
        <v>15313.552</v>
      </c>
      <c r="D4" s="86">
        <f>D5+D10+D16</f>
        <v>16223.173000000001</v>
      </c>
      <c r="E4" s="86">
        <f>E5+E10+E16</f>
        <v>17014.188000000002</v>
      </c>
      <c r="F4" s="86">
        <f>F5+F10+F16</f>
        <v>17848.026000000002</v>
      </c>
      <c r="H4" s="75" t="s">
        <v>15</v>
      </c>
      <c r="I4" s="111">
        <f t="shared" ref="I4:I49" si="0">B4/B$53*100</f>
        <v>18.566463470432552</v>
      </c>
      <c r="J4" s="111">
        <f t="shared" ref="J4:J49" si="1">C4/C$53*100</f>
        <v>18.101217513294895</v>
      </c>
      <c r="K4" s="111">
        <f t="shared" ref="K4:K49" si="2">D4/D$53*100</f>
        <v>18.127395334375755</v>
      </c>
      <c r="L4" s="111">
        <f t="shared" ref="L4:L49" si="3">E4/E$53*100</f>
        <v>17.860626486621701</v>
      </c>
      <c r="M4" s="111">
        <f t="shared" ref="M4:M49" si="4">F4/F$53*100</f>
        <v>17.670026283432787</v>
      </c>
    </row>
    <row r="5" spans="1:13">
      <c r="A5" s="76" t="s">
        <v>16</v>
      </c>
      <c r="B5" s="87">
        <v>9138.4410000000007</v>
      </c>
      <c r="C5" s="87">
        <v>9265.1565666666665</v>
      </c>
      <c r="D5" s="87">
        <v>9831.2980000000007</v>
      </c>
      <c r="E5" s="87">
        <v>10238.887000000001</v>
      </c>
      <c r="F5" s="87">
        <v>10639.173000000001</v>
      </c>
      <c r="H5" s="76" t="s">
        <v>16</v>
      </c>
      <c r="I5" s="112">
        <f t="shared" si="0"/>
        <v>10.880212168424034</v>
      </c>
      <c r="J5" s="112">
        <f t="shared" si="1"/>
        <v>10.951777504524481</v>
      </c>
      <c r="K5" s="112">
        <f t="shared" si="2"/>
        <v>10.985263209364636</v>
      </c>
      <c r="L5" s="112">
        <f t="shared" si="3"/>
        <v>10.74826117742008</v>
      </c>
      <c r="M5" s="112">
        <f t="shared" si="4"/>
        <v>10.5330677209899</v>
      </c>
    </row>
    <row r="6" spans="1:13">
      <c r="A6" s="77" t="s">
        <v>17</v>
      </c>
      <c r="B6" s="87">
        <v>5759.7039999999997</v>
      </c>
      <c r="C6" s="87">
        <v>5880.0109999999995</v>
      </c>
      <c r="D6" s="87">
        <v>6104.4170000000004</v>
      </c>
      <c r="E6" s="87">
        <v>6402.027</v>
      </c>
      <c r="F6" s="87">
        <v>6709.5569999999998</v>
      </c>
      <c r="H6" s="77" t="s">
        <v>17</v>
      </c>
      <c r="I6" s="112">
        <f t="shared" si="0"/>
        <v>6.8574936958416179</v>
      </c>
      <c r="J6" s="112">
        <f t="shared" si="1"/>
        <v>6.950403021556764</v>
      </c>
      <c r="K6" s="112">
        <f t="shared" si="2"/>
        <v>6.8209332566991705</v>
      </c>
      <c r="L6" s="112">
        <f t="shared" si="3"/>
        <v>6.7205213087023168</v>
      </c>
      <c r="M6" s="112">
        <f t="shared" si="4"/>
        <v>6.6426420793084029</v>
      </c>
    </row>
    <row r="7" spans="1:13">
      <c r="A7" s="77" t="s">
        <v>18</v>
      </c>
      <c r="B7" s="87">
        <v>2259.7530000000002</v>
      </c>
      <c r="C7" s="87">
        <v>2271.5810000000001</v>
      </c>
      <c r="D7" s="87">
        <v>2341.1289999999999</v>
      </c>
      <c r="E7" s="87">
        <v>2439.864</v>
      </c>
      <c r="F7" s="87">
        <v>2505.5300000000002</v>
      </c>
      <c r="H7" s="77" t="s">
        <v>18</v>
      </c>
      <c r="I7" s="112">
        <f t="shared" si="0"/>
        <v>2.6904580429235927</v>
      </c>
      <c r="J7" s="112">
        <f t="shared" si="1"/>
        <v>2.6850976037478396</v>
      </c>
      <c r="K7" s="112">
        <f t="shared" si="2"/>
        <v>2.6159229709115337</v>
      </c>
      <c r="L7" s="112">
        <f t="shared" si="3"/>
        <v>2.5612447436313013</v>
      </c>
      <c r="M7" s="112">
        <f t="shared" si="4"/>
        <v>2.48054215933624</v>
      </c>
    </row>
    <row r="8" spans="1:13">
      <c r="A8" s="77" t="s">
        <v>19</v>
      </c>
      <c r="B8" s="87">
        <v>0</v>
      </c>
      <c r="C8" s="87">
        <v>0</v>
      </c>
      <c r="D8" s="87">
        <v>0</v>
      </c>
      <c r="E8" s="87">
        <v>0</v>
      </c>
      <c r="F8" s="87">
        <v>0</v>
      </c>
      <c r="H8" s="77" t="s">
        <v>19</v>
      </c>
      <c r="I8" s="112">
        <f t="shared" si="0"/>
        <v>0</v>
      </c>
      <c r="J8" s="112">
        <f t="shared" si="1"/>
        <v>0</v>
      </c>
      <c r="K8" s="112">
        <f t="shared" si="2"/>
        <v>0</v>
      </c>
      <c r="L8" s="112">
        <f t="shared" si="3"/>
        <v>0</v>
      </c>
      <c r="M8" s="112">
        <f t="shared" si="4"/>
        <v>0</v>
      </c>
    </row>
    <row r="9" spans="1:13">
      <c r="A9" s="77" t="s">
        <v>20</v>
      </c>
      <c r="B9" s="87">
        <v>241.744</v>
      </c>
      <c r="C9" s="87">
        <v>256.11766666666665</v>
      </c>
      <c r="D9" s="87">
        <v>261.26</v>
      </c>
      <c r="E9" s="87">
        <v>267.09699999999998</v>
      </c>
      <c r="F9" s="87">
        <v>273.15499999999997</v>
      </c>
      <c r="H9" s="77" t="s">
        <v>20</v>
      </c>
      <c r="I9" s="112">
        <f t="shared" si="0"/>
        <v>0.28781999144531323</v>
      </c>
      <c r="J9" s="112">
        <f t="shared" si="1"/>
        <v>0.3027411010411491</v>
      </c>
      <c r="K9" s="112">
        <f t="shared" si="2"/>
        <v>0.29192583380939169</v>
      </c>
      <c r="L9" s="112">
        <f t="shared" si="3"/>
        <v>0.28038480312414527</v>
      </c>
      <c r="M9" s="112">
        <f t="shared" si="4"/>
        <v>0.27043080447389994</v>
      </c>
    </row>
    <row r="10" spans="1:13">
      <c r="A10" s="78" t="s">
        <v>21</v>
      </c>
      <c r="B10" s="87">
        <v>6455.7889999999998</v>
      </c>
      <c r="C10" s="87">
        <v>6048.3954333333331</v>
      </c>
      <c r="D10" s="87">
        <v>6391.875</v>
      </c>
      <c r="E10" s="87">
        <v>6775.3010000000004</v>
      </c>
      <c r="F10" s="87">
        <v>7208.8530000000001</v>
      </c>
      <c r="H10" s="78" t="s">
        <v>21</v>
      </c>
      <c r="I10" s="112">
        <f t="shared" si="0"/>
        <v>7.6862513020085181</v>
      </c>
      <c r="J10" s="112">
        <f t="shared" si="1"/>
        <v>7.1494400087704149</v>
      </c>
      <c r="K10" s="112">
        <f t="shared" si="2"/>
        <v>7.1421321250111207</v>
      </c>
      <c r="L10" s="112">
        <f t="shared" si="3"/>
        <v>7.1123653092016195</v>
      </c>
      <c r="M10" s="112">
        <f t="shared" si="4"/>
        <v>7.1369585624428886</v>
      </c>
    </row>
    <row r="11" spans="1:13">
      <c r="A11" s="77" t="s">
        <v>22</v>
      </c>
      <c r="B11" s="87">
        <v>2802.8179999999998</v>
      </c>
      <c r="C11" s="87">
        <v>2865.913</v>
      </c>
      <c r="D11" s="87">
        <v>3077.0920000000001</v>
      </c>
      <c r="E11" s="87">
        <v>3296.297</v>
      </c>
      <c r="F11" s="87">
        <v>3542.1279999999997</v>
      </c>
      <c r="H11" s="77" t="s">
        <v>22</v>
      </c>
      <c r="I11" s="112">
        <f t="shared" si="0"/>
        <v>3.3370302997500239</v>
      </c>
      <c r="J11" s="112">
        <f t="shared" si="1"/>
        <v>3.3876212773613537</v>
      </c>
      <c r="K11" s="112">
        <f t="shared" si="2"/>
        <v>3.4382708711942453</v>
      </c>
      <c r="L11" s="112">
        <f t="shared" si="3"/>
        <v>3.4602844112203086</v>
      </c>
      <c r="M11" s="112">
        <f t="shared" si="4"/>
        <v>3.5068020888855274</v>
      </c>
    </row>
    <row r="12" spans="1:13">
      <c r="A12" s="80" t="s">
        <v>23</v>
      </c>
      <c r="B12" s="87">
        <v>2984.2869999999998</v>
      </c>
      <c r="C12" s="87">
        <v>2733.759</v>
      </c>
      <c r="D12" s="87">
        <v>2794.125</v>
      </c>
      <c r="E12" s="87">
        <v>2956.9940000000001</v>
      </c>
      <c r="F12" s="87">
        <v>3131.4270000000001</v>
      </c>
      <c r="H12" s="80" t="s">
        <v>23</v>
      </c>
      <c r="I12" s="112">
        <f t="shared" si="0"/>
        <v>3.5530869796576519</v>
      </c>
      <c r="J12" s="112">
        <f t="shared" si="1"/>
        <v>3.2314100796423677</v>
      </c>
      <c r="K12" s="112">
        <f t="shared" si="2"/>
        <v>3.1220901415933038</v>
      </c>
      <c r="L12" s="112">
        <f t="shared" si="3"/>
        <v>3.1041014332968135</v>
      </c>
      <c r="M12" s="112">
        <f t="shared" si="4"/>
        <v>3.1001970410986113</v>
      </c>
    </row>
    <row r="13" spans="1:13" ht="15" customHeight="1">
      <c r="A13" s="80" t="s">
        <v>24</v>
      </c>
      <c r="B13" s="87">
        <v>190.024</v>
      </c>
      <c r="C13" s="87">
        <v>171.56399999999999</v>
      </c>
      <c r="D13" s="87">
        <v>242.63800000000001</v>
      </c>
      <c r="E13" s="87">
        <v>241.69</v>
      </c>
      <c r="F13" s="87">
        <v>252.46600000000001</v>
      </c>
      <c r="H13" s="80" t="s">
        <v>24</v>
      </c>
      <c r="I13" s="112">
        <f t="shared" si="0"/>
        <v>0.22624224822293088</v>
      </c>
      <c r="J13" s="112">
        <f t="shared" si="1"/>
        <v>0.20279535939479784</v>
      </c>
      <c r="K13" s="112">
        <f t="shared" si="2"/>
        <v>0.27111804510389331</v>
      </c>
      <c r="L13" s="112">
        <f t="shared" si="3"/>
        <v>0.25371383080706517</v>
      </c>
      <c r="M13" s="112">
        <f t="shared" si="4"/>
        <v>0.24994813743957692</v>
      </c>
    </row>
    <row r="14" spans="1:13" ht="12" customHeight="1">
      <c r="A14" s="80" t="s">
        <v>25</v>
      </c>
      <c r="B14" s="87">
        <v>0</v>
      </c>
      <c r="C14" s="87">
        <v>0</v>
      </c>
      <c r="D14" s="87">
        <v>0</v>
      </c>
      <c r="E14" s="87">
        <v>0</v>
      </c>
      <c r="F14" s="87">
        <v>0</v>
      </c>
      <c r="H14" s="80" t="s">
        <v>25</v>
      </c>
      <c r="I14" s="112">
        <f t="shared" si="0"/>
        <v>0</v>
      </c>
      <c r="J14" s="112">
        <f t="shared" si="1"/>
        <v>0</v>
      </c>
      <c r="K14" s="112">
        <f t="shared" si="2"/>
        <v>0</v>
      </c>
      <c r="L14" s="112">
        <f t="shared" si="3"/>
        <v>0</v>
      </c>
      <c r="M14" s="112">
        <f t="shared" si="4"/>
        <v>0</v>
      </c>
    </row>
    <row r="15" spans="1:13">
      <c r="A15" s="80" t="s">
        <v>20</v>
      </c>
      <c r="B15" s="87">
        <v>111.367</v>
      </c>
      <c r="C15" s="87">
        <v>118.55433333333333</v>
      </c>
      <c r="D15" s="87">
        <v>120.506</v>
      </c>
      <c r="E15" s="87">
        <v>122.795</v>
      </c>
      <c r="F15" s="87">
        <v>125.251</v>
      </c>
      <c r="H15" s="80" t="s">
        <v>20</v>
      </c>
      <c r="I15" s="112">
        <f t="shared" si="0"/>
        <v>0.13259335903803279</v>
      </c>
      <c r="J15" s="112">
        <f t="shared" si="1"/>
        <v>0.14013585971499845</v>
      </c>
      <c r="K15" s="112">
        <f t="shared" si="2"/>
        <v>0.1346505953036613</v>
      </c>
      <c r="L15" s="112">
        <f t="shared" si="3"/>
        <v>0.12890392591316796</v>
      </c>
      <c r="M15" s="112">
        <f t="shared" si="4"/>
        <v>0.12400186228024544</v>
      </c>
    </row>
    <row r="16" spans="1:13">
      <c r="A16" s="76" t="s">
        <v>26</v>
      </c>
      <c r="B16" s="87">
        <v>0</v>
      </c>
      <c r="C16" s="87">
        <v>0</v>
      </c>
      <c r="D16" s="87">
        <v>0</v>
      </c>
      <c r="E16" s="87">
        <v>0</v>
      </c>
      <c r="F16" s="87">
        <v>0</v>
      </c>
      <c r="H16" s="76" t="s">
        <v>26</v>
      </c>
      <c r="I16" s="112">
        <f t="shared" si="0"/>
        <v>0</v>
      </c>
      <c r="J16" s="112">
        <f t="shared" si="1"/>
        <v>0</v>
      </c>
      <c r="K16" s="112">
        <f t="shared" si="2"/>
        <v>0</v>
      </c>
      <c r="L16" s="112">
        <f t="shared" si="3"/>
        <v>0</v>
      </c>
      <c r="M16" s="112">
        <f t="shared" si="4"/>
        <v>0</v>
      </c>
    </row>
    <row r="17" spans="1:13">
      <c r="A17" s="75" t="s">
        <v>27</v>
      </c>
      <c r="B17" s="86">
        <v>12033.629000000001</v>
      </c>
      <c r="C17" s="86">
        <v>12501.758</v>
      </c>
      <c r="D17" s="86">
        <v>13107.877</v>
      </c>
      <c r="E17" s="86">
        <v>13816.028000000002</v>
      </c>
      <c r="F17" s="86">
        <v>14607.424000000001</v>
      </c>
      <c r="H17" s="75" t="s">
        <v>27</v>
      </c>
      <c r="I17" s="111">
        <f t="shared" si="0"/>
        <v>14.327218031620529</v>
      </c>
      <c r="J17" s="111">
        <f t="shared" si="1"/>
        <v>14.777567011009241</v>
      </c>
      <c r="K17" s="111">
        <f t="shared" si="2"/>
        <v>14.646436204148921</v>
      </c>
      <c r="L17" s="111">
        <f t="shared" si="3"/>
        <v>14.503361290982975</v>
      </c>
      <c r="M17" s="111">
        <f t="shared" si="4"/>
        <v>14.461743052887021</v>
      </c>
    </row>
    <row r="18" spans="1:13">
      <c r="A18" s="76" t="s">
        <v>28</v>
      </c>
      <c r="B18" s="88">
        <v>11857.274000000001</v>
      </c>
      <c r="C18" s="88">
        <v>12325.062</v>
      </c>
      <c r="D18" s="88">
        <v>12941.491</v>
      </c>
      <c r="E18" s="88">
        <v>13650.221000000001</v>
      </c>
      <c r="F18" s="88">
        <v>14437.813</v>
      </c>
      <c r="H18" s="76" t="s">
        <v>28</v>
      </c>
      <c r="I18" s="113">
        <f t="shared" si="0"/>
        <v>14.117250071334697</v>
      </c>
      <c r="J18" s="113">
        <f t="shared" si="1"/>
        <v>14.568705426856251</v>
      </c>
      <c r="K18" s="113">
        <f t="shared" si="2"/>
        <v>14.460520366346696</v>
      </c>
      <c r="L18" s="113">
        <f t="shared" si="3"/>
        <v>14.329305561972147</v>
      </c>
      <c r="M18" s="113">
        <f t="shared" si="4"/>
        <v>14.293823596250229</v>
      </c>
    </row>
    <row r="19" spans="1:13">
      <c r="A19" s="76" t="s">
        <v>29</v>
      </c>
      <c r="B19" s="87">
        <v>176.35499999999999</v>
      </c>
      <c r="C19" s="87">
        <v>176.696</v>
      </c>
      <c r="D19" s="87">
        <v>166.386</v>
      </c>
      <c r="E19" s="87">
        <v>165.80699999999999</v>
      </c>
      <c r="F19" s="87">
        <v>169.61099999999999</v>
      </c>
      <c r="H19" s="76" t="s">
        <v>29</v>
      </c>
      <c r="I19" s="112">
        <f t="shared" si="0"/>
        <v>0.20996796028583214</v>
      </c>
      <c r="J19" s="112">
        <f t="shared" si="1"/>
        <v>0.20886158415298781</v>
      </c>
      <c r="K19" s="112">
        <f t="shared" si="2"/>
        <v>0.18591583780222554</v>
      </c>
      <c r="L19" s="112">
        <f t="shared" si="3"/>
        <v>0.17405572901082814</v>
      </c>
      <c r="M19" s="112">
        <f t="shared" si="4"/>
        <v>0.167919456636791</v>
      </c>
    </row>
    <row r="20" spans="1:13">
      <c r="A20" s="75" t="s">
        <v>30</v>
      </c>
      <c r="B20" s="89">
        <v>3935.0600000000004</v>
      </c>
      <c r="C20" s="89">
        <v>3913.7650000000003</v>
      </c>
      <c r="D20" s="89">
        <v>4161.8379999999997</v>
      </c>
      <c r="E20" s="89">
        <v>4272.6959999999999</v>
      </c>
      <c r="F20" s="89">
        <v>4328.54</v>
      </c>
      <c r="H20" s="75" t="s">
        <v>30</v>
      </c>
      <c r="I20" s="114">
        <f t="shared" si="0"/>
        <v>4.6850756814514298</v>
      </c>
      <c r="J20" s="114">
        <f t="shared" si="1"/>
        <v>4.6262233321779691</v>
      </c>
      <c r="K20" s="114">
        <f t="shared" si="2"/>
        <v>4.6503407652515154</v>
      </c>
      <c r="L20" s="114">
        <f t="shared" si="3"/>
        <v>4.4852582648600441</v>
      </c>
      <c r="M20" s="114">
        <f t="shared" si="4"/>
        <v>4.2853711423823651</v>
      </c>
    </row>
    <row r="21" spans="1:13">
      <c r="A21" s="76" t="s">
        <v>31</v>
      </c>
      <c r="B21" s="87">
        <v>3387.1220000000003</v>
      </c>
      <c r="C21" s="87">
        <v>3353.3270000000002</v>
      </c>
      <c r="D21" s="87">
        <v>3600.5410000000002</v>
      </c>
      <c r="E21" s="87">
        <v>3703.6749999999997</v>
      </c>
      <c r="F21" s="87">
        <v>3757.9749999999999</v>
      </c>
      <c r="H21" s="76" t="s">
        <v>31</v>
      </c>
      <c r="I21" s="112">
        <f t="shared" si="0"/>
        <v>4.0327016391895238</v>
      </c>
      <c r="J21" s="112">
        <f t="shared" si="1"/>
        <v>3.9637636924604189</v>
      </c>
      <c r="K21" s="112">
        <f t="shared" si="2"/>
        <v>4.0231605817572564</v>
      </c>
      <c r="L21" s="112">
        <f t="shared" si="3"/>
        <v>3.8879290509096651</v>
      </c>
      <c r="M21" s="112">
        <f t="shared" si="4"/>
        <v>3.7204964303886228</v>
      </c>
    </row>
    <row r="22" spans="1:13">
      <c r="A22" s="76" t="s">
        <v>32</v>
      </c>
      <c r="B22" s="87">
        <v>547.93799999999999</v>
      </c>
      <c r="C22" s="87">
        <v>560.43799999999999</v>
      </c>
      <c r="D22" s="87">
        <v>561.29700000000003</v>
      </c>
      <c r="E22" s="87">
        <v>569.02099999999996</v>
      </c>
      <c r="F22" s="87">
        <v>570.56500000000005</v>
      </c>
      <c r="H22" s="76" t="s">
        <v>32</v>
      </c>
      <c r="I22" s="112">
        <f t="shared" si="0"/>
        <v>0.65237404226190532</v>
      </c>
      <c r="J22" s="112">
        <f t="shared" si="1"/>
        <v>0.66245963971754984</v>
      </c>
      <c r="K22" s="112">
        <f t="shared" si="2"/>
        <v>0.62718018349425908</v>
      </c>
      <c r="L22" s="112">
        <f t="shared" si="3"/>
        <v>0.59732921395037863</v>
      </c>
      <c r="M22" s="112">
        <f t="shared" si="4"/>
        <v>0.56487471199374251</v>
      </c>
    </row>
    <row r="23" spans="1:13">
      <c r="A23" s="80" t="s">
        <v>33</v>
      </c>
      <c r="B23" s="87">
        <v>452.43299999999999</v>
      </c>
      <c r="C23" s="87">
        <v>461.14100000000002</v>
      </c>
      <c r="D23" s="87">
        <v>475.04199999999997</v>
      </c>
      <c r="E23" s="87">
        <v>481.64800000000002</v>
      </c>
      <c r="F23" s="87">
        <v>482.86399999999998</v>
      </c>
      <c r="H23" s="80" t="s">
        <v>33</v>
      </c>
      <c r="I23" s="112">
        <f t="shared" si="0"/>
        <v>0.53866595319667665</v>
      </c>
      <c r="J23" s="112">
        <f t="shared" si="1"/>
        <v>0.54508670132823012</v>
      </c>
      <c r="K23" s="112">
        <f t="shared" si="2"/>
        <v>0.53080085717094472</v>
      </c>
      <c r="L23" s="112">
        <f t="shared" si="3"/>
        <v>0.50560949638198238</v>
      </c>
      <c r="M23" s="112">
        <f t="shared" si="4"/>
        <v>0.47804836071638895</v>
      </c>
    </row>
    <row r="24" spans="1:13">
      <c r="A24" s="80" t="s">
        <v>34</v>
      </c>
      <c r="B24" s="87">
        <v>43.39</v>
      </c>
      <c r="C24" s="87">
        <v>38.353000000000002</v>
      </c>
      <c r="D24" s="87">
        <v>37.524999999999999</v>
      </c>
      <c r="E24" s="87">
        <v>37.651000000000003</v>
      </c>
      <c r="F24" s="87">
        <v>37.765000000000001</v>
      </c>
      <c r="H24" s="80" t="s">
        <v>34</v>
      </c>
      <c r="I24" s="112">
        <f t="shared" si="0"/>
        <v>5.166005952086563E-2</v>
      </c>
      <c r="J24" s="112">
        <f t="shared" si="1"/>
        <v>4.5334746327135543E-2</v>
      </c>
      <c r="K24" s="112">
        <f t="shared" si="2"/>
        <v>4.1929560260650013E-2</v>
      </c>
      <c r="L24" s="112">
        <f t="shared" si="3"/>
        <v>3.9524098819631807E-2</v>
      </c>
      <c r="M24" s="112">
        <f t="shared" si="4"/>
        <v>3.7388366791590244E-2</v>
      </c>
    </row>
    <row r="25" spans="1:13">
      <c r="A25" s="75" t="s">
        <v>35</v>
      </c>
      <c r="B25" s="89">
        <v>1887.211</v>
      </c>
      <c r="C25" s="89">
        <v>1581.0209999999997</v>
      </c>
      <c r="D25" s="89">
        <v>939.38400000000001</v>
      </c>
      <c r="E25" s="89">
        <v>1970.337</v>
      </c>
      <c r="F25" s="89">
        <v>1912.6870000000001</v>
      </c>
      <c r="H25" s="75" t="s">
        <v>35</v>
      </c>
      <c r="I25" s="114">
        <f t="shared" si="0"/>
        <v>2.2469101771936471</v>
      </c>
      <c r="J25" s="114">
        <f t="shared" si="1"/>
        <v>1.8688286698009062</v>
      </c>
      <c r="K25" s="114">
        <f t="shared" si="2"/>
        <v>1.0496457837679001</v>
      </c>
      <c r="L25" s="114">
        <f t="shared" si="3"/>
        <v>2.0683592546274165</v>
      </c>
      <c r="M25" s="114">
        <f t="shared" si="4"/>
        <v>1.8936116275256554</v>
      </c>
    </row>
    <row r="26" spans="1:13">
      <c r="A26" s="76" t="s">
        <v>36</v>
      </c>
      <c r="B26" s="87">
        <v>1148.5540000000001</v>
      </c>
      <c r="C26" s="87">
        <v>810.125</v>
      </c>
      <c r="D26" s="87">
        <v>346.04300000000001</v>
      </c>
      <c r="E26" s="87">
        <v>1331.395</v>
      </c>
      <c r="F26" s="87">
        <v>1226.511</v>
      </c>
      <c r="H26" s="76" t="s">
        <v>36</v>
      </c>
      <c r="I26" s="112">
        <f t="shared" si="0"/>
        <v>1.3674664209017817</v>
      </c>
      <c r="J26" s="112">
        <f t="shared" si="1"/>
        <v>0.9575994411980987</v>
      </c>
      <c r="K26" s="112">
        <f t="shared" si="2"/>
        <v>0.38666038164626548</v>
      </c>
      <c r="L26" s="112">
        <f t="shared" si="3"/>
        <v>1.397630542295389</v>
      </c>
      <c r="M26" s="112">
        <f t="shared" si="4"/>
        <v>1.2142789128007452</v>
      </c>
    </row>
    <row r="27" spans="1:13">
      <c r="A27" s="48" t="s">
        <v>39</v>
      </c>
      <c r="B27" s="85">
        <f>B29+B30+B31+B32+B33+B35+B44+B46</f>
        <v>34533.618999999999</v>
      </c>
      <c r="C27" s="85">
        <f t="shared" ref="C27:F27" si="5">C29+C30+C31+C32+C33+C35+C44+C46</f>
        <v>34685.646000000001</v>
      </c>
      <c r="D27" s="85">
        <f t="shared" si="5"/>
        <v>35175.083000000006</v>
      </c>
      <c r="E27" s="85">
        <f t="shared" si="5"/>
        <v>37382.695999999996</v>
      </c>
      <c r="F27" s="85">
        <f t="shared" si="5"/>
        <v>38969.705000000002</v>
      </c>
      <c r="H27" s="48" t="s">
        <v>39</v>
      </c>
      <c r="I27" s="110">
        <f t="shared" si="0"/>
        <v>41.11566750428431</v>
      </c>
      <c r="J27" s="110">
        <f t="shared" si="1"/>
        <v>40.999790436284613</v>
      </c>
      <c r="K27" s="110">
        <f t="shared" si="2"/>
        <v>39.303817783394166</v>
      </c>
      <c r="L27" s="110">
        <f t="shared" si="3"/>
        <v>39.242446969489635</v>
      </c>
      <c r="M27" s="110">
        <f t="shared" si="4"/>
        <v>38.581057177282361</v>
      </c>
    </row>
    <row r="28" spans="1:13">
      <c r="A28" s="75" t="s">
        <v>40</v>
      </c>
      <c r="B28" s="89">
        <f>B29+B30+B31+B32+B33+B35+B44</f>
        <v>31272.936000000002</v>
      </c>
      <c r="C28" s="89">
        <f t="shared" ref="C28:F28" si="6">C29+C30+C31+C32+C33+C35+C44</f>
        <v>31556.273999999998</v>
      </c>
      <c r="D28" s="89">
        <f t="shared" si="6"/>
        <v>32807.440000000002</v>
      </c>
      <c r="E28" s="89">
        <f t="shared" si="6"/>
        <v>34598.014999999999</v>
      </c>
      <c r="F28" s="89">
        <f t="shared" si="6"/>
        <v>35948.779000000002</v>
      </c>
      <c r="H28" s="75" t="s">
        <v>40</v>
      </c>
      <c r="I28" s="114">
        <f t="shared" si="0"/>
        <v>37.233503921461661</v>
      </c>
      <c r="J28" s="114">
        <f t="shared" si="1"/>
        <v>37.300750314697225</v>
      </c>
      <c r="K28" s="114">
        <f t="shared" si="2"/>
        <v>36.658268686946293</v>
      </c>
      <c r="L28" s="114">
        <f t="shared" si="3"/>
        <v>36.319230932062986</v>
      </c>
      <c r="M28" s="114">
        <f t="shared" si="4"/>
        <v>35.590259101332364</v>
      </c>
    </row>
    <row r="29" spans="1:13">
      <c r="A29" s="76" t="s">
        <v>41</v>
      </c>
      <c r="B29" s="87">
        <v>7342.7070000000003</v>
      </c>
      <c r="C29" s="87">
        <v>7597.9260000000004</v>
      </c>
      <c r="D29" s="87">
        <v>8105.2280000000001</v>
      </c>
      <c r="E29" s="87">
        <v>8765.3860000000004</v>
      </c>
      <c r="F29" s="87">
        <v>9061.4719999999998</v>
      </c>
      <c r="H29" s="76" t="s">
        <v>41</v>
      </c>
      <c r="I29" s="112">
        <f t="shared" si="0"/>
        <v>8.7422143504096965</v>
      </c>
      <c r="J29" s="112">
        <f t="shared" si="1"/>
        <v>8.9810457545002382</v>
      </c>
      <c r="K29" s="112">
        <f t="shared" si="2"/>
        <v>9.056592827509867</v>
      </c>
      <c r="L29" s="112">
        <f t="shared" si="3"/>
        <v>9.2014550066722567</v>
      </c>
      <c r="M29" s="112">
        <f t="shared" si="4"/>
        <v>8.9711012526870064</v>
      </c>
    </row>
    <row r="30" spans="1:13">
      <c r="A30" s="76" t="s">
        <v>42</v>
      </c>
      <c r="B30" s="87">
        <v>4696.3559999999998</v>
      </c>
      <c r="C30" s="87">
        <v>5034.107</v>
      </c>
      <c r="D30" s="87">
        <v>4887.9690000000001</v>
      </c>
      <c r="E30" s="87">
        <v>4919.6350000000002</v>
      </c>
      <c r="F30" s="87">
        <v>5203.3280000000004</v>
      </c>
      <c r="H30" s="76" t="s">
        <v>42</v>
      </c>
      <c r="I30" s="112">
        <f t="shared" si="0"/>
        <v>5.5914733922833459</v>
      </c>
      <c r="J30" s="112">
        <f t="shared" si="1"/>
        <v>5.9505114027235759</v>
      </c>
      <c r="K30" s="112">
        <f t="shared" si="2"/>
        <v>5.4617026179264272</v>
      </c>
      <c r="L30" s="112">
        <f t="shared" si="3"/>
        <v>5.1643818197795355</v>
      </c>
      <c r="M30" s="112">
        <f t="shared" si="4"/>
        <v>5.1514348153303766</v>
      </c>
    </row>
    <row r="31" spans="1:13">
      <c r="A31" s="76" t="s">
        <v>43</v>
      </c>
      <c r="B31" s="87">
        <v>49.786000000000001</v>
      </c>
      <c r="C31" s="87">
        <v>49.786000000000001</v>
      </c>
      <c r="D31" s="87">
        <v>90.834000000000003</v>
      </c>
      <c r="E31" s="87">
        <v>92.888999999999996</v>
      </c>
      <c r="F31" s="87">
        <v>99.093000000000004</v>
      </c>
      <c r="H31" s="76" t="s">
        <v>43</v>
      </c>
      <c r="I31" s="112">
        <f t="shared" si="0"/>
        <v>5.9275126142102237E-2</v>
      </c>
      <c r="J31" s="112">
        <f t="shared" si="1"/>
        <v>5.8848999573508462E-2</v>
      </c>
      <c r="K31" s="112">
        <f t="shared" si="2"/>
        <v>0.10149579418296825</v>
      </c>
      <c r="L31" s="112">
        <f t="shared" si="3"/>
        <v>9.7510132938216212E-2</v>
      </c>
      <c r="M31" s="112">
        <f t="shared" si="4"/>
        <v>9.8104737997591729E-2</v>
      </c>
    </row>
    <row r="32" spans="1:13">
      <c r="A32" s="76" t="s">
        <v>44</v>
      </c>
      <c r="B32" s="87">
        <v>479.62900000000002</v>
      </c>
      <c r="C32" s="87">
        <v>340.08300000000008</v>
      </c>
      <c r="D32" s="87">
        <v>394.23599999999999</v>
      </c>
      <c r="E32" s="87">
        <v>381.86099999999999</v>
      </c>
      <c r="F32" s="87">
        <v>391.524</v>
      </c>
      <c r="H32" s="76" t="s">
        <v>44</v>
      </c>
      <c r="I32" s="112">
        <f t="shared" si="0"/>
        <v>0.57104546411461776</v>
      </c>
      <c r="J32" s="112">
        <f t="shared" si="1"/>
        <v>0.40199140967254821</v>
      </c>
      <c r="K32" s="112">
        <f t="shared" si="2"/>
        <v>0.44051011642685189</v>
      </c>
      <c r="L32" s="112">
        <f t="shared" si="3"/>
        <v>0.40085819498455338</v>
      </c>
      <c r="M32" s="112">
        <f t="shared" si="4"/>
        <v>0.38761930146195095</v>
      </c>
    </row>
    <row r="33" spans="1:13">
      <c r="A33" s="76" t="s">
        <v>45</v>
      </c>
      <c r="B33" s="87">
        <v>1126.7070000000001</v>
      </c>
      <c r="C33" s="87">
        <v>1109.5999999999999</v>
      </c>
      <c r="D33" s="87">
        <v>1135.847</v>
      </c>
      <c r="E33" s="87">
        <v>1125.58</v>
      </c>
      <c r="F33" s="87">
        <v>1079.204</v>
      </c>
      <c r="H33" s="76" t="s">
        <v>45</v>
      </c>
      <c r="I33" s="112">
        <f t="shared" si="0"/>
        <v>1.3414554202022577</v>
      </c>
      <c r="J33" s="112">
        <f t="shared" si="1"/>
        <v>1.3115906063303939</v>
      </c>
      <c r="K33" s="112">
        <f t="shared" si="2"/>
        <v>1.2691689602499274</v>
      </c>
      <c r="L33" s="112">
        <f t="shared" si="3"/>
        <v>1.1815764561207183</v>
      </c>
      <c r="M33" s="112">
        <f t="shared" si="4"/>
        <v>1.0684410166808249</v>
      </c>
    </row>
    <row r="34" spans="1:13">
      <c r="A34" s="80" t="s">
        <v>46</v>
      </c>
      <c r="B34" s="87">
        <v>1126.7070000000001</v>
      </c>
      <c r="C34" s="87">
        <v>1109.5999999999999</v>
      </c>
      <c r="D34" s="87">
        <v>1135.847</v>
      </c>
      <c r="E34" s="87">
        <v>1125.58</v>
      </c>
      <c r="F34" s="87">
        <v>1079.204</v>
      </c>
      <c r="H34" s="80" t="s">
        <v>46</v>
      </c>
      <c r="I34" s="112">
        <f t="shared" si="0"/>
        <v>1.3414554202022577</v>
      </c>
      <c r="J34" s="112">
        <f t="shared" si="1"/>
        <v>1.3115906063303939</v>
      </c>
      <c r="K34" s="112">
        <f t="shared" si="2"/>
        <v>1.2691689602499274</v>
      </c>
      <c r="L34" s="112">
        <f t="shared" si="3"/>
        <v>1.1815764561207183</v>
      </c>
      <c r="M34" s="112">
        <f t="shared" si="4"/>
        <v>1.0684410166808249</v>
      </c>
    </row>
    <row r="35" spans="1:13">
      <c r="A35" s="76" t="s">
        <v>47</v>
      </c>
      <c r="B35" s="87">
        <f>B36+B43</f>
        <v>15660.114000000001</v>
      </c>
      <c r="C35" s="87">
        <f>C36+C43</f>
        <v>15911.208000000001</v>
      </c>
      <c r="D35" s="87">
        <f>D36+D43</f>
        <v>16402.777999999998</v>
      </c>
      <c r="E35" s="87">
        <f>E36+E43</f>
        <v>17114.513999999999</v>
      </c>
      <c r="F35" s="87">
        <f>F36+F43</f>
        <v>17814.428</v>
      </c>
      <c r="H35" s="76" t="s">
        <v>47</v>
      </c>
      <c r="I35" s="112">
        <f t="shared" si="0"/>
        <v>18.644904847742364</v>
      </c>
      <c r="J35" s="112">
        <f t="shared" si="1"/>
        <v>18.807670284939633</v>
      </c>
      <c r="K35" s="112">
        <f t="shared" si="2"/>
        <v>18.328081774631958</v>
      </c>
      <c r="L35" s="112">
        <f t="shared" si="3"/>
        <v>17.965943602718969</v>
      </c>
      <c r="M35" s="112">
        <f t="shared" si="4"/>
        <v>17.636763358834248</v>
      </c>
    </row>
    <row r="36" spans="1:13">
      <c r="A36" s="80" t="s">
        <v>48</v>
      </c>
      <c r="B36" s="87">
        <v>11426.147000000001</v>
      </c>
      <c r="C36" s="87">
        <v>11535.282000000001</v>
      </c>
      <c r="D36" s="87">
        <v>11935.897999999999</v>
      </c>
      <c r="E36" s="87">
        <v>12351.52</v>
      </c>
      <c r="F36" s="87">
        <v>12752.673000000001</v>
      </c>
      <c r="H36" s="80" t="s">
        <v>48</v>
      </c>
      <c r="I36" s="112">
        <f t="shared" si="0"/>
        <v>13.603951005166174</v>
      </c>
      <c r="J36" s="112">
        <f t="shared" si="1"/>
        <v>13.635154571532157</v>
      </c>
      <c r="K36" s="112">
        <f t="shared" si="2"/>
        <v>13.33689418936634</v>
      </c>
      <c r="L36" s="112">
        <f t="shared" si="3"/>
        <v>12.965995512805998</v>
      </c>
      <c r="M36" s="112">
        <f t="shared" si="4"/>
        <v>12.625489625240554</v>
      </c>
    </row>
    <row r="37" spans="1:13">
      <c r="A37" s="79" t="s">
        <v>49</v>
      </c>
      <c r="B37" s="87">
        <v>73.451999999999998</v>
      </c>
      <c r="C37" s="87">
        <v>64.802999999999997</v>
      </c>
      <c r="D37" s="87">
        <v>58.652999999999999</v>
      </c>
      <c r="E37" s="87">
        <v>67.89</v>
      </c>
      <c r="F37" s="87">
        <v>68.075999999999993</v>
      </c>
      <c r="H37" s="79" t="s">
        <v>49</v>
      </c>
      <c r="I37" s="112">
        <f t="shared" si="0"/>
        <v>8.7451825119304494E-2</v>
      </c>
      <c r="J37" s="112">
        <f t="shared" si="1"/>
        <v>7.65996810220156E-2</v>
      </c>
      <c r="K37" s="112">
        <f t="shared" si="2"/>
        <v>6.5537494949178016E-2</v>
      </c>
      <c r="L37" s="112">
        <f t="shared" si="3"/>
        <v>7.1267458204690534E-2</v>
      </c>
      <c r="M37" s="112">
        <f t="shared" si="4"/>
        <v>6.7397072890356069E-2</v>
      </c>
    </row>
    <row r="38" spans="1:13">
      <c r="A38" s="79" t="s">
        <v>50</v>
      </c>
      <c r="B38" s="87">
        <v>543.49099999999999</v>
      </c>
      <c r="C38" s="87">
        <v>566.07899999999995</v>
      </c>
      <c r="D38" s="87">
        <v>613.98400000000004</v>
      </c>
      <c r="E38" s="87">
        <v>654.56200000000001</v>
      </c>
      <c r="F38" s="87">
        <v>699.19299999999998</v>
      </c>
      <c r="H38" s="79" t="s">
        <v>50</v>
      </c>
      <c r="I38" s="112">
        <f t="shared" si="0"/>
        <v>0.6470794516952012</v>
      </c>
      <c r="J38" s="112">
        <f t="shared" si="1"/>
        <v>0.66912752238725937</v>
      </c>
      <c r="K38" s="112">
        <f t="shared" si="2"/>
        <v>0.68605140911592111</v>
      </c>
      <c r="L38" s="112">
        <f t="shared" si="3"/>
        <v>0.68712579138869712</v>
      </c>
      <c r="M38" s="112">
        <f t="shared" si="4"/>
        <v>0.69221989519693772</v>
      </c>
    </row>
    <row r="39" spans="1:13">
      <c r="A39" s="79" t="s">
        <v>57</v>
      </c>
      <c r="B39" s="87">
        <v>7149.6549999999997</v>
      </c>
      <c r="C39" s="87">
        <v>7137.2019999999993</v>
      </c>
      <c r="D39" s="87">
        <v>7432.8459999999995</v>
      </c>
      <c r="E39" s="87">
        <v>7680.9549999999999</v>
      </c>
      <c r="F39" s="87">
        <v>7944.7820000000002</v>
      </c>
      <c r="H39" s="79" t="s">
        <v>57</v>
      </c>
      <c r="I39" s="112">
        <f t="shared" si="0"/>
        <v>8.5123669705843419</v>
      </c>
      <c r="J39" s="112">
        <f t="shared" si="1"/>
        <v>8.436451963484588</v>
      </c>
      <c r="K39" s="112">
        <f t="shared" si="2"/>
        <v>8.3052888545005032</v>
      </c>
      <c r="L39" s="112">
        <f t="shared" si="3"/>
        <v>8.0630746713007611</v>
      </c>
      <c r="M39" s="112">
        <f t="shared" si="4"/>
        <v>7.8655480867264371</v>
      </c>
    </row>
    <row r="40" spans="1:13">
      <c r="A40" s="79" t="s">
        <v>51</v>
      </c>
      <c r="B40" s="87">
        <v>153.10400000000001</v>
      </c>
      <c r="C40" s="87">
        <v>172.86</v>
      </c>
      <c r="D40" s="87">
        <v>162.90100000000001</v>
      </c>
      <c r="E40" s="87">
        <v>154.874</v>
      </c>
      <c r="F40" s="87">
        <v>146.56399999999999</v>
      </c>
      <c r="H40" s="79" t="s">
        <v>51</v>
      </c>
      <c r="I40" s="112">
        <f t="shared" si="0"/>
        <v>0.18228535959628053</v>
      </c>
      <c r="J40" s="112">
        <f t="shared" si="1"/>
        <v>0.20432728209289103</v>
      </c>
      <c r="K40" s="112">
        <f t="shared" si="2"/>
        <v>0.18202178004051028</v>
      </c>
      <c r="L40" s="112">
        <f t="shared" si="3"/>
        <v>0.16257882342013905</v>
      </c>
      <c r="M40" s="112">
        <f t="shared" si="4"/>
        <v>0.14510230611525571</v>
      </c>
    </row>
    <row r="41" spans="1:13">
      <c r="A41" s="79" t="s">
        <v>52</v>
      </c>
      <c r="B41" s="87">
        <v>1374.3879999999999</v>
      </c>
      <c r="C41" s="87">
        <v>1354.5269999999998</v>
      </c>
      <c r="D41" s="87">
        <v>1337.7739999999999</v>
      </c>
      <c r="E41" s="87">
        <v>1391.828</v>
      </c>
      <c r="F41" s="87">
        <v>1409.04</v>
      </c>
      <c r="H41" s="79" t="s">
        <v>52</v>
      </c>
      <c r="I41" s="112">
        <f t="shared" si="0"/>
        <v>1.6363439936566828</v>
      </c>
      <c r="J41" s="112">
        <f t="shared" si="1"/>
        <v>1.6011039016049828</v>
      </c>
      <c r="K41" s="112">
        <f t="shared" si="2"/>
        <v>1.4947974829615138</v>
      </c>
      <c r="L41" s="112">
        <f t="shared" si="3"/>
        <v>1.4610700223614377</v>
      </c>
      <c r="M41" s="112">
        <f t="shared" si="4"/>
        <v>1.3949875372440701</v>
      </c>
    </row>
    <row r="42" spans="1:13">
      <c r="A42" s="79" t="s">
        <v>71</v>
      </c>
      <c r="B42" s="87">
        <v>1451.213</v>
      </c>
      <c r="C42" s="87">
        <v>1551.711</v>
      </c>
      <c r="D42" s="87">
        <v>1646.7940000000001</v>
      </c>
      <c r="E42" s="87">
        <v>1707.252</v>
      </c>
      <c r="F42" s="87">
        <v>1776.923</v>
      </c>
      <c r="H42" s="79" t="s">
        <v>71</v>
      </c>
      <c r="I42" s="112">
        <f t="shared" si="0"/>
        <v>1.7278117067862173</v>
      </c>
      <c r="J42" s="112">
        <f t="shared" si="1"/>
        <v>1.834183103225975</v>
      </c>
      <c r="K42" s="112">
        <f t="shared" si="2"/>
        <v>1.8400892274450866</v>
      </c>
      <c r="L42" s="112">
        <f t="shared" si="3"/>
        <v>1.7921860444082238</v>
      </c>
      <c r="M42" s="112">
        <f t="shared" si="4"/>
        <v>1.7592016121915239</v>
      </c>
    </row>
    <row r="43" spans="1:13">
      <c r="A43" s="80" t="s">
        <v>56</v>
      </c>
      <c r="B43" s="87">
        <v>4233.9669999999996</v>
      </c>
      <c r="C43" s="87">
        <v>4375.9259999999995</v>
      </c>
      <c r="D43" s="87">
        <v>4466.88</v>
      </c>
      <c r="E43" s="87">
        <v>4762.9939999999997</v>
      </c>
      <c r="F43" s="87">
        <v>5061.7550000000001</v>
      </c>
      <c r="H43" s="80" t="s">
        <v>56</v>
      </c>
      <c r="I43" s="112">
        <f t="shared" si="0"/>
        <v>5.0409538425761893</v>
      </c>
      <c r="J43" s="112">
        <f t="shared" si="1"/>
        <v>5.1725157134074751</v>
      </c>
      <c r="K43" s="112">
        <f t="shared" si="2"/>
        <v>4.9911875852656182</v>
      </c>
      <c r="L43" s="112">
        <f t="shared" si="3"/>
        <v>4.9999480899129729</v>
      </c>
      <c r="M43" s="112">
        <f t="shared" si="4"/>
        <v>5.0112737335936943</v>
      </c>
    </row>
    <row r="44" spans="1:13">
      <c r="A44" s="76" t="s">
        <v>37</v>
      </c>
      <c r="B44" s="87">
        <v>1917.6369999999999</v>
      </c>
      <c r="C44" s="87">
        <v>1513.5639999999999</v>
      </c>
      <c r="D44" s="87">
        <v>1790.548</v>
      </c>
      <c r="E44" s="87">
        <v>2198.1499999999996</v>
      </c>
      <c r="F44" s="87">
        <v>2299.73</v>
      </c>
      <c r="H44" s="76" t="s">
        <v>37</v>
      </c>
      <c r="I44" s="112">
        <f t="shared" si="0"/>
        <v>2.2831353205672782</v>
      </c>
      <c r="J44" s="112">
        <f t="shared" si="1"/>
        <v>1.7890918569573324</v>
      </c>
      <c r="K44" s="112">
        <f t="shared" si="2"/>
        <v>2.0007165960182904</v>
      </c>
      <c r="L44" s="112">
        <f t="shared" si="3"/>
        <v>2.3075057188487325</v>
      </c>
      <c r="M44" s="112">
        <f t="shared" si="4"/>
        <v>2.2767946183403631</v>
      </c>
    </row>
    <row r="45" spans="1:13">
      <c r="A45" s="80" t="s">
        <v>58</v>
      </c>
      <c r="B45" s="87">
        <v>673.04399999999998</v>
      </c>
      <c r="C45" s="87">
        <v>661.14699999999993</v>
      </c>
      <c r="D45" s="87">
        <v>768.12199999999996</v>
      </c>
      <c r="E45" s="87">
        <v>845.14</v>
      </c>
      <c r="F45" s="87">
        <v>875.06200000000001</v>
      </c>
      <c r="H45" s="80" t="s">
        <v>58</v>
      </c>
      <c r="I45" s="112">
        <f t="shared" si="0"/>
        <v>0.80132503111688147</v>
      </c>
      <c r="J45" s="112">
        <f t="shared" si="1"/>
        <v>0.78150161734275492</v>
      </c>
      <c r="K45" s="112">
        <f t="shared" si="2"/>
        <v>0.85828161722934071</v>
      </c>
      <c r="L45" s="112">
        <f t="shared" si="3"/>
        <v>0.88718485236577038</v>
      </c>
      <c r="M45" s="112">
        <f t="shared" si="4"/>
        <v>0.86633494032523606</v>
      </c>
    </row>
    <row r="46" spans="1:13">
      <c r="A46" s="75" t="s">
        <v>53</v>
      </c>
      <c r="B46" s="89">
        <f>SUM(B47:B48)</f>
        <v>3260.683</v>
      </c>
      <c r="C46" s="89">
        <f t="shared" ref="C46:F46" si="7">SUM(C47:C48)</f>
        <v>3129.3720000000003</v>
      </c>
      <c r="D46" s="89">
        <f t="shared" si="7"/>
        <v>2367.6430000000005</v>
      </c>
      <c r="E46" s="89">
        <f t="shared" si="7"/>
        <v>2784.681</v>
      </c>
      <c r="F46" s="89">
        <f t="shared" si="7"/>
        <v>3020.9259999999995</v>
      </c>
      <c r="H46" s="75" t="s">
        <v>53</v>
      </c>
      <c r="I46" s="114">
        <f t="shared" si="0"/>
        <v>3.8821635828226482</v>
      </c>
      <c r="J46" s="114">
        <f t="shared" si="1"/>
        <v>3.6990401215873812</v>
      </c>
      <c r="K46" s="114">
        <f t="shared" si="2"/>
        <v>2.6455490964478665</v>
      </c>
      <c r="L46" s="114">
        <f t="shared" si="3"/>
        <v>2.9232160374266583</v>
      </c>
      <c r="M46" s="114">
        <f t="shared" si="4"/>
        <v>2.9907980759499941</v>
      </c>
    </row>
    <row r="47" spans="1:13">
      <c r="A47" s="76" t="s">
        <v>54</v>
      </c>
      <c r="B47" s="87">
        <v>2979.78</v>
      </c>
      <c r="C47" s="87">
        <v>2851.1730000000002</v>
      </c>
      <c r="D47" s="87">
        <v>2138.6780000000003</v>
      </c>
      <c r="E47" s="87">
        <v>2555.797</v>
      </c>
      <c r="F47" s="87">
        <v>2779.1159999999995</v>
      </c>
      <c r="H47" s="76" t="s">
        <v>54</v>
      </c>
      <c r="I47" s="112">
        <f t="shared" si="0"/>
        <v>3.5477209531939384</v>
      </c>
      <c r="J47" s="112">
        <f t="shared" si="1"/>
        <v>3.3701980207487816</v>
      </c>
      <c r="K47" s="112">
        <f t="shared" si="2"/>
        <v>2.389708942814829</v>
      </c>
      <c r="L47" s="112">
        <f t="shared" si="3"/>
        <v>2.6829452920485117</v>
      </c>
      <c r="M47" s="112">
        <f t="shared" si="4"/>
        <v>2.7513996654144601</v>
      </c>
    </row>
    <row r="48" spans="1:13">
      <c r="A48" s="76" t="s">
        <v>38</v>
      </c>
      <c r="B48" s="87">
        <v>280.90300000000002</v>
      </c>
      <c r="C48" s="87">
        <v>278.19900000000007</v>
      </c>
      <c r="D48" s="87">
        <v>228.965</v>
      </c>
      <c r="E48" s="87">
        <v>228.88399999999999</v>
      </c>
      <c r="F48" s="87">
        <v>241.81</v>
      </c>
      <c r="H48" s="76" t="s">
        <v>38</v>
      </c>
      <c r="I48" s="112">
        <f t="shared" si="0"/>
        <v>0.33444262962870985</v>
      </c>
      <c r="J48" s="112">
        <f t="shared" si="1"/>
        <v>0.32884210083859888</v>
      </c>
      <c r="K48" s="112">
        <f t="shared" si="2"/>
        <v>0.25584015363303741</v>
      </c>
      <c r="L48" s="112">
        <f t="shared" si="3"/>
        <v>0.24027074537814683</v>
      </c>
      <c r="M48" s="112">
        <f t="shared" si="4"/>
        <v>0.23939841053553387</v>
      </c>
    </row>
    <row r="49" spans="1:13">
      <c r="A49" s="135" t="s">
        <v>55</v>
      </c>
      <c r="B49" s="121">
        <f>B3-B27</f>
        <v>-1083.4889999999941</v>
      </c>
      <c r="C49" s="121">
        <f>C3-C27</f>
        <v>-1375.5500000000029</v>
      </c>
      <c r="D49" s="121">
        <f>D3-D27</f>
        <v>-742.81100000000151</v>
      </c>
      <c r="E49" s="121">
        <f>E3-E27</f>
        <v>-309.44699999999284</v>
      </c>
      <c r="F49" s="121">
        <f>F3-F27</f>
        <v>-273.02799999999843</v>
      </c>
      <c r="H49" s="135" t="s">
        <v>55</v>
      </c>
      <c r="I49" s="122">
        <f t="shared" si="0"/>
        <v>-1.2900001435861459</v>
      </c>
      <c r="J49" s="122">
        <f t="shared" si="1"/>
        <v>-1.6259539100016016</v>
      </c>
      <c r="K49" s="122">
        <f t="shared" si="2"/>
        <v>-0.82999969585006683</v>
      </c>
      <c r="L49" s="122">
        <f t="shared" si="3"/>
        <v>-0.32484167239750122</v>
      </c>
      <c r="M49" s="122">
        <f t="shared" si="4"/>
        <v>-0.27030507105452778</v>
      </c>
    </row>
    <row r="50" spans="1:13">
      <c r="B50" s="90"/>
      <c r="C50" s="90"/>
      <c r="D50" s="90"/>
      <c r="E50" s="90"/>
      <c r="F50" s="123" t="s">
        <v>91</v>
      </c>
      <c r="I50" s="90"/>
      <c r="J50" s="90"/>
      <c r="K50" s="90"/>
      <c r="L50" s="90"/>
      <c r="M50" s="123" t="s">
        <v>91</v>
      </c>
    </row>
    <row r="51" spans="1:13">
      <c r="A51" s="48"/>
      <c r="B51" s="85"/>
      <c r="C51" s="85"/>
      <c r="D51" s="85"/>
      <c r="E51" s="85"/>
      <c r="F51" s="85"/>
      <c r="H51" s="48"/>
      <c r="I51" s="85"/>
      <c r="J51" s="85"/>
      <c r="K51" s="85"/>
      <c r="L51" s="85"/>
      <c r="M51" s="85"/>
    </row>
    <row r="53" spans="1:13">
      <c r="A53" s="81" t="s">
        <v>12</v>
      </c>
      <c r="B53" s="87">
        <v>83991.385999999999</v>
      </c>
      <c r="C53" s="87">
        <v>84599.569000000003</v>
      </c>
      <c r="D53" s="87">
        <v>89495.334000000003</v>
      </c>
      <c r="E53" s="87">
        <v>95260.869000000006</v>
      </c>
      <c r="F53" s="87">
        <v>101007.35400000001</v>
      </c>
      <c r="H53" s="81"/>
    </row>
  </sheetData>
  <mergeCells count="1">
    <mergeCell ref="D1:F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15"/>
  <sheetViews>
    <sheetView showGridLines="0" workbookViewId="0">
      <selection sqref="A1:D1"/>
    </sheetView>
  </sheetViews>
  <sheetFormatPr defaultRowHeight="12.75"/>
  <cols>
    <col min="1" max="1" width="46" customWidth="1"/>
    <col min="8" max="8" width="9.140625" customWidth="1"/>
    <col min="16" max="16" width="22.5703125" customWidth="1"/>
  </cols>
  <sheetData>
    <row r="1" spans="1:20" ht="15" customHeight="1">
      <c r="A1" s="1480" t="s">
        <v>117</v>
      </c>
      <c r="B1" s="1480"/>
      <c r="C1" s="1480"/>
      <c r="D1" s="1480"/>
      <c r="E1" s="18"/>
      <c r="F1" s="74"/>
      <c r="P1" s="5"/>
      <c r="Q1" s="147"/>
      <c r="R1" s="147"/>
      <c r="S1" s="147"/>
    </row>
    <row r="2" spans="1:20">
      <c r="A2" s="15"/>
      <c r="B2" s="21">
        <v>2017</v>
      </c>
      <c r="C2" s="21">
        <v>2018</v>
      </c>
      <c r="D2" s="21">
        <v>2019</v>
      </c>
      <c r="E2" s="21">
        <v>2020</v>
      </c>
      <c r="P2" s="148"/>
      <c r="Q2" s="132"/>
      <c r="R2" s="132"/>
      <c r="S2" s="132"/>
      <c r="T2" s="67"/>
    </row>
    <row r="3" spans="1:20">
      <c r="A3" s="16" t="s">
        <v>140</v>
      </c>
      <c r="B3" s="91">
        <f>'T01'!C3</f>
        <v>-1.29</v>
      </c>
      <c r="C3" s="91">
        <f>'T01'!D3</f>
        <v>-0.44</v>
      </c>
      <c r="D3" s="91">
        <f>'T01'!E3</f>
        <v>0.16</v>
      </c>
      <c r="E3" s="5"/>
      <c r="P3" s="149"/>
      <c r="Q3" s="91"/>
      <c r="R3" s="91"/>
      <c r="S3" s="91"/>
      <c r="T3" s="67"/>
    </row>
    <row r="4" spans="1:20">
      <c r="A4" s="16" t="s">
        <v>141</v>
      </c>
      <c r="B4" s="91">
        <f>'T01'!C5</f>
        <v>-1.63</v>
      </c>
      <c r="C4" s="91">
        <f>'T01'!D5</f>
        <v>-0.82999969762914805</v>
      </c>
      <c r="D4" s="91">
        <f>'T01'!E5</f>
        <v>-0.32484167369140921</v>
      </c>
      <c r="E4" s="91">
        <f>'T01'!F5</f>
        <v>-0.2703050705834002</v>
      </c>
      <c r="P4" s="149"/>
      <c r="Q4" s="91"/>
      <c r="R4" s="91"/>
      <c r="S4" s="91"/>
      <c r="T4" s="67"/>
    </row>
    <row r="5" spans="1:20" s="74" customFormat="1">
      <c r="A5" s="16" t="s">
        <v>143</v>
      </c>
      <c r="B5" s="91">
        <f>B4</f>
        <v>-1.63</v>
      </c>
      <c r="C5" s="91">
        <v>-0.82999969585006994</v>
      </c>
      <c r="D5" s="91">
        <v>-0.10000013751712089</v>
      </c>
      <c r="E5" s="91">
        <v>0</v>
      </c>
      <c r="P5" s="149"/>
      <c r="Q5" s="91"/>
      <c r="R5" s="91"/>
      <c r="S5" s="91"/>
      <c r="T5" s="67"/>
    </row>
    <row r="6" spans="1:20">
      <c r="A6" s="16" t="s">
        <v>142</v>
      </c>
      <c r="B6" s="91">
        <f>B4</f>
        <v>-1.63</v>
      </c>
      <c r="C6" s="91">
        <v>5.4411951800744873E-2</v>
      </c>
      <c r="D6" s="91">
        <v>0.17178007014191365</v>
      </c>
      <c r="E6" s="91">
        <v>0.56249490254067069</v>
      </c>
      <c r="P6" s="148"/>
      <c r="Q6" s="132"/>
      <c r="R6" s="132"/>
      <c r="S6" s="132"/>
      <c r="T6" s="67"/>
    </row>
    <row r="7" spans="1:20">
      <c r="A7" s="39" t="s">
        <v>144</v>
      </c>
      <c r="B7" s="132"/>
      <c r="C7" s="95">
        <f>C4-C6</f>
        <v>-0.88441164942989292</v>
      </c>
      <c r="D7" s="95">
        <f>D4-D6</f>
        <v>-0.49662174383332286</v>
      </c>
      <c r="E7" s="95">
        <f>E4-E6</f>
        <v>-0.83279997312407095</v>
      </c>
      <c r="H7" s="67"/>
      <c r="I7" s="67"/>
      <c r="J7" s="67"/>
      <c r="P7" s="148"/>
      <c r="Q7" s="132"/>
      <c r="R7" s="132"/>
      <c r="S7" s="132"/>
    </row>
    <row r="8" spans="1:20">
      <c r="A8" s="146" t="s">
        <v>146</v>
      </c>
      <c r="B8" s="215"/>
      <c r="C8" s="215">
        <f>C7/100*C13</f>
        <v>-791.50715789561832</v>
      </c>
      <c r="D8" s="215">
        <f>D7/100*D13</f>
        <v>-473.08618693418248</v>
      </c>
      <c r="E8" s="215">
        <f>E7/100*E13</f>
        <v>-841.18921843148405</v>
      </c>
      <c r="I8" s="67"/>
      <c r="J8" s="67"/>
    </row>
    <row r="9" spans="1:20">
      <c r="A9" s="305" t="s">
        <v>145</v>
      </c>
      <c r="B9" s="306"/>
      <c r="C9" s="307">
        <f>C5-C6</f>
        <v>-0.88441164765081481</v>
      </c>
      <c r="D9" s="307">
        <f>D5-D6</f>
        <v>-0.27178020765903455</v>
      </c>
      <c r="E9" s="307">
        <f>E5-E6</f>
        <v>-0.56249490254067069</v>
      </c>
    </row>
    <row r="10" spans="1:20">
      <c r="A10" s="303" t="s">
        <v>205</v>
      </c>
      <c r="B10" s="304"/>
      <c r="C10" s="304">
        <f>C9/100*C13</f>
        <v>-791.50715630342643</v>
      </c>
      <c r="D10" s="304">
        <f>D9/100*D13</f>
        <v>-258.90018655475075</v>
      </c>
      <c r="E10" s="304">
        <f>E9/100*E13</f>
        <v>-568.16121843148562</v>
      </c>
      <c r="F10" s="177"/>
    </row>
    <row r="11" spans="1:20">
      <c r="A11" s="185" t="s">
        <v>166</v>
      </c>
      <c r="C11" s="186"/>
      <c r="D11" s="186">
        <f>D9-C9</f>
        <v>0.61263143999178027</v>
      </c>
      <c r="E11" s="186">
        <f>E9-D9</f>
        <v>-0.29071469488163615</v>
      </c>
      <c r="F11" s="177"/>
    </row>
    <row r="12" spans="1:20">
      <c r="E12" s="176" t="s">
        <v>6</v>
      </c>
    </row>
    <row r="13" spans="1:20">
      <c r="A13" s="16" t="s">
        <v>12</v>
      </c>
      <c r="B13" s="33">
        <v>84599.569358327397</v>
      </c>
      <c r="C13" s="33">
        <v>89495.333808169264</v>
      </c>
      <c r="D13" s="33">
        <v>95260.868620557332</v>
      </c>
      <c r="E13" s="33">
        <v>101007.35417605055</v>
      </c>
    </row>
    <row r="15" spans="1:20">
      <c r="E15" s="176"/>
    </row>
  </sheetData>
  <mergeCells count="1">
    <mergeCell ref="A1:D1"/>
  </mergeCells>
  <pageMargins left="0.7" right="0.7" top="0.75" bottom="0.75" header="0.3" footer="0.3"/>
  <pageSetup paperSize="9" scale="53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G87"/>
  <sheetViews>
    <sheetView showGridLines="0" zoomScaleNormal="100" workbookViewId="0"/>
  </sheetViews>
  <sheetFormatPr defaultRowHeight="12.75"/>
  <cols>
    <col min="1" max="1" width="36.85546875" style="6" customWidth="1"/>
    <col min="2" max="5" width="9.140625" style="6"/>
    <col min="6" max="6" width="11" style="6" customWidth="1"/>
    <col min="7" max="7" width="4.7109375" style="6" customWidth="1"/>
    <col min="8" max="16384" width="9.140625" style="6"/>
  </cols>
  <sheetData>
    <row r="1" spans="1:7">
      <c r="A1" s="386" t="s">
        <v>365</v>
      </c>
      <c r="B1" s="14"/>
      <c r="C1" s="14"/>
      <c r="D1" s="14"/>
      <c r="E1" s="14"/>
      <c r="F1" s="14"/>
      <c r="G1" s="14"/>
    </row>
    <row r="2" spans="1:7">
      <c r="A2" s="60"/>
      <c r="B2" s="21" t="s">
        <v>73</v>
      </c>
      <c r="C2" s="21" t="s">
        <v>115</v>
      </c>
      <c r="D2" s="21" t="s">
        <v>75</v>
      </c>
      <c r="E2" s="21" t="s">
        <v>74</v>
      </c>
      <c r="F2" s="21" t="s">
        <v>111</v>
      </c>
    </row>
    <row r="3" spans="1:7">
      <c r="A3" s="223" t="s">
        <v>76</v>
      </c>
      <c r="B3" s="225">
        <v>-1722309</v>
      </c>
      <c r="C3" s="225">
        <v>-1758780</v>
      </c>
      <c r="D3" s="225">
        <v>-1555727</v>
      </c>
      <c r="E3" s="225">
        <v>-1039135</v>
      </c>
      <c r="F3" s="225">
        <v>-1065164</v>
      </c>
    </row>
    <row r="4" spans="1:7">
      <c r="A4" s="223" t="s">
        <v>118</v>
      </c>
      <c r="B4" s="225">
        <f>SUM(B5:B40)</f>
        <v>638820</v>
      </c>
      <c r="C4" s="225">
        <f t="shared" ref="C4:F4" si="0">SUM(C5:C40)</f>
        <v>383230</v>
      </c>
      <c r="D4" s="225">
        <f t="shared" si="0"/>
        <v>812916</v>
      </c>
      <c r="E4" s="225">
        <f t="shared" si="0"/>
        <v>943874</v>
      </c>
      <c r="F4" s="225">
        <f t="shared" si="0"/>
        <v>1065164</v>
      </c>
    </row>
    <row r="5" spans="1:7">
      <c r="A5" s="224" t="s">
        <v>77</v>
      </c>
      <c r="B5" s="226">
        <v>123515</v>
      </c>
      <c r="C5" s="226">
        <v>133821</v>
      </c>
      <c r="D5" s="226">
        <v>170135</v>
      </c>
      <c r="E5" s="226">
        <v>174208</v>
      </c>
      <c r="F5" s="226">
        <v>159299</v>
      </c>
    </row>
    <row r="6" spans="1:7">
      <c r="A6" s="224" t="s">
        <v>119</v>
      </c>
      <c r="B6" s="226">
        <v>3420</v>
      </c>
      <c r="C6" s="226">
        <v>3420</v>
      </c>
      <c r="D6" s="226">
        <v>9270</v>
      </c>
      <c r="E6" s="226">
        <v>13440</v>
      </c>
      <c r="F6" s="226">
        <v>13764</v>
      </c>
    </row>
    <row r="7" spans="1:7">
      <c r="A7" s="224" t="s">
        <v>78</v>
      </c>
      <c r="B7" s="226">
        <v>109903</v>
      </c>
      <c r="C7" s="226">
        <v>113611</v>
      </c>
      <c r="D7" s="226">
        <v>90093</v>
      </c>
      <c r="E7" s="226">
        <v>91766</v>
      </c>
      <c r="F7" s="226">
        <v>113786</v>
      </c>
    </row>
    <row r="8" spans="1:7">
      <c r="A8" s="224" t="s">
        <v>79</v>
      </c>
      <c r="B8" s="226">
        <v>36889</v>
      </c>
      <c r="C8" s="226">
        <v>27138</v>
      </c>
      <c r="D8" s="226">
        <v>40872</v>
      </c>
      <c r="E8" s="226">
        <v>43176</v>
      </c>
      <c r="F8" s="226">
        <v>93219</v>
      </c>
    </row>
    <row r="9" spans="1:7">
      <c r="A9" s="224" t="s">
        <v>80</v>
      </c>
      <c r="B9" s="226">
        <v>14566</v>
      </c>
      <c r="C9" s="226">
        <v>95589</v>
      </c>
      <c r="D9" s="226">
        <v>130031</v>
      </c>
      <c r="E9" s="226">
        <v>217950</v>
      </c>
      <c r="F9" s="226">
        <v>280221</v>
      </c>
    </row>
    <row r="10" spans="1:7">
      <c r="A10" s="227" t="s">
        <v>1363</v>
      </c>
      <c r="B10" s="226">
        <v>-1169</v>
      </c>
      <c r="C10" s="226">
        <v>-24862</v>
      </c>
      <c r="D10" s="226">
        <v>-16640</v>
      </c>
      <c r="E10" s="226">
        <v>-1451</v>
      </c>
      <c r="F10" s="226">
        <v>5019</v>
      </c>
    </row>
    <row r="11" spans="1:7">
      <c r="A11" s="224" t="s">
        <v>170</v>
      </c>
      <c r="B11" s="226">
        <v>-3950</v>
      </c>
      <c r="C11" s="226">
        <v>-13207</v>
      </c>
      <c r="D11" s="226">
        <v>-4022</v>
      </c>
      <c r="E11" s="226">
        <v>-3010</v>
      </c>
      <c r="F11" s="226">
        <v>-2940</v>
      </c>
    </row>
    <row r="12" spans="1:7">
      <c r="A12" s="224" t="s">
        <v>85</v>
      </c>
      <c r="B12" s="226">
        <v>-917</v>
      </c>
      <c r="C12" s="226">
        <v>17297</v>
      </c>
      <c r="D12" s="226">
        <v>8464</v>
      </c>
      <c r="E12" s="226">
        <v>8486</v>
      </c>
      <c r="F12" s="226">
        <v>8404</v>
      </c>
    </row>
    <row r="13" spans="1:7">
      <c r="A13" s="224" t="s">
        <v>81</v>
      </c>
      <c r="B13" s="226">
        <v>94003</v>
      </c>
      <c r="C13" s="226">
        <v>84746</v>
      </c>
      <c r="D13" s="226">
        <v>122464</v>
      </c>
      <c r="E13" s="226">
        <v>142057</v>
      </c>
      <c r="F13" s="226">
        <v>145251</v>
      </c>
    </row>
    <row r="14" spans="1:7">
      <c r="A14" s="224" t="s">
        <v>82</v>
      </c>
      <c r="B14" s="226">
        <v>113514</v>
      </c>
      <c r="C14" s="226">
        <v>78797</v>
      </c>
      <c r="D14" s="226">
        <v>130012</v>
      </c>
      <c r="E14" s="226">
        <v>131037</v>
      </c>
      <c r="F14" s="226">
        <v>131037</v>
      </c>
    </row>
    <row r="15" spans="1:7">
      <c r="A15" s="224" t="s">
        <v>83</v>
      </c>
      <c r="B15" s="226">
        <v>48055</v>
      </c>
      <c r="C15" s="226">
        <v>45615</v>
      </c>
      <c r="D15" s="226">
        <v>45254</v>
      </c>
      <c r="E15" s="226">
        <v>45096</v>
      </c>
      <c r="F15" s="226">
        <v>44943</v>
      </c>
    </row>
    <row r="16" spans="1:7">
      <c r="A16" s="224" t="s">
        <v>89</v>
      </c>
      <c r="B16" s="226">
        <v>-194</v>
      </c>
      <c r="C16" s="226">
        <v>4162</v>
      </c>
      <c r="D16" s="226">
        <v>0</v>
      </c>
      <c r="E16" s="226">
        <v>0</v>
      </c>
      <c r="F16" s="226">
        <v>0</v>
      </c>
    </row>
    <row r="17" spans="1:6">
      <c r="A17" s="228" t="s">
        <v>86</v>
      </c>
      <c r="B17" s="226">
        <v>1542</v>
      </c>
      <c r="C17" s="226">
        <v>-1406</v>
      </c>
      <c r="D17" s="226">
        <v>37</v>
      </c>
      <c r="E17" s="226">
        <v>-123</v>
      </c>
      <c r="F17" s="226">
        <v>-575</v>
      </c>
    </row>
    <row r="18" spans="1:6">
      <c r="A18" s="224" t="s">
        <v>87</v>
      </c>
      <c r="B18" s="226">
        <v>178</v>
      </c>
      <c r="C18" s="226">
        <v>-31719</v>
      </c>
      <c r="D18" s="226">
        <v>203</v>
      </c>
      <c r="E18" s="226">
        <v>203</v>
      </c>
      <c r="F18" s="226">
        <v>203</v>
      </c>
    </row>
    <row r="19" spans="1:6">
      <c r="A19" s="224" t="s">
        <v>84</v>
      </c>
      <c r="B19" s="226">
        <v>924</v>
      </c>
      <c r="C19" s="226">
        <v>-1768</v>
      </c>
      <c r="D19" s="226">
        <v>156</v>
      </c>
      <c r="E19" s="226">
        <v>180</v>
      </c>
      <c r="F19" s="226">
        <v>490</v>
      </c>
    </row>
    <row r="20" spans="1:6">
      <c r="A20" s="224" t="s">
        <v>88</v>
      </c>
      <c r="B20" s="226">
        <v>0</v>
      </c>
      <c r="C20" s="226">
        <v>-13</v>
      </c>
      <c r="D20" s="226">
        <v>-110</v>
      </c>
      <c r="E20" s="226">
        <v>-84</v>
      </c>
      <c r="F20" s="226">
        <v>-84</v>
      </c>
    </row>
    <row r="21" spans="1:6">
      <c r="A21" s="229" t="s">
        <v>171</v>
      </c>
      <c r="B21" s="226">
        <v>0</v>
      </c>
      <c r="C21" s="226">
        <v>0</v>
      </c>
      <c r="D21" s="226">
        <v>0</v>
      </c>
      <c r="E21" s="226">
        <v>0</v>
      </c>
      <c r="F21" s="226">
        <v>0</v>
      </c>
    </row>
    <row r="22" spans="1:6">
      <c r="A22" s="229" t="s">
        <v>174</v>
      </c>
      <c r="B22" s="226">
        <v>0</v>
      </c>
      <c r="C22" s="226">
        <v>0</v>
      </c>
      <c r="D22" s="226">
        <v>0</v>
      </c>
      <c r="E22" s="226">
        <v>0</v>
      </c>
      <c r="F22" s="226">
        <v>0</v>
      </c>
    </row>
    <row r="23" spans="1:6">
      <c r="A23" s="229" t="s">
        <v>172</v>
      </c>
      <c r="B23" s="226">
        <v>0</v>
      </c>
      <c r="C23" s="226">
        <v>0</v>
      </c>
      <c r="D23" s="226">
        <v>0</v>
      </c>
      <c r="E23" s="226">
        <v>0</v>
      </c>
      <c r="F23" s="226">
        <v>0</v>
      </c>
    </row>
    <row r="24" spans="1:6">
      <c r="A24" s="224" t="s">
        <v>1364</v>
      </c>
      <c r="B24" s="226">
        <v>168</v>
      </c>
      <c r="C24" s="226">
        <v>-13989</v>
      </c>
      <c r="D24" s="226">
        <v>140</v>
      </c>
      <c r="E24" s="226">
        <v>140</v>
      </c>
      <c r="F24" s="226">
        <v>140</v>
      </c>
    </row>
    <row r="25" spans="1:6">
      <c r="A25" s="227" t="s">
        <v>121</v>
      </c>
      <c r="B25" s="226">
        <v>-148</v>
      </c>
      <c r="C25" s="226">
        <v>46</v>
      </c>
      <c r="D25" s="226">
        <v>-102</v>
      </c>
      <c r="E25" s="226">
        <v>-102</v>
      </c>
      <c r="F25" s="226">
        <v>-102</v>
      </c>
    </row>
    <row r="26" spans="1:6">
      <c r="A26" s="224" t="s">
        <v>120</v>
      </c>
      <c r="B26" s="226">
        <v>141</v>
      </c>
      <c r="C26" s="226">
        <v>-85</v>
      </c>
      <c r="D26" s="226">
        <v>46</v>
      </c>
      <c r="E26" s="226">
        <v>33</v>
      </c>
      <c r="F26" s="226">
        <v>40</v>
      </c>
    </row>
    <row r="27" spans="1:6">
      <c r="A27" s="227" t="s">
        <v>175</v>
      </c>
      <c r="B27" s="226">
        <v>53009</v>
      </c>
      <c r="C27" s="226">
        <v>-58042</v>
      </c>
      <c r="D27" s="226">
        <v>36965</v>
      </c>
      <c r="E27" s="226">
        <v>36965</v>
      </c>
      <c r="F27" s="226">
        <v>35795</v>
      </c>
    </row>
    <row r="28" spans="1:6">
      <c r="A28" s="227" t="s">
        <v>69</v>
      </c>
      <c r="B28" s="226">
        <v>62654</v>
      </c>
      <c r="C28" s="226">
        <v>37277</v>
      </c>
      <c r="D28" s="226">
        <v>71132</v>
      </c>
      <c r="E28" s="226">
        <v>59507</v>
      </c>
      <c r="F28" s="226">
        <v>58970</v>
      </c>
    </row>
    <row r="29" spans="1:6">
      <c r="A29" s="227" t="s">
        <v>125</v>
      </c>
      <c r="B29" s="226">
        <v>203</v>
      </c>
      <c r="C29" s="226">
        <v>281</v>
      </c>
      <c r="D29" s="226">
        <v>249</v>
      </c>
      <c r="E29" s="226">
        <v>229</v>
      </c>
      <c r="F29" s="226">
        <v>206</v>
      </c>
    </row>
    <row r="30" spans="1:6">
      <c r="A30" s="227" t="s">
        <v>126</v>
      </c>
      <c r="B30" s="226">
        <v>-2182</v>
      </c>
      <c r="C30" s="226">
        <v>-2182</v>
      </c>
      <c r="D30" s="226">
        <v>0</v>
      </c>
      <c r="E30" s="226">
        <v>0</v>
      </c>
      <c r="F30" s="226">
        <v>0</v>
      </c>
    </row>
    <row r="31" spans="1:6">
      <c r="A31" s="227" t="s">
        <v>127</v>
      </c>
      <c r="B31" s="226">
        <v>0</v>
      </c>
      <c r="C31" s="226">
        <v>-281</v>
      </c>
      <c r="D31" s="226">
        <v>0</v>
      </c>
      <c r="E31" s="226">
        <v>0</v>
      </c>
      <c r="F31" s="226">
        <v>0</v>
      </c>
    </row>
    <row r="32" spans="1:6">
      <c r="A32" s="227" t="s">
        <v>1365</v>
      </c>
      <c r="B32" s="226" t="s">
        <v>1</v>
      </c>
      <c r="C32" s="226">
        <v>0</v>
      </c>
      <c r="D32" s="226">
        <v>0</v>
      </c>
      <c r="E32" s="226">
        <v>0</v>
      </c>
      <c r="F32" s="226">
        <v>0</v>
      </c>
    </row>
    <row r="33" spans="1:7">
      <c r="A33" s="227" t="s">
        <v>124</v>
      </c>
      <c r="B33" s="226">
        <v>100</v>
      </c>
      <c r="C33" s="226">
        <v>8756</v>
      </c>
      <c r="D33" s="226">
        <v>120</v>
      </c>
      <c r="E33" s="226">
        <v>100</v>
      </c>
      <c r="F33" s="226">
        <v>90</v>
      </c>
    </row>
    <row r="34" spans="1:7">
      <c r="A34" s="229" t="s">
        <v>173</v>
      </c>
      <c r="B34" s="226">
        <v>0</v>
      </c>
      <c r="C34" s="226">
        <v>0</v>
      </c>
      <c r="D34" s="226">
        <v>0</v>
      </c>
      <c r="E34" s="226">
        <v>0</v>
      </c>
      <c r="F34" s="226">
        <v>0</v>
      </c>
    </row>
    <row r="35" spans="1:7">
      <c r="A35" s="230" t="s">
        <v>129</v>
      </c>
      <c r="B35" s="226">
        <v>0</v>
      </c>
      <c r="C35" s="226">
        <v>7101</v>
      </c>
      <c r="D35" s="226">
        <v>-5037</v>
      </c>
      <c r="E35" s="226">
        <v>5228</v>
      </c>
      <c r="F35" s="226">
        <v>-4591</v>
      </c>
    </row>
    <row r="36" spans="1:7">
      <c r="A36" s="229" t="s">
        <v>70</v>
      </c>
      <c r="B36" s="226">
        <v>0</v>
      </c>
      <c r="C36" s="226">
        <v>-19127</v>
      </c>
      <c r="D36" s="226">
        <v>-204</v>
      </c>
      <c r="E36" s="226">
        <v>62</v>
      </c>
      <c r="F36" s="226">
        <v>1064</v>
      </c>
    </row>
    <row r="37" spans="1:7">
      <c r="A37" s="230" t="s">
        <v>128</v>
      </c>
      <c r="B37" s="226">
        <v>0</v>
      </c>
      <c r="C37" s="226">
        <v>824</v>
      </c>
      <c r="D37" s="226">
        <v>-655</v>
      </c>
      <c r="E37" s="226">
        <v>-655</v>
      </c>
      <c r="F37" s="226">
        <v>-655</v>
      </c>
    </row>
    <row r="38" spans="1:7">
      <c r="A38" s="227" t="s">
        <v>122</v>
      </c>
      <c r="B38" s="226">
        <v>0</v>
      </c>
      <c r="C38" s="226">
        <v>-78096</v>
      </c>
      <c r="D38" s="226">
        <v>0</v>
      </c>
      <c r="E38" s="226">
        <v>0</v>
      </c>
      <c r="F38" s="226">
        <v>0</v>
      </c>
    </row>
    <row r="39" spans="1:7">
      <c r="A39" s="231" t="s">
        <v>123</v>
      </c>
      <c r="B39" s="226">
        <v>-4256</v>
      </c>
      <c r="C39" s="226">
        <v>-19326</v>
      </c>
      <c r="D39" s="226">
        <v>-6719</v>
      </c>
      <c r="E39" s="226">
        <v>-17449</v>
      </c>
      <c r="F39" s="226">
        <v>-18480</v>
      </c>
    </row>
    <row r="40" spans="1:7">
      <c r="A40" s="230" t="s">
        <v>132</v>
      </c>
      <c r="B40" s="226">
        <v>-11148</v>
      </c>
      <c r="C40" s="226">
        <v>-11148</v>
      </c>
      <c r="D40" s="226">
        <v>-9238</v>
      </c>
      <c r="E40" s="226">
        <v>-3115</v>
      </c>
      <c r="F40" s="226">
        <v>650</v>
      </c>
    </row>
    <row r="41" spans="1:7">
      <c r="A41" s="62" t="s">
        <v>90</v>
      </c>
      <c r="B41" s="63">
        <f>B3+B4</f>
        <v>-1083489</v>
      </c>
      <c r="C41" s="63">
        <f t="shared" ref="C41:F41" si="1">C3+C4</f>
        <v>-1375550</v>
      </c>
      <c r="D41" s="63">
        <f t="shared" si="1"/>
        <v>-742811</v>
      </c>
      <c r="E41" s="63">
        <f t="shared" si="1"/>
        <v>-95261</v>
      </c>
      <c r="F41" s="63">
        <f t="shared" si="1"/>
        <v>0</v>
      </c>
    </row>
    <row r="42" spans="1:7" ht="18">
      <c r="A42" s="64" t="s">
        <v>130</v>
      </c>
      <c r="B42" s="118">
        <f>B41/1000/B45*100</f>
        <v>-1.290000143586153</v>
      </c>
      <c r="C42" s="118">
        <f t="shared" ref="C42:F42" si="2">C41/1000/C45*100</f>
        <v>-1.6220270698282326</v>
      </c>
      <c r="D42" s="118">
        <f t="shared" si="2"/>
        <v>-0.82799578606769475</v>
      </c>
      <c r="E42" s="118">
        <f t="shared" si="2"/>
        <v>-9.9758627705987202E-2</v>
      </c>
      <c r="F42" s="118">
        <f t="shared" si="2"/>
        <v>0</v>
      </c>
      <c r="G42" s="187"/>
    </row>
    <row r="43" spans="1:7">
      <c r="F43" s="61" t="s">
        <v>91</v>
      </c>
      <c r="G43" s="188"/>
    </row>
    <row r="44" spans="1:7">
      <c r="B44" s="115"/>
      <c r="C44" s="115"/>
      <c r="D44" s="115"/>
      <c r="E44" s="115"/>
      <c r="F44" s="115"/>
      <c r="G44" s="188"/>
    </row>
    <row r="45" spans="1:7" ht="12.75" customHeight="1">
      <c r="A45" s="237" t="s">
        <v>131</v>
      </c>
      <c r="B45" s="437">
        <v>83991.385999999999</v>
      </c>
      <c r="C45" s="437">
        <v>84804.38</v>
      </c>
      <c r="D45" s="437">
        <v>89711.93</v>
      </c>
      <c r="E45" s="437">
        <v>95491.49</v>
      </c>
      <c r="F45" s="437">
        <v>101251.9</v>
      </c>
      <c r="G45" s="190"/>
    </row>
    <row r="46" spans="1:7">
      <c r="A46" s="438"/>
      <c r="B46" s="438"/>
      <c r="C46" s="438"/>
      <c r="D46" s="438"/>
      <c r="E46" s="438"/>
      <c r="F46" s="438"/>
      <c r="G46" s="189"/>
    </row>
    <row r="47" spans="1:7" ht="12.75" customHeight="1">
      <c r="A47" s="197"/>
      <c r="B47" s="189"/>
      <c r="C47" s="189"/>
      <c r="D47" s="189"/>
      <c r="E47" s="189"/>
      <c r="F47" s="189"/>
      <c r="G47" s="189"/>
    </row>
    <row r="48" spans="1:7">
      <c r="B48" s="232"/>
      <c r="C48" s="232"/>
      <c r="D48" s="232"/>
      <c r="E48" s="232"/>
      <c r="F48" s="232"/>
      <c r="G48" s="189"/>
    </row>
    <row r="49" spans="1:7">
      <c r="B49" s="191"/>
      <c r="C49" s="191"/>
      <c r="D49" s="191"/>
      <c r="E49" s="191"/>
      <c r="F49" s="191"/>
      <c r="G49" s="191"/>
    </row>
    <row r="50" spans="1:7">
      <c r="A50" s="196"/>
      <c r="B50" s="191"/>
      <c r="C50" s="191"/>
      <c r="D50" s="191"/>
      <c r="E50" s="191"/>
      <c r="F50" s="191"/>
      <c r="G50" s="191"/>
    </row>
    <row r="51" spans="1:7">
      <c r="A51" s="195"/>
      <c r="B51" s="192"/>
      <c r="C51" s="192"/>
      <c r="D51" s="192"/>
      <c r="E51" s="192"/>
      <c r="F51" s="192"/>
      <c r="G51" s="192"/>
    </row>
    <row r="52" spans="1:7">
      <c r="A52" s="195"/>
      <c r="B52" s="192"/>
      <c r="C52" s="192"/>
      <c r="D52" s="192"/>
      <c r="E52" s="192"/>
      <c r="F52" s="192"/>
      <c r="G52" s="192"/>
    </row>
    <row r="53" spans="1:7">
      <c r="A53" s="195"/>
      <c r="B53" s="192"/>
      <c r="C53" s="192"/>
      <c r="D53" s="192"/>
      <c r="E53" s="192"/>
      <c r="F53" s="192"/>
      <c r="G53" s="192"/>
    </row>
    <row r="54" spans="1:7">
      <c r="A54" s="195"/>
      <c r="B54" s="192"/>
      <c r="C54" s="192"/>
      <c r="D54" s="192"/>
      <c r="E54" s="192"/>
      <c r="F54" s="192"/>
      <c r="G54" s="192"/>
    </row>
    <row r="55" spans="1:7">
      <c r="A55" s="195"/>
      <c r="B55" s="192"/>
      <c r="C55" s="192"/>
      <c r="D55" s="192"/>
      <c r="E55" s="192"/>
      <c r="F55" s="192"/>
      <c r="G55" s="192"/>
    </row>
    <row r="56" spans="1:7">
      <c r="A56" s="195"/>
      <c r="B56" s="192"/>
      <c r="C56" s="192"/>
      <c r="D56" s="192"/>
      <c r="E56" s="192"/>
      <c r="F56" s="192"/>
      <c r="G56" s="192"/>
    </row>
    <row r="57" spans="1:7">
      <c r="A57" s="195"/>
      <c r="B57" s="192"/>
      <c r="C57" s="192"/>
      <c r="D57" s="192"/>
      <c r="E57" s="192"/>
      <c r="F57" s="192"/>
      <c r="G57" s="192"/>
    </row>
    <row r="58" spans="1:7">
      <c r="A58" s="195"/>
      <c r="B58" s="192"/>
      <c r="C58" s="192"/>
      <c r="D58" s="192"/>
      <c r="E58" s="192"/>
      <c r="F58" s="192"/>
      <c r="G58" s="192"/>
    </row>
    <row r="59" spans="1:7">
      <c r="A59" s="195"/>
      <c r="B59" s="192"/>
      <c r="C59" s="192"/>
      <c r="D59" s="192"/>
      <c r="E59" s="192"/>
      <c r="F59" s="192"/>
      <c r="G59" s="192"/>
    </row>
    <row r="60" spans="1:7">
      <c r="A60" s="195"/>
      <c r="B60" s="192"/>
      <c r="C60" s="192"/>
      <c r="D60" s="192"/>
      <c r="E60" s="192"/>
      <c r="F60" s="192"/>
      <c r="G60" s="192"/>
    </row>
    <row r="61" spans="1:7">
      <c r="A61" s="195"/>
      <c r="B61" s="192"/>
      <c r="C61" s="192"/>
      <c r="D61" s="192"/>
      <c r="E61" s="192"/>
      <c r="F61" s="192"/>
      <c r="G61" s="192"/>
    </row>
    <row r="62" spans="1:7">
      <c r="A62" s="184"/>
      <c r="B62" s="192"/>
      <c r="C62" s="192"/>
      <c r="D62" s="192"/>
      <c r="E62" s="192"/>
      <c r="F62" s="192"/>
      <c r="G62" s="192"/>
    </row>
    <row r="63" spans="1:7">
      <c r="A63" s="195"/>
      <c r="B63" s="192"/>
      <c r="C63" s="192"/>
      <c r="D63" s="192"/>
      <c r="E63" s="192"/>
      <c r="F63" s="192"/>
      <c r="G63" s="192"/>
    </row>
    <row r="64" spans="1:7">
      <c r="A64" s="195"/>
      <c r="B64" s="192"/>
      <c r="C64" s="192"/>
      <c r="D64" s="192"/>
      <c r="E64" s="192"/>
      <c r="F64" s="192"/>
      <c r="G64" s="192"/>
    </row>
    <row r="65" spans="1:7">
      <c r="A65" s="195"/>
      <c r="B65" s="192"/>
      <c r="C65" s="192"/>
      <c r="D65" s="192"/>
      <c r="E65" s="192"/>
      <c r="F65" s="192"/>
      <c r="G65" s="192"/>
    </row>
    <row r="66" spans="1:7">
      <c r="A66" s="195"/>
      <c r="B66" s="192"/>
      <c r="C66" s="192"/>
      <c r="D66" s="192"/>
      <c r="E66" s="192"/>
      <c r="F66" s="192"/>
      <c r="G66" s="192"/>
    </row>
    <row r="67" spans="1:7">
      <c r="A67" s="195"/>
      <c r="B67" s="192"/>
      <c r="C67" s="192"/>
      <c r="D67" s="192"/>
      <c r="E67" s="192"/>
      <c r="F67" s="192"/>
      <c r="G67" s="192"/>
    </row>
    <row r="68" spans="1:7">
      <c r="A68" s="198"/>
      <c r="B68" s="192"/>
      <c r="C68" s="192"/>
      <c r="D68" s="192"/>
      <c r="E68" s="192"/>
      <c r="F68" s="192"/>
      <c r="G68" s="192"/>
    </row>
    <row r="69" spans="1:7">
      <c r="A69" s="198"/>
      <c r="B69" s="192"/>
      <c r="C69" s="192"/>
      <c r="D69" s="192"/>
      <c r="E69" s="192"/>
      <c r="F69" s="192"/>
      <c r="G69" s="192"/>
    </row>
    <row r="70" spans="1:7">
      <c r="A70" s="195"/>
      <c r="B70" s="192"/>
      <c r="C70" s="192"/>
      <c r="D70" s="192"/>
      <c r="E70" s="192"/>
      <c r="F70" s="192"/>
      <c r="G70" s="192"/>
    </row>
    <row r="71" spans="1:7">
      <c r="A71" s="198"/>
      <c r="B71" s="192"/>
      <c r="C71" s="192"/>
      <c r="D71" s="192"/>
      <c r="E71" s="192"/>
      <c r="F71" s="192"/>
      <c r="G71" s="192"/>
    </row>
    <row r="72" spans="1:7">
      <c r="A72" s="198"/>
      <c r="B72" s="192"/>
      <c r="C72" s="192"/>
      <c r="D72" s="192"/>
      <c r="E72" s="192"/>
      <c r="F72" s="192"/>
      <c r="G72" s="192"/>
    </row>
    <row r="73" spans="1:7">
      <c r="A73" s="198"/>
      <c r="B73" s="192"/>
      <c r="C73" s="192"/>
      <c r="D73" s="192"/>
      <c r="E73" s="192"/>
      <c r="F73" s="192"/>
      <c r="G73" s="192"/>
    </row>
    <row r="74" spans="1:7">
      <c r="A74" s="198"/>
      <c r="B74" s="192"/>
      <c r="C74" s="192"/>
      <c r="D74" s="192"/>
      <c r="E74" s="192"/>
      <c r="F74" s="192"/>
      <c r="G74" s="192"/>
    </row>
    <row r="75" spans="1:7">
      <c r="A75" s="198"/>
      <c r="B75" s="192"/>
      <c r="C75" s="192"/>
      <c r="D75" s="192"/>
      <c r="E75" s="192"/>
      <c r="F75" s="192"/>
      <c r="G75" s="192"/>
    </row>
    <row r="76" spans="1:7">
      <c r="A76" s="198"/>
      <c r="B76" s="192"/>
      <c r="C76" s="192"/>
      <c r="D76" s="192"/>
      <c r="E76" s="192"/>
      <c r="F76" s="192"/>
      <c r="G76" s="192"/>
    </row>
    <row r="77" spans="1:7">
      <c r="A77" s="198"/>
      <c r="B77" s="192"/>
      <c r="C77" s="192"/>
      <c r="D77" s="192"/>
      <c r="E77" s="192"/>
      <c r="F77" s="192"/>
      <c r="G77" s="192"/>
    </row>
    <row r="78" spans="1:7">
      <c r="A78" s="198"/>
      <c r="B78" s="199"/>
      <c r="C78" s="192"/>
      <c r="D78" s="192"/>
      <c r="E78" s="192"/>
      <c r="F78" s="192"/>
      <c r="G78" s="192"/>
    </row>
    <row r="79" spans="1:7">
      <c r="A79" s="198"/>
      <c r="B79" s="192"/>
      <c r="C79" s="192"/>
      <c r="D79" s="192"/>
      <c r="E79" s="192"/>
      <c r="F79" s="192"/>
      <c r="G79" s="192"/>
    </row>
    <row r="80" spans="1:7">
      <c r="A80" s="198"/>
      <c r="B80" s="192"/>
      <c r="C80" s="192"/>
      <c r="D80" s="192"/>
      <c r="E80" s="192"/>
      <c r="F80" s="192"/>
      <c r="G80" s="192"/>
    </row>
    <row r="81" spans="1:7">
      <c r="A81" s="198"/>
      <c r="B81" s="192"/>
      <c r="C81" s="192"/>
      <c r="D81" s="192"/>
      <c r="E81" s="192"/>
      <c r="F81" s="192"/>
      <c r="G81" s="192"/>
    </row>
    <row r="82" spans="1:7">
      <c r="A82" s="195"/>
      <c r="B82" s="192"/>
      <c r="C82" s="192"/>
      <c r="D82" s="192"/>
      <c r="E82" s="192"/>
      <c r="F82" s="192"/>
      <c r="G82" s="192"/>
    </row>
    <row r="83" spans="1:7">
      <c r="A83" s="200"/>
      <c r="B83" s="191"/>
      <c r="C83" s="191"/>
      <c r="D83" s="191"/>
      <c r="E83" s="191"/>
      <c r="F83" s="191"/>
      <c r="G83" s="191"/>
    </row>
    <row r="84" spans="1:7">
      <c r="A84" s="201"/>
      <c r="B84" s="193"/>
      <c r="C84" s="193"/>
      <c r="D84" s="193"/>
      <c r="E84" s="193"/>
      <c r="F84" s="193"/>
      <c r="G84" s="193"/>
    </row>
    <row r="85" spans="1:7">
      <c r="A85" s="196"/>
      <c r="B85" s="202"/>
      <c r="C85" s="194"/>
      <c r="D85" s="194"/>
      <c r="E85" s="194"/>
      <c r="F85" s="194"/>
      <c r="G85" s="194"/>
    </row>
    <row r="86" spans="1:7">
      <c r="A86" s="30"/>
      <c r="B86" s="30"/>
      <c r="C86" s="30"/>
      <c r="D86" s="30"/>
      <c r="E86" s="30"/>
      <c r="F86" s="30"/>
    </row>
    <row r="87" spans="1:7">
      <c r="A87" s="30"/>
      <c r="B87" s="30"/>
      <c r="C87" s="30"/>
      <c r="D87" s="30"/>
      <c r="E87" s="30"/>
      <c r="F87" s="30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workbookViewId="0">
      <selection sqref="A1:G1"/>
    </sheetView>
  </sheetViews>
  <sheetFormatPr defaultRowHeight="15"/>
  <cols>
    <col min="1" max="1" width="40.7109375" style="439" customWidth="1"/>
    <col min="2" max="16384" width="9.140625" style="439"/>
  </cols>
  <sheetData>
    <row r="1" spans="1:7">
      <c r="A1" s="1567" t="s">
        <v>407</v>
      </c>
      <c r="B1" s="1567"/>
      <c r="C1" s="1567"/>
      <c r="D1" s="1567"/>
      <c r="E1" s="1567"/>
      <c r="F1" s="1567"/>
      <c r="G1" s="1567"/>
    </row>
    <row r="2" spans="1:7">
      <c r="A2" s="451"/>
      <c r="B2" s="452" t="s">
        <v>408</v>
      </c>
      <c r="C2" s="452" t="s">
        <v>409</v>
      </c>
      <c r="D2" s="452" t="s">
        <v>410</v>
      </c>
      <c r="E2" s="452" t="s">
        <v>411</v>
      </c>
      <c r="F2" s="452" t="s">
        <v>412</v>
      </c>
      <c r="G2" s="452" t="s">
        <v>413</v>
      </c>
    </row>
    <row r="3" spans="1:7">
      <c r="A3" s="453" t="s">
        <v>414</v>
      </c>
      <c r="B3" s="454">
        <v>33720</v>
      </c>
      <c r="C3" s="454">
        <v>31910.172000000002</v>
      </c>
      <c r="D3" s="454">
        <v>33284.932641318403</v>
      </c>
      <c r="E3" s="454">
        <v>35122.429477059195</v>
      </c>
      <c r="F3" s="454">
        <v>36750.735536148793</v>
      </c>
      <c r="G3" s="454">
        <v>38483.268387896882</v>
      </c>
    </row>
    <row r="4" spans="1:7">
      <c r="A4" s="455" t="s">
        <v>415</v>
      </c>
      <c r="B4" s="456">
        <v>2793</v>
      </c>
      <c r="C4" s="456">
        <v>796.34500000000003</v>
      </c>
      <c r="D4" s="456">
        <v>676.56226482792943</v>
      </c>
      <c r="E4" s="456">
        <v>912.0645683549335</v>
      </c>
      <c r="F4" s="456">
        <v>1008.8269898633724</v>
      </c>
      <c r="G4" s="456">
        <v>1038.7275651927691</v>
      </c>
    </row>
    <row r="5" spans="1:7">
      <c r="A5" s="455" t="s">
        <v>416</v>
      </c>
      <c r="B5" s="456">
        <v>1557</v>
      </c>
      <c r="C5" s="456">
        <v>1606.3344069999998</v>
      </c>
      <c r="D5" s="456">
        <v>1533.527</v>
      </c>
      <c r="E5" s="456">
        <v>1570.771</v>
      </c>
      <c r="F5" s="456">
        <v>1577.902</v>
      </c>
      <c r="G5" s="456">
        <v>1644.3920000000001</v>
      </c>
    </row>
    <row r="6" spans="1:7">
      <c r="A6" s="455" t="s">
        <v>417</v>
      </c>
      <c r="B6" s="456">
        <v>171</v>
      </c>
      <c r="C6" s="456">
        <v>180.63499999999999</v>
      </c>
      <c r="D6" s="456">
        <v>176.696</v>
      </c>
      <c r="E6" s="456">
        <v>166.386</v>
      </c>
      <c r="F6" s="456">
        <v>166.80699999999999</v>
      </c>
      <c r="G6" s="456">
        <v>170.61099999999999</v>
      </c>
    </row>
    <row r="7" spans="1:7" ht="15.75" thickBot="1">
      <c r="A7" s="457" t="s">
        <v>418</v>
      </c>
      <c r="B7" s="454">
        <v>29199</v>
      </c>
      <c r="C7" s="454">
        <v>29326.857593000001</v>
      </c>
      <c r="D7" s="454">
        <v>30898.147376490473</v>
      </c>
      <c r="E7" s="454">
        <v>32473.207908704262</v>
      </c>
      <c r="F7" s="454">
        <v>33997.199546285425</v>
      </c>
      <c r="G7" s="454">
        <v>35629.537822704115</v>
      </c>
    </row>
    <row r="8" spans="1:7">
      <c r="A8" s="458" t="s">
        <v>419</v>
      </c>
      <c r="B8" s="459">
        <v>8562</v>
      </c>
      <c r="C8" s="459">
        <v>8620.7759999999998</v>
      </c>
      <c r="D8" s="459">
        <v>9149.2708768976263</v>
      </c>
      <c r="E8" s="459">
        <v>9642.9663836476411</v>
      </c>
      <c r="F8" s="459">
        <v>10035.058015315399</v>
      </c>
      <c r="G8" s="459">
        <v>10415.075865687222</v>
      </c>
    </row>
    <row r="9" spans="1:7">
      <c r="A9" s="460" t="s">
        <v>420</v>
      </c>
      <c r="B9" s="456">
        <v>5420</v>
      </c>
      <c r="C9" s="456">
        <v>5419.65</v>
      </c>
      <c r="D9" s="456">
        <v>5843.2605078978559</v>
      </c>
      <c r="E9" s="456">
        <v>6117.1038318739902</v>
      </c>
      <c r="F9" s="456">
        <v>6405.2406609307327</v>
      </c>
      <c r="G9" s="456">
        <v>6699.3916623169516</v>
      </c>
    </row>
    <row r="10" spans="1:7">
      <c r="A10" s="460" t="s">
        <v>421</v>
      </c>
      <c r="B10" s="456">
        <v>2108</v>
      </c>
      <c r="C10" s="456">
        <v>2173.884</v>
      </c>
      <c r="D10" s="456">
        <v>2263.3389289572724</v>
      </c>
      <c r="E10" s="456">
        <v>2317.274165312182</v>
      </c>
      <c r="F10" s="456">
        <v>2404.4131484552704</v>
      </c>
      <c r="G10" s="456">
        <v>2458.6484449909508</v>
      </c>
    </row>
    <row r="11" spans="1:7">
      <c r="A11" s="460" t="s">
        <v>422</v>
      </c>
      <c r="B11" s="456">
        <v>217</v>
      </c>
      <c r="C11" s="456">
        <v>225.36099999999999</v>
      </c>
      <c r="D11" s="456">
        <v>234.51451517870268</v>
      </c>
      <c r="E11" s="456">
        <v>238.53042299278198</v>
      </c>
      <c r="F11" s="456">
        <v>243.05674847173336</v>
      </c>
      <c r="G11" s="456">
        <v>247.87374855923466</v>
      </c>
    </row>
    <row r="12" spans="1:7">
      <c r="A12" s="460" t="s">
        <v>423</v>
      </c>
      <c r="B12" s="456">
        <v>142</v>
      </c>
      <c r="C12" s="456">
        <v>145.05000000000001</v>
      </c>
      <c r="D12" s="456">
        <v>145.03192098702098</v>
      </c>
      <c r="E12" s="456">
        <v>153.42487667341229</v>
      </c>
      <c r="F12" s="456">
        <v>163.30874732067824</v>
      </c>
      <c r="G12" s="456">
        <v>173.16020516663872</v>
      </c>
    </row>
    <row r="13" spans="1:7">
      <c r="A13" s="460" t="s">
        <v>424</v>
      </c>
      <c r="B13" s="456">
        <v>11</v>
      </c>
      <c r="C13" s="456">
        <v>11.741399999999999</v>
      </c>
      <c r="D13" s="456">
        <v>12.3617793342444</v>
      </c>
      <c r="E13" s="456">
        <v>12.3617793342444</v>
      </c>
      <c r="F13" s="456">
        <v>12.3617793342444</v>
      </c>
      <c r="G13" s="456">
        <v>12.3617793342444</v>
      </c>
    </row>
    <row r="14" spans="1:7">
      <c r="A14" s="460" t="s">
        <v>425</v>
      </c>
      <c r="B14" s="456">
        <v>110</v>
      </c>
      <c r="C14" s="456">
        <v>119.77200000000001</v>
      </c>
      <c r="D14" s="456">
        <v>126.98377729565971</v>
      </c>
      <c r="E14" s="456">
        <v>134.66543276448792</v>
      </c>
      <c r="F14" s="456">
        <v>142.63257422606679</v>
      </c>
      <c r="G14" s="456">
        <v>151.81260975583774</v>
      </c>
    </row>
    <row r="15" spans="1:7">
      <c r="A15" s="460" t="s">
        <v>426</v>
      </c>
      <c r="B15" s="456">
        <v>170</v>
      </c>
      <c r="C15" s="456">
        <v>186.61600000000001</v>
      </c>
      <c r="D15" s="456">
        <v>190</v>
      </c>
      <c r="E15" s="456">
        <v>265</v>
      </c>
      <c r="F15" s="456">
        <v>227.5</v>
      </c>
      <c r="G15" s="456">
        <v>227.5</v>
      </c>
    </row>
    <row r="16" spans="1:7">
      <c r="A16" s="460" t="s">
        <v>427</v>
      </c>
      <c r="B16" s="456">
        <v>30</v>
      </c>
      <c r="C16" s="456">
        <v>32.077536000000002</v>
      </c>
      <c r="D16" s="456">
        <v>39.223477599999995</v>
      </c>
      <c r="E16" s="456">
        <v>41.595212400000001</v>
      </c>
      <c r="F16" s="456">
        <v>44.575185599999998</v>
      </c>
      <c r="G16" s="456">
        <v>47.262888400000001</v>
      </c>
    </row>
    <row r="17" spans="1:7">
      <c r="A17" s="460" t="s">
        <v>428</v>
      </c>
      <c r="B17" s="456">
        <v>48</v>
      </c>
      <c r="C17" s="456">
        <v>64.472999999999999</v>
      </c>
      <c r="D17" s="456">
        <v>55.352486313538783</v>
      </c>
      <c r="E17" s="456">
        <v>58.810412296543227</v>
      </c>
      <c r="F17" s="456">
        <v>70.572254310005718</v>
      </c>
      <c r="G17" s="456">
        <v>75.681943830028814</v>
      </c>
    </row>
    <row r="18" spans="1:7">
      <c r="A18" s="460" t="s">
        <v>429</v>
      </c>
      <c r="B18" s="456">
        <v>9</v>
      </c>
      <c r="C18" s="456">
        <v>0</v>
      </c>
      <c r="D18" s="456">
        <v>8.8000000000000007</v>
      </c>
      <c r="E18" s="456">
        <v>3.0550000000000002</v>
      </c>
      <c r="F18" s="456">
        <v>3.1467000000000001</v>
      </c>
      <c r="G18" s="456">
        <v>3.2410999999999999</v>
      </c>
    </row>
    <row r="19" spans="1:7">
      <c r="A19" s="460" t="s">
        <v>430</v>
      </c>
      <c r="B19" s="456">
        <v>34</v>
      </c>
      <c r="C19" s="456">
        <v>21.606877999999998</v>
      </c>
      <c r="D19" s="456">
        <v>17.535</v>
      </c>
      <c r="E19" s="456">
        <v>17.535</v>
      </c>
      <c r="F19" s="456">
        <v>17.535</v>
      </c>
      <c r="G19" s="456">
        <v>17.535</v>
      </c>
    </row>
    <row r="20" spans="1:7">
      <c r="A20" s="460" t="s">
        <v>431</v>
      </c>
      <c r="B20" s="456">
        <v>56</v>
      </c>
      <c r="C20" s="456">
        <v>0</v>
      </c>
      <c r="D20" s="456">
        <v>0</v>
      </c>
      <c r="E20" s="456">
        <v>0</v>
      </c>
      <c r="F20" s="456">
        <v>0</v>
      </c>
      <c r="G20" s="456">
        <v>0</v>
      </c>
    </row>
    <row r="21" spans="1:7">
      <c r="A21" s="460" t="s">
        <v>432</v>
      </c>
      <c r="B21" s="456">
        <v>206</v>
      </c>
      <c r="C21" s="456">
        <v>220.54418599999943</v>
      </c>
      <c r="D21" s="456">
        <v>212.86848333333182</v>
      </c>
      <c r="E21" s="456">
        <v>283.61024999999722</v>
      </c>
      <c r="F21" s="456">
        <v>300.71521666666752</v>
      </c>
      <c r="G21" s="456">
        <v>300.60648333333546</v>
      </c>
    </row>
    <row r="22" spans="1:7">
      <c r="A22" s="458" t="s">
        <v>433</v>
      </c>
      <c r="B22" s="461">
        <v>5825</v>
      </c>
      <c r="C22" s="461">
        <v>5956.85</v>
      </c>
      <c r="D22" s="461">
        <v>6084.0573136001121</v>
      </c>
      <c r="E22" s="461">
        <v>6403.6424275673744</v>
      </c>
      <c r="F22" s="461">
        <v>6784.0485526864531</v>
      </c>
      <c r="G22" s="461">
        <v>7234.4692423554725</v>
      </c>
    </row>
    <row r="23" spans="1:7">
      <c r="A23" s="460" t="s">
        <v>434</v>
      </c>
      <c r="B23" s="456">
        <v>2464</v>
      </c>
      <c r="C23" s="456">
        <v>2681.6010000000001</v>
      </c>
      <c r="D23" s="456">
        <v>2843.4925565099202</v>
      </c>
      <c r="E23" s="456">
        <v>3076.0076662980887</v>
      </c>
      <c r="F23" s="456">
        <v>3307.0902307779511</v>
      </c>
      <c r="G23" s="456">
        <v>3569.4370108364374</v>
      </c>
    </row>
    <row r="24" spans="1:7">
      <c r="A24" s="460" t="s">
        <v>435</v>
      </c>
      <c r="B24" s="456">
        <v>2860</v>
      </c>
      <c r="C24" s="456">
        <v>2719.1179999999999</v>
      </c>
      <c r="D24" s="456">
        <v>2613.617163749057</v>
      </c>
      <c r="E24" s="456">
        <v>2633.7055910245704</v>
      </c>
      <c r="F24" s="456">
        <v>2827.486398797555</v>
      </c>
      <c r="G24" s="456">
        <v>2994.9717940794071</v>
      </c>
    </row>
    <row r="25" spans="1:7">
      <c r="A25" s="460" t="s">
        <v>436</v>
      </c>
      <c r="B25" s="456">
        <v>162</v>
      </c>
      <c r="C25" s="456">
        <v>179.21100000000001</v>
      </c>
      <c r="D25" s="456">
        <v>169.20533734117063</v>
      </c>
      <c r="E25" s="456">
        <v>230.03188664399761</v>
      </c>
      <c r="F25" s="456">
        <v>227.32119679762943</v>
      </c>
      <c r="G25" s="456">
        <v>236.55931452317805</v>
      </c>
    </row>
    <row r="26" spans="1:7">
      <c r="A26" s="460" t="s">
        <v>437</v>
      </c>
      <c r="B26" s="456">
        <v>107</v>
      </c>
      <c r="C26" s="456">
        <v>110.99799999999999</v>
      </c>
      <c r="D26" s="456">
        <v>117.25725758935134</v>
      </c>
      <c r="E26" s="456">
        <v>119.26521149639099</v>
      </c>
      <c r="F26" s="456">
        <v>121.52837423586668</v>
      </c>
      <c r="G26" s="456">
        <v>123.93687427961733</v>
      </c>
    </row>
    <row r="27" spans="1:7">
      <c r="A27" s="460" t="s">
        <v>438</v>
      </c>
      <c r="B27" s="456">
        <v>64</v>
      </c>
      <c r="C27" s="456">
        <v>66.534599999999998</v>
      </c>
      <c r="D27" s="456">
        <v>70.050082894051599</v>
      </c>
      <c r="E27" s="456">
        <v>70.050082894051599</v>
      </c>
      <c r="F27" s="456">
        <v>70.050082894051599</v>
      </c>
      <c r="G27" s="456">
        <v>70.050082894051599</v>
      </c>
    </row>
    <row r="28" spans="1:7">
      <c r="A28" s="460" t="s">
        <v>439</v>
      </c>
      <c r="B28" s="456">
        <v>90</v>
      </c>
      <c r="C28" s="456">
        <v>92.706000000000003</v>
      </c>
      <c r="D28" s="456">
        <v>183.14832769370662</v>
      </c>
      <c r="E28" s="456">
        <v>190.32826466748969</v>
      </c>
      <c r="F28" s="456">
        <v>145.77226258325643</v>
      </c>
      <c r="G28" s="456">
        <v>154.39507926092077</v>
      </c>
    </row>
    <row r="29" spans="1:7">
      <c r="A29" s="460" t="s">
        <v>432</v>
      </c>
      <c r="B29" s="456">
        <v>78</v>
      </c>
      <c r="C29" s="456">
        <v>106.68140000000039</v>
      </c>
      <c r="D29" s="456">
        <v>87.286587822854756</v>
      </c>
      <c r="E29" s="456">
        <v>84.253724542785235</v>
      </c>
      <c r="F29" s="456">
        <v>84.80000660014332</v>
      </c>
      <c r="G29" s="456">
        <v>85.119086481859711</v>
      </c>
    </row>
    <row r="30" spans="1:7">
      <c r="A30" s="458" t="s">
        <v>440</v>
      </c>
      <c r="B30" s="461">
        <v>0</v>
      </c>
      <c r="C30" s="461">
        <v>4.0000000000000001E-3</v>
      </c>
      <c r="D30" s="461">
        <v>0</v>
      </c>
      <c r="E30" s="461">
        <v>0</v>
      </c>
      <c r="F30" s="461">
        <v>0</v>
      </c>
      <c r="G30" s="461">
        <v>0</v>
      </c>
    </row>
    <row r="31" spans="1:7">
      <c r="A31" s="458" t="s">
        <v>441</v>
      </c>
      <c r="B31" s="461">
        <v>9314</v>
      </c>
      <c r="C31" s="461">
        <v>9828.603083500002</v>
      </c>
      <c r="D31" s="461">
        <v>10700.958295815797</v>
      </c>
      <c r="E31" s="461">
        <v>11295.693667081527</v>
      </c>
      <c r="F31" s="461">
        <v>11918.419686308154</v>
      </c>
      <c r="G31" s="461">
        <v>12602.998835787335</v>
      </c>
    </row>
    <row r="32" spans="1:7">
      <c r="A32" s="460" t="s">
        <v>442</v>
      </c>
      <c r="B32" s="456">
        <v>6156</v>
      </c>
      <c r="C32" s="456">
        <v>6584.2392235000007</v>
      </c>
      <c r="D32" s="456">
        <v>7062.8914022413919</v>
      </c>
      <c r="E32" s="456">
        <v>7445.1141048210984</v>
      </c>
      <c r="F32" s="456">
        <v>7832.673881740362</v>
      </c>
      <c r="G32" s="456">
        <v>8267.0902748312692</v>
      </c>
    </row>
    <row r="33" spans="1:9">
      <c r="A33" s="460" t="s">
        <v>443</v>
      </c>
      <c r="B33" s="456">
        <v>2904</v>
      </c>
      <c r="C33" s="456">
        <v>2981.2429999999999</v>
      </c>
      <c r="D33" s="456">
        <v>3338.1298935744057</v>
      </c>
      <c r="E33" s="456">
        <v>3538.6444962604287</v>
      </c>
      <c r="F33" s="456">
        <v>3772.5828045677922</v>
      </c>
      <c r="G33" s="456">
        <v>4021.5265609560674</v>
      </c>
    </row>
    <row r="34" spans="1:9">
      <c r="A34" s="460" t="s">
        <v>444</v>
      </c>
      <c r="B34" s="456">
        <v>253</v>
      </c>
      <c r="C34" s="456">
        <v>263.12085999999999</v>
      </c>
      <c r="D34" s="456">
        <v>299.93700000000001</v>
      </c>
      <c r="E34" s="456">
        <v>311.93506600000001</v>
      </c>
      <c r="F34" s="456">
        <v>313.16300000000001</v>
      </c>
      <c r="G34" s="456">
        <v>314.38199999999995</v>
      </c>
    </row>
    <row r="35" spans="1:9">
      <c r="A35" s="458" t="s">
        <v>445</v>
      </c>
      <c r="B35" s="461">
        <v>633</v>
      </c>
      <c r="C35" s="461">
        <v>617.16499999999996</v>
      </c>
      <c r="D35" s="461">
        <v>646.37633772320692</v>
      </c>
      <c r="E35" s="461">
        <v>660.06562535247701</v>
      </c>
      <c r="F35" s="461">
        <v>644.68993584452096</v>
      </c>
      <c r="G35" s="461">
        <v>643.82709154293855</v>
      </c>
    </row>
    <row r="36" spans="1:9">
      <c r="A36" s="460" t="s">
        <v>375</v>
      </c>
      <c r="B36" s="456">
        <v>337</v>
      </c>
      <c r="C36" s="456">
        <v>334.64800000000002</v>
      </c>
      <c r="D36" s="456">
        <v>390.46100000000001</v>
      </c>
      <c r="E36" s="456">
        <v>400.52199999999999</v>
      </c>
      <c r="F36" s="456">
        <v>403.185</v>
      </c>
      <c r="G36" s="456">
        <v>404.029</v>
      </c>
    </row>
    <row r="37" spans="1:9">
      <c r="A37" s="460" t="s">
        <v>446</v>
      </c>
      <c r="B37" s="456">
        <v>227</v>
      </c>
      <c r="C37" s="456">
        <v>219.49960070999998</v>
      </c>
      <c r="D37" s="456">
        <v>196.18878443320699</v>
      </c>
      <c r="E37" s="456">
        <v>199.008072062477</v>
      </c>
      <c r="F37" s="456">
        <v>180.036382554521</v>
      </c>
      <c r="G37" s="456">
        <v>177.74353825293849</v>
      </c>
    </row>
    <row r="38" spans="1:9">
      <c r="A38" s="460" t="s">
        <v>432</v>
      </c>
      <c r="B38" s="456">
        <v>70</v>
      </c>
      <c r="C38" s="456">
        <v>63.017399289999958</v>
      </c>
      <c r="D38" s="456">
        <v>59.726553289999913</v>
      </c>
      <c r="E38" s="456">
        <v>60.535553290000024</v>
      </c>
      <c r="F38" s="456">
        <v>61.46855328999996</v>
      </c>
      <c r="G38" s="456">
        <v>62.054553290000058</v>
      </c>
    </row>
    <row r="39" spans="1:9">
      <c r="A39" s="458" t="s">
        <v>31</v>
      </c>
      <c r="B39" s="461">
        <v>3426</v>
      </c>
      <c r="C39" s="461">
        <v>3555.663</v>
      </c>
      <c r="D39" s="461">
        <v>3539.9070263837384</v>
      </c>
      <c r="E39" s="461">
        <v>3756.6172449852406</v>
      </c>
      <c r="F39" s="461">
        <v>3850.1598300608894</v>
      </c>
      <c r="G39" s="461">
        <v>3916.1092612611433</v>
      </c>
    </row>
    <row r="40" spans="1:9">
      <c r="A40" s="460" t="s">
        <v>447</v>
      </c>
      <c r="B40" s="456">
        <v>591.96199999999999</v>
      </c>
      <c r="C40" s="456">
        <v>594.12699999999995</v>
      </c>
      <c r="D40" s="456">
        <v>555.37900000000002</v>
      </c>
      <c r="E40" s="456">
        <v>597.89599999999996</v>
      </c>
      <c r="F40" s="456">
        <v>589.21100000000001</v>
      </c>
      <c r="G40" s="456">
        <v>593.89499999999998</v>
      </c>
      <c r="I40" s="462"/>
    </row>
    <row r="41" spans="1:9">
      <c r="A41" s="460" t="s">
        <v>448</v>
      </c>
      <c r="B41" s="456">
        <v>1353</v>
      </c>
      <c r="C41" s="456">
        <v>1477.749</v>
      </c>
      <c r="D41" s="456">
        <v>1505.385</v>
      </c>
      <c r="E41" s="456">
        <v>1604.847</v>
      </c>
      <c r="F41" s="456">
        <v>1637.8050000000001</v>
      </c>
      <c r="G41" s="456">
        <v>1663.154</v>
      </c>
    </row>
    <row r="42" spans="1:9">
      <c r="A42" s="460" t="s">
        <v>432</v>
      </c>
      <c r="B42" s="456">
        <v>1480.038</v>
      </c>
      <c r="C42" s="456">
        <v>1483.787</v>
      </c>
      <c r="D42" s="456">
        <v>1479.1430263837385</v>
      </c>
      <c r="E42" s="456">
        <v>1553.8742449852405</v>
      </c>
      <c r="F42" s="456">
        <v>1623.1438300608891</v>
      </c>
      <c r="G42" s="456">
        <v>1659.0602612611433</v>
      </c>
    </row>
    <row r="43" spans="1:9" ht="15.75" thickBot="1">
      <c r="A43" s="463" t="s">
        <v>449</v>
      </c>
      <c r="B43" s="464">
        <v>1438</v>
      </c>
      <c r="C43" s="464">
        <v>746.27600000000007</v>
      </c>
      <c r="D43" s="464">
        <v>777.57752606999941</v>
      </c>
      <c r="E43" s="464">
        <v>714.22252607000019</v>
      </c>
      <c r="F43" s="464">
        <v>764.82352607000018</v>
      </c>
      <c r="G43" s="464">
        <v>817.05752607000022</v>
      </c>
    </row>
    <row r="44" spans="1:9">
      <c r="A44" s="465"/>
      <c r="B44" s="465"/>
      <c r="C44" s="465"/>
      <c r="D44" s="465"/>
      <c r="E44" s="1569" t="s">
        <v>450</v>
      </c>
      <c r="F44" s="1569"/>
      <c r="G44" s="1569"/>
    </row>
  </sheetData>
  <mergeCells count="2">
    <mergeCell ref="A1:G1"/>
    <mergeCell ref="E44:G44"/>
  </mergeCells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showGridLines="0" workbookViewId="0">
      <selection sqref="A1:C1"/>
    </sheetView>
  </sheetViews>
  <sheetFormatPr defaultRowHeight="15"/>
  <cols>
    <col min="1" max="1" width="40.7109375" style="439" customWidth="1"/>
    <col min="2" max="16384" width="9.140625" style="439"/>
  </cols>
  <sheetData>
    <row r="1" spans="1:7" s="467" customFormat="1" ht="12.75">
      <c r="A1" s="1567" t="s">
        <v>451</v>
      </c>
      <c r="B1" s="1567"/>
      <c r="C1" s="1567"/>
      <c r="D1" s="466"/>
      <c r="E1" s="466"/>
      <c r="F1" s="466"/>
      <c r="G1" s="466"/>
    </row>
    <row r="2" spans="1:7">
      <c r="A2" s="468"/>
      <c r="B2" s="452" t="s">
        <v>408</v>
      </c>
      <c r="C2" s="452" t="s">
        <v>409</v>
      </c>
      <c r="D2" s="452" t="s">
        <v>410</v>
      </c>
      <c r="E2" s="452" t="s">
        <v>411</v>
      </c>
      <c r="F2" s="452" t="s">
        <v>412</v>
      </c>
      <c r="G2" s="452" t="s">
        <v>413</v>
      </c>
    </row>
    <row r="3" spans="1:7">
      <c r="A3" s="453" t="s">
        <v>452</v>
      </c>
      <c r="B3" s="454">
        <v>35850</v>
      </c>
      <c r="C3" s="454">
        <v>33684.084999999999</v>
      </c>
      <c r="D3" s="454">
        <v>34716.186996763034</v>
      </c>
      <c r="E3" s="454">
        <v>36371.714043524378</v>
      </c>
      <c r="F3" s="454">
        <v>37591.673826497012</v>
      </c>
      <c r="G3" s="454">
        <v>39273.963267635132</v>
      </c>
    </row>
    <row r="4" spans="1:7">
      <c r="A4" s="455" t="s">
        <v>453</v>
      </c>
      <c r="B4" s="456">
        <v>2912</v>
      </c>
      <c r="C4" s="456">
        <v>796.34491658999957</v>
      </c>
      <c r="D4" s="456">
        <v>676.56226482792943</v>
      </c>
      <c r="E4" s="456">
        <v>912.34704319121704</v>
      </c>
      <c r="F4" s="456">
        <v>1008.855348128581</v>
      </c>
      <c r="G4" s="456">
        <v>1038.6280439280224</v>
      </c>
    </row>
    <row r="5" spans="1:7">
      <c r="A5" s="455" t="s">
        <v>454</v>
      </c>
      <c r="B5" s="456">
        <v>740</v>
      </c>
      <c r="C5" s="456">
        <v>272.75879075</v>
      </c>
      <c r="D5" s="456">
        <v>267.10094037497709</v>
      </c>
      <c r="E5" s="456">
        <v>354.00855793133979</v>
      </c>
      <c r="F5" s="456">
        <v>377.45502558202247</v>
      </c>
      <c r="G5" s="456">
        <v>375.85296984276204</v>
      </c>
    </row>
    <row r="6" spans="1:7">
      <c r="A6" s="455" t="s">
        <v>455</v>
      </c>
      <c r="B6" s="456">
        <v>1379</v>
      </c>
      <c r="C6" s="456">
        <v>1392.9379999999999</v>
      </c>
      <c r="D6" s="456">
        <v>1251.1749822903557</v>
      </c>
      <c r="E6" s="456">
        <v>1288.5417295119832</v>
      </c>
      <c r="F6" s="456">
        <v>1267.2308281576106</v>
      </c>
      <c r="G6" s="456">
        <v>1226.9540802972897</v>
      </c>
    </row>
    <row r="7" spans="1:7">
      <c r="A7" s="455" t="s">
        <v>416</v>
      </c>
      <c r="B7" s="456">
        <v>1582</v>
      </c>
      <c r="C7" s="456">
        <v>1623.596</v>
      </c>
      <c r="D7" s="456">
        <v>1551.711</v>
      </c>
      <c r="E7" s="456">
        <v>1573.828</v>
      </c>
      <c r="F7" s="456">
        <v>1583.365</v>
      </c>
      <c r="G7" s="456">
        <v>1652.5349999999999</v>
      </c>
    </row>
    <row r="8" spans="1:7">
      <c r="A8" s="455" t="s">
        <v>456</v>
      </c>
      <c r="B8" s="456">
        <v>171</v>
      </c>
      <c r="C8" s="456">
        <v>180.63499999999999</v>
      </c>
      <c r="D8" s="456">
        <v>176.696</v>
      </c>
      <c r="E8" s="456">
        <v>166.386</v>
      </c>
      <c r="F8" s="456">
        <v>166.80699999999999</v>
      </c>
      <c r="G8" s="456">
        <v>170.61099999999999</v>
      </c>
    </row>
    <row r="9" spans="1:7">
      <c r="A9" s="455" t="s">
        <v>457</v>
      </c>
      <c r="B9" s="456">
        <v>637</v>
      </c>
      <c r="C9" s="456">
        <v>684.19600000000003</v>
      </c>
      <c r="D9" s="456">
        <v>597.86599999999999</v>
      </c>
      <c r="E9" s="456">
        <v>768.12199999999996</v>
      </c>
      <c r="F9" s="456">
        <v>845.14</v>
      </c>
      <c r="G9" s="456">
        <v>875.06200000000001</v>
      </c>
    </row>
    <row r="10" spans="1:7" ht="15.75" thickBot="1">
      <c r="A10" s="453" t="s">
        <v>458</v>
      </c>
      <c r="B10" s="454">
        <v>28428</v>
      </c>
      <c r="C10" s="454">
        <v>28733.616292660001</v>
      </c>
      <c r="D10" s="454">
        <v>30195.075809269772</v>
      </c>
      <c r="E10" s="454">
        <v>31308.480712889839</v>
      </c>
      <c r="F10" s="454">
        <v>32342.820624628795</v>
      </c>
      <c r="G10" s="454">
        <v>33934.320173567059</v>
      </c>
    </row>
    <row r="11" spans="1:7">
      <c r="A11" s="469" t="s">
        <v>459</v>
      </c>
      <c r="B11" s="459">
        <v>11069</v>
      </c>
      <c r="C11" s="459">
        <v>11367.928222710001</v>
      </c>
      <c r="D11" s="459">
        <v>12138.178051376593</v>
      </c>
      <c r="E11" s="459">
        <v>12687.353264989597</v>
      </c>
      <c r="F11" s="459">
        <v>13236.717930885747</v>
      </c>
      <c r="G11" s="459">
        <v>13968.274743068514</v>
      </c>
    </row>
    <row r="12" spans="1:7">
      <c r="A12" s="455" t="s">
        <v>41</v>
      </c>
      <c r="B12" s="456">
        <v>6681</v>
      </c>
      <c r="C12" s="456">
        <v>7117.3589004583573</v>
      </c>
      <c r="D12" s="456">
        <v>7368.3820303526036</v>
      </c>
      <c r="E12" s="456">
        <v>7806.0848395836692</v>
      </c>
      <c r="F12" s="456">
        <v>8248.8834068650831</v>
      </c>
      <c r="G12" s="456">
        <v>8753.3980609739192</v>
      </c>
    </row>
    <row r="13" spans="1:7">
      <c r="A13" s="455" t="s">
        <v>42</v>
      </c>
      <c r="B13" s="456">
        <v>4317</v>
      </c>
      <c r="C13" s="456">
        <v>4181.8903222516428</v>
      </c>
      <c r="D13" s="456">
        <v>4714.5770210239907</v>
      </c>
      <c r="E13" s="456">
        <v>4790.4345284059264</v>
      </c>
      <c r="F13" s="456">
        <v>4894.9458050206622</v>
      </c>
      <c r="G13" s="456">
        <v>5115.7832690945934</v>
      </c>
    </row>
    <row r="14" spans="1:7" ht="15.75" thickBot="1">
      <c r="A14" s="455" t="s">
        <v>43</v>
      </c>
      <c r="B14" s="456">
        <v>71</v>
      </c>
      <c r="C14" s="456">
        <v>68.679000000000002</v>
      </c>
      <c r="D14" s="456">
        <v>55.219000000000001</v>
      </c>
      <c r="E14" s="456">
        <v>90.833896999999993</v>
      </c>
      <c r="F14" s="456">
        <v>92.888718999999995</v>
      </c>
      <c r="G14" s="456">
        <v>99.093412999999998</v>
      </c>
    </row>
    <row r="15" spans="1:7">
      <c r="A15" s="469" t="s">
        <v>460</v>
      </c>
      <c r="B15" s="459">
        <v>9169</v>
      </c>
      <c r="C15" s="459">
        <v>9413.9914482099994</v>
      </c>
      <c r="D15" s="459">
        <v>9801.6049999999977</v>
      </c>
      <c r="E15" s="459">
        <v>10118.763000000001</v>
      </c>
      <c r="F15" s="459">
        <v>10495.527699999999</v>
      </c>
      <c r="G15" s="459">
        <v>10834.185099999999</v>
      </c>
    </row>
    <row r="16" spans="1:7">
      <c r="A16" s="455" t="s">
        <v>461</v>
      </c>
      <c r="B16" s="456">
        <v>9070</v>
      </c>
      <c r="C16" s="456">
        <v>9352.36044821</v>
      </c>
      <c r="D16" s="456">
        <v>9712.0339999999978</v>
      </c>
      <c r="E16" s="456">
        <v>10033.588000000002</v>
      </c>
      <c r="F16" s="456">
        <v>10406.421</v>
      </c>
      <c r="G16" s="456">
        <v>10739.187</v>
      </c>
    </row>
    <row r="17" spans="1:7">
      <c r="A17" s="470" t="s">
        <v>462</v>
      </c>
      <c r="B17" s="456">
        <v>22</v>
      </c>
      <c r="C17" s="456">
        <v>51.750448210000002</v>
      </c>
      <c r="D17" s="456">
        <v>64.802999999999997</v>
      </c>
      <c r="E17" s="456">
        <v>58.652999999999999</v>
      </c>
      <c r="F17" s="456">
        <v>67.89</v>
      </c>
      <c r="G17" s="456">
        <v>68.075999999999993</v>
      </c>
    </row>
    <row r="18" spans="1:7">
      <c r="A18" s="470" t="s">
        <v>463</v>
      </c>
      <c r="B18" s="456">
        <v>415</v>
      </c>
      <c r="C18" s="456">
        <v>473.88600000000002</v>
      </c>
      <c r="D18" s="456">
        <v>564.68700000000001</v>
      </c>
      <c r="E18" s="456">
        <v>604.15200000000004</v>
      </c>
      <c r="F18" s="456">
        <v>644.73</v>
      </c>
      <c r="G18" s="456">
        <v>689.36099999999999</v>
      </c>
    </row>
    <row r="19" spans="1:7">
      <c r="A19" s="470" t="s">
        <v>464</v>
      </c>
      <c r="B19" s="456">
        <v>6357</v>
      </c>
      <c r="C19" s="456">
        <v>6543.9780000000001</v>
      </c>
      <c r="D19" s="456">
        <v>6767.1869999999999</v>
      </c>
      <c r="E19" s="456">
        <v>7044.03</v>
      </c>
      <c r="F19" s="456">
        <v>7286.2389999999996</v>
      </c>
      <c r="G19" s="456">
        <v>7544.1760000000004</v>
      </c>
    </row>
    <row r="20" spans="1:7">
      <c r="A20" s="470" t="s">
        <v>257</v>
      </c>
      <c r="B20" s="456">
        <v>159</v>
      </c>
      <c r="C20" s="456">
        <v>171.63</v>
      </c>
      <c r="D20" s="456">
        <v>172.86</v>
      </c>
      <c r="E20" s="456">
        <v>162.90100000000001</v>
      </c>
      <c r="F20" s="456">
        <v>164.874</v>
      </c>
      <c r="G20" s="456">
        <v>166.56399999999999</v>
      </c>
    </row>
    <row r="21" spans="1:7">
      <c r="A21" s="470" t="s">
        <v>465</v>
      </c>
      <c r="B21" s="456">
        <v>1336</v>
      </c>
      <c r="C21" s="456">
        <v>1320.384</v>
      </c>
      <c r="D21" s="456">
        <v>1329.5269999999998</v>
      </c>
      <c r="E21" s="456">
        <v>1337.7739999999999</v>
      </c>
      <c r="F21" s="456">
        <v>1401.828</v>
      </c>
      <c r="G21" s="456">
        <v>1409.04</v>
      </c>
    </row>
    <row r="22" spans="1:7">
      <c r="A22" s="470" t="s">
        <v>466</v>
      </c>
      <c r="B22" s="456">
        <v>347</v>
      </c>
      <c r="C22" s="456">
        <v>346.726</v>
      </c>
      <c r="D22" s="456">
        <v>372.29899999999998</v>
      </c>
      <c r="E22" s="456">
        <v>390.23500000000001</v>
      </c>
      <c r="F22" s="456">
        <v>396.13499999999999</v>
      </c>
      <c r="G22" s="456">
        <v>402.024</v>
      </c>
    </row>
    <row r="23" spans="1:7">
      <c r="A23" s="470" t="s">
        <v>467</v>
      </c>
      <c r="B23" s="456">
        <v>262</v>
      </c>
      <c r="C23" s="456">
        <v>263.37099999999998</v>
      </c>
      <c r="D23" s="456">
        <v>263.97500000000002</v>
      </c>
      <c r="E23" s="456">
        <v>269.45699999999999</v>
      </c>
      <c r="F23" s="456">
        <v>277.91799999999995</v>
      </c>
      <c r="G23" s="456">
        <v>289.33499999999998</v>
      </c>
    </row>
    <row r="24" spans="1:7">
      <c r="A24" s="470" t="s">
        <v>468</v>
      </c>
      <c r="B24" s="456">
        <v>171</v>
      </c>
      <c r="C24" s="456">
        <v>180.63499999999999</v>
      </c>
      <c r="D24" s="456">
        <v>176.696</v>
      </c>
      <c r="E24" s="456">
        <v>166.386</v>
      </c>
      <c r="F24" s="456">
        <v>166.80699999999999</v>
      </c>
      <c r="G24" s="456">
        <v>170.61099999999999</v>
      </c>
    </row>
    <row r="25" spans="1:7">
      <c r="A25" s="455" t="s">
        <v>469</v>
      </c>
      <c r="B25" s="456">
        <v>57</v>
      </c>
      <c r="C25" s="456">
        <v>61.631</v>
      </c>
      <c r="D25" s="456">
        <v>63.235999999999997</v>
      </c>
      <c r="E25" s="456">
        <v>64.584999999999994</v>
      </c>
      <c r="F25" s="456">
        <v>68.424999999999997</v>
      </c>
      <c r="G25" s="456">
        <v>74.221999999999994</v>
      </c>
    </row>
    <row r="26" spans="1:7">
      <c r="A26" s="471" t="s">
        <v>470</v>
      </c>
      <c r="B26" s="456">
        <v>9</v>
      </c>
      <c r="C26" s="456">
        <v>0</v>
      </c>
      <c r="D26" s="456">
        <v>8.8000000000000007</v>
      </c>
      <c r="E26" s="456">
        <v>3.0550000000000002</v>
      </c>
      <c r="F26" s="456">
        <v>3.1467000000000001</v>
      </c>
      <c r="G26" s="456">
        <v>3.2410999999999999</v>
      </c>
    </row>
    <row r="27" spans="1:7" ht="15.75" thickBot="1">
      <c r="A27" s="455" t="s">
        <v>471</v>
      </c>
      <c r="B27" s="456">
        <v>34</v>
      </c>
      <c r="C27" s="456">
        <v>0</v>
      </c>
      <c r="D27" s="456">
        <v>17.535</v>
      </c>
      <c r="E27" s="456">
        <v>17.535</v>
      </c>
      <c r="F27" s="456">
        <v>17.535</v>
      </c>
      <c r="G27" s="456">
        <v>17.535</v>
      </c>
    </row>
    <row r="28" spans="1:7">
      <c r="A28" s="469" t="s">
        <v>472</v>
      </c>
      <c r="B28" s="459">
        <v>5480</v>
      </c>
      <c r="C28" s="459">
        <v>5546.2532181200004</v>
      </c>
      <c r="D28" s="459">
        <v>5633.4871060216601</v>
      </c>
      <c r="E28" s="459">
        <v>5802.7285483165233</v>
      </c>
      <c r="F28" s="459">
        <v>6009.0264576863874</v>
      </c>
      <c r="G28" s="459">
        <v>6175.8780447510017</v>
      </c>
    </row>
    <row r="29" spans="1:7">
      <c r="A29" s="471" t="s">
        <v>44</v>
      </c>
      <c r="B29" s="456">
        <v>413</v>
      </c>
      <c r="C29" s="456">
        <v>328.86189177</v>
      </c>
      <c r="D29" s="456">
        <v>264.44800000000009</v>
      </c>
      <c r="E29" s="456">
        <v>279.37841899999995</v>
      </c>
      <c r="F29" s="456">
        <v>258.34530000000001</v>
      </c>
      <c r="G29" s="456">
        <v>258.22277800000001</v>
      </c>
    </row>
    <row r="30" spans="1:7">
      <c r="A30" s="471" t="s">
        <v>473</v>
      </c>
      <c r="B30" s="456">
        <v>296</v>
      </c>
      <c r="C30" s="456">
        <v>286.87705294000034</v>
      </c>
      <c r="D30" s="456">
        <v>226.78599999999869</v>
      </c>
      <c r="E30" s="456">
        <v>259.3633869999976</v>
      </c>
      <c r="F30" s="456">
        <v>247.51711300000218</v>
      </c>
      <c r="G30" s="456">
        <v>244.00681199999619</v>
      </c>
    </row>
    <row r="31" spans="1:7">
      <c r="A31" s="471" t="s">
        <v>37</v>
      </c>
      <c r="B31" s="456">
        <v>779</v>
      </c>
      <c r="C31" s="456">
        <v>692.08327341000029</v>
      </c>
      <c r="D31" s="456">
        <v>776.64137135166118</v>
      </c>
      <c r="E31" s="456">
        <v>765.87346986639375</v>
      </c>
      <c r="F31" s="456">
        <v>795.39978925938476</v>
      </c>
      <c r="G31" s="456">
        <v>779.50944615798517</v>
      </c>
    </row>
    <row r="32" spans="1:7" ht="15.75" thickBot="1">
      <c r="A32" s="471" t="s">
        <v>474</v>
      </c>
      <c r="B32" s="456">
        <v>3993</v>
      </c>
      <c r="C32" s="456">
        <v>4238.4309999999996</v>
      </c>
      <c r="D32" s="456">
        <v>4365.6117346700003</v>
      </c>
      <c r="E32" s="456">
        <v>4498.1132724501322</v>
      </c>
      <c r="F32" s="456">
        <v>4707.7642554270005</v>
      </c>
      <c r="G32" s="456">
        <v>4894.1390085930207</v>
      </c>
    </row>
    <row r="33" spans="1:7">
      <c r="A33" s="469" t="s">
        <v>53</v>
      </c>
      <c r="B33" s="459">
        <v>2710</v>
      </c>
      <c r="C33" s="459">
        <v>2405.44340362</v>
      </c>
      <c r="D33" s="459">
        <v>2621.805651871523</v>
      </c>
      <c r="E33" s="459">
        <v>2699.6358995837181</v>
      </c>
      <c r="F33" s="459">
        <v>2601.5485360566645</v>
      </c>
      <c r="G33" s="459">
        <v>2955.9822857475465</v>
      </c>
    </row>
    <row r="34" spans="1:7">
      <c r="A34" s="455" t="s">
        <v>54</v>
      </c>
      <c r="B34" s="456">
        <v>2064</v>
      </c>
      <c r="C34" s="456">
        <v>2003.62212282</v>
      </c>
      <c r="D34" s="456">
        <v>2195.6925508715235</v>
      </c>
      <c r="E34" s="456">
        <v>2294.0076665837137</v>
      </c>
      <c r="F34" s="456">
        <v>2260.0555810566648</v>
      </c>
      <c r="G34" s="456">
        <v>2445.2555437475262</v>
      </c>
    </row>
    <row r="35" spans="1:7" ht="15.75" thickBot="1">
      <c r="A35" s="472" t="s">
        <v>475</v>
      </c>
      <c r="B35" s="473">
        <v>646</v>
      </c>
      <c r="C35" s="473">
        <v>401.82128080000007</v>
      </c>
      <c r="D35" s="473">
        <v>426.11310099999946</v>
      </c>
      <c r="E35" s="473">
        <v>405.62823300000446</v>
      </c>
      <c r="F35" s="473">
        <v>341.49295499999971</v>
      </c>
      <c r="G35" s="473">
        <v>510.72674200002029</v>
      </c>
    </row>
    <row r="36" spans="1:7" ht="15.75" thickBot="1">
      <c r="A36" s="457" t="s">
        <v>476</v>
      </c>
      <c r="B36" s="474">
        <v>-2130</v>
      </c>
      <c r="C36" s="474">
        <v>-1773.9129999999968</v>
      </c>
      <c r="D36" s="474">
        <v>-1431.2543554446311</v>
      </c>
      <c r="E36" s="474">
        <v>-1249.2845664651832</v>
      </c>
      <c r="F36" s="474">
        <v>-840.93829034821829</v>
      </c>
      <c r="G36" s="474">
        <v>-790.69487973825017</v>
      </c>
    </row>
    <row r="37" spans="1:7">
      <c r="A37" s="465"/>
      <c r="B37" s="465"/>
      <c r="C37" s="465"/>
      <c r="D37" s="465"/>
      <c r="E37" s="1574" t="s">
        <v>477</v>
      </c>
      <c r="F37" s="1574"/>
      <c r="G37" s="1574"/>
    </row>
  </sheetData>
  <mergeCells count="2">
    <mergeCell ref="A1:C1"/>
    <mergeCell ref="E37:G37"/>
  </mergeCell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59"/>
  <sheetViews>
    <sheetView showGridLines="0" workbookViewId="0"/>
  </sheetViews>
  <sheetFormatPr defaultRowHeight="12.75"/>
  <cols>
    <col min="1" max="1" width="26.42578125" style="260" customWidth="1"/>
    <col min="2" max="16384" width="9.140625" style="260"/>
  </cols>
  <sheetData>
    <row r="1" spans="1:9" ht="15" customHeight="1">
      <c r="B1" s="1477"/>
      <c r="C1" s="1477"/>
      <c r="D1" s="1477"/>
      <c r="E1" s="1477"/>
      <c r="F1" s="1477"/>
      <c r="G1" s="139"/>
      <c r="H1" s="3"/>
      <c r="I1" s="120" t="s">
        <v>202</v>
      </c>
    </row>
    <row r="2" spans="1:9">
      <c r="B2" s="271">
        <v>2016</v>
      </c>
      <c r="C2" s="271">
        <v>2017</v>
      </c>
      <c r="D2" s="271">
        <v>2018</v>
      </c>
      <c r="E2" s="271">
        <v>2019</v>
      </c>
      <c r="F2" s="271">
        <v>2020</v>
      </c>
      <c r="G2" s="35"/>
      <c r="H2" s="3"/>
      <c r="I2" s="3"/>
    </row>
    <row r="3" spans="1:9" ht="15">
      <c r="A3" s="16" t="s">
        <v>97</v>
      </c>
      <c r="B3" s="91">
        <v>-1.93</v>
      </c>
      <c r="C3" s="91">
        <v>-1.29</v>
      </c>
      <c r="D3" s="91">
        <v>-0.44</v>
      </c>
      <c r="E3" s="91">
        <v>0.16</v>
      </c>
      <c r="F3" s="5"/>
      <c r="G3" s="139"/>
      <c r="H3" s="3"/>
      <c r="I3" s="3"/>
    </row>
    <row r="4" spans="1:9">
      <c r="A4" s="16" t="s">
        <v>112</v>
      </c>
      <c r="B4" s="91">
        <v>-1.6817818285144437</v>
      </c>
      <c r="C4" s="91">
        <v>-1.2399995686941512</v>
      </c>
      <c r="D4" s="91">
        <v>-0.50000000000000522</v>
      </c>
      <c r="E4" s="91">
        <v>0</v>
      </c>
      <c r="F4" s="91">
        <v>0</v>
      </c>
      <c r="G4" s="59"/>
      <c r="H4" s="3"/>
      <c r="I4" s="3"/>
    </row>
    <row r="5" spans="1:9">
      <c r="A5" s="105" t="s">
        <v>135</v>
      </c>
      <c r="B5" s="91">
        <v>-2.19</v>
      </c>
      <c r="C5" s="91">
        <v>-1.63</v>
      </c>
      <c r="D5" s="91">
        <v>-0.82999969762914805</v>
      </c>
      <c r="E5" s="91">
        <v>-0.32484167369140921</v>
      </c>
      <c r="F5" s="91">
        <v>-0.2703050705834002</v>
      </c>
      <c r="G5" s="56"/>
      <c r="H5" s="3"/>
      <c r="I5" s="3"/>
    </row>
    <row r="6" spans="1:9" ht="15">
      <c r="A6" s="16" t="s">
        <v>155</v>
      </c>
      <c r="B6" s="91">
        <v>-2.1911520941153646</v>
      </c>
      <c r="C6" s="91">
        <v>-1.6259539031147603</v>
      </c>
      <c r="D6" s="91">
        <v>-0.82999969762914805</v>
      </c>
      <c r="E6" s="91">
        <v>-0.10000013791542728</v>
      </c>
      <c r="F6" s="91">
        <v>0</v>
      </c>
      <c r="G6" s="142"/>
      <c r="H6" s="3"/>
      <c r="I6" s="3"/>
    </row>
    <row r="7" spans="1:9">
      <c r="B7" s="288"/>
      <c r="C7" s="141"/>
      <c r="D7" s="141"/>
      <c r="E7" s="141"/>
      <c r="F7" s="141"/>
      <c r="G7" s="141"/>
      <c r="H7" s="3"/>
      <c r="I7" s="3"/>
    </row>
    <row r="8" spans="1:9" ht="12.75" customHeight="1">
      <c r="B8" s="140"/>
      <c r="C8" s="55"/>
      <c r="D8" s="55"/>
      <c r="E8" s="55"/>
      <c r="F8" s="55"/>
      <c r="G8" s="55"/>
      <c r="H8" s="3"/>
      <c r="I8" s="3"/>
    </row>
    <row r="9" spans="1:9" ht="15">
      <c r="B9" s="37"/>
      <c r="C9" s="59"/>
      <c r="D9" s="59"/>
      <c r="E9" s="59"/>
      <c r="F9" s="59"/>
      <c r="G9" s="139"/>
      <c r="H9" s="3"/>
      <c r="I9" s="3"/>
    </row>
    <row r="10" spans="1:9">
      <c r="B10" s="37"/>
      <c r="C10" s="59"/>
      <c r="D10" s="59"/>
      <c r="E10" s="59"/>
      <c r="F10" s="59"/>
      <c r="G10" s="59"/>
      <c r="H10" s="3"/>
      <c r="I10" s="3"/>
    </row>
    <row r="11" spans="1:9">
      <c r="B11" s="39"/>
      <c r="C11" s="56"/>
      <c r="D11" s="56"/>
      <c r="E11" s="56"/>
      <c r="F11" s="56"/>
      <c r="G11" s="56"/>
      <c r="H11" s="3"/>
      <c r="I11" s="3"/>
    </row>
    <row r="12" spans="1:9">
      <c r="B12" s="39"/>
      <c r="C12" s="56"/>
      <c r="D12" s="56"/>
      <c r="E12" s="56"/>
      <c r="F12" s="56"/>
      <c r="G12" s="56"/>
      <c r="H12" s="3"/>
      <c r="I12" s="3"/>
    </row>
    <row r="13" spans="1:9" ht="15">
      <c r="B13" s="288"/>
      <c r="C13" s="141"/>
      <c r="D13" s="141"/>
      <c r="E13" s="141"/>
      <c r="F13" s="141"/>
      <c r="G13" s="142"/>
      <c r="H13" s="3"/>
      <c r="I13" s="3"/>
    </row>
    <row r="14" spans="1:9">
      <c r="B14" s="288"/>
      <c r="C14" s="141"/>
      <c r="D14" s="141"/>
      <c r="E14" s="141"/>
      <c r="F14" s="141"/>
      <c r="G14" s="141"/>
      <c r="H14" s="3"/>
      <c r="I14" s="3"/>
    </row>
    <row r="15" spans="1:9">
      <c r="B15" s="1478"/>
      <c r="C15" s="1478"/>
      <c r="D15" s="1478"/>
      <c r="E15" s="1478"/>
      <c r="F15" s="1478"/>
      <c r="G15" s="133"/>
      <c r="H15" s="3"/>
      <c r="I15" s="3"/>
    </row>
    <row r="19" spans="1:15" ht="13.5" customHeight="1">
      <c r="A19" s="67"/>
      <c r="J19" s="172"/>
      <c r="K19" s="172"/>
      <c r="L19" s="172"/>
      <c r="M19" s="172"/>
      <c r="N19" s="172"/>
      <c r="O19" s="169"/>
    </row>
    <row r="20" spans="1:15" ht="13.5" customHeight="1">
      <c r="A20" s="67"/>
      <c r="J20" s="168"/>
      <c r="K20" s="174"/>
      <c r="L20" s="174"/>
      <c r="M20" s="174"/>
      <c r="N20" s="174"/>
      <c r="O20" s="174"/>
    </row>
    <row r="21" spans="1:15" ht="15" customHeight="1">
      <c r="J21" s="58"/>
      <c r="K21" s="54"/>
      <c r="L21" s="54"/>
      <c r="M21" s="54"/>
      <c r="N21" s="54"/>
      <c r="O21" s="169"/>
    </row>
    <row r="22" spans="1:15">
      <c r="J22" s="58"/>
      <c r="K22" s="54"/>
      <c r="L22" s="54"/>
      <c r="M22" s="54"/>
      <c r="N22" s="54"/>
      <c r="O22" s="54"/>
    </row>
    <row r="23" spans="1:15">
      <c r="J23" s="58"/>
      <c r="K23" s="54"/>
      <c r="L23" s="54"/>
      <c r="M23" s="54"/>
      <c r="N23" s="54"/>
      <c r="O23" s="54"/>
    </row>
    <row r="24" spans="1:15">
      <c r="J24" s="58"/>
      <c r="K24" s="54"/>
      <c r="L24" s="54"/>
      <c r="M24" s="54"/>
      <c r="N24" s="54"/>
      <c r="O24" s="54"/>
    </row>
    <row r="25" spans="1:15">
      <c r="J25" s="58"/>
      <c r="K25" s="276"/>
      <c r="L25" s="276"/>
      <c r="M25" s="276"/>
      <c r="N25" s="276"/>
      <c r="O25" s="276"/>
    </row>
    <row r="26" spans="1:15">
      <c r="J26" s="58"/>
      <c r="K26" s="169"/>
      <c r="L26" s="169"/>
      <c r="M26" s="54"/>
      <c r="N26" s="54"/>
      <c r="O26" s="54"/>
    </row>
    <row r="27" spans="1:15">
      <c r="J27" s="58"/>
      <c r="K27" s="169"/>
      <c r="L27" s="169"/>
      <c r="M27" s="276"/>
      <c r="N27" s="276"/>
      <c r="O27" s="276"/>
    </row>
    <row r="28" spans="1:15" ht="12.75" customHeight="1">
      <c r="J28" s="172"/>
      <c r="K28" s="175"/>
      <c r="L28" s="175"/>
      <c r="M28" s="173"/>
      <c r="N28" s="173"/>
      <c r="O28" s="173"/>
    </row>
    <row r="29" spans="1:15" ht="12.75" customHeight="1">
      <c r="J29" s="167"/>
      <c r="K29" s="169"/>
      <c r="L29" s="169"/>
      <c r="M29" s="276"/>
      <c r="N29" s="276"/>
      <c r="O29" s="276"/>
    </row>
    <row r="30" spans="1:15">
      <c r="J30" s="167"/>
      <c r="K30" s="169"/>
      <c r="L30" s="169"/>
      <c r="M30" s="169"/>
      <c r="N30" s="169"/>
      <c r="O30" s="170"/>
    </row>
    <row r="31" spans="1:15">
      <c r="J31" s="167"/>
      <c r="K31" s="171"/>
      <c r="L31" s="171"/>
      <c r="M31" s="109"/>
      <c r="N31" s="109"/>
      <c r="O31" s="109"/>
    </row>
    <row r="59" ht="12.75" customHeight="1"/>
  </sheetData>
  <mergeCells count="2">
    <mergeCell ref="B1:F1"/>
    <mergeCell ref="B15:F15"/>
  </mergeCell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workbookViewId="0"/>
  </sheetViews>
  <sheetFormatPr defaultRowHeight="15"/>
  <cols>
    <col min="1" max="1" width="48.28515625" style="530" customWidth="1"/>
    <col min="2" max="16384" width="9.140625" style="530"/>
  </cols>
  <sheetData>
    <row r="1" spans="1:9">
      <c r="A1" s="911" t="s">
        <v>820</v>
      </c>
      <c r="I1" s="911" t="s">
        <v>821</v>
      </c>
    </row>
    <row r="2" spans="1:9">
      <c r="A2" s="912"/>
      <c r="B2" s="598">
        <v>2015</v>
      </c>
      <c r="C2" s="598">
        <f>B2+1</f>
        <v>2016</v>
      </c>
      <c r="D2" s="598">
        <f t="shared" ref="D2:G2" si="0">C2+1</f>
        <v>2017</v>
      </c>
      <c r="E2" s="598">
        <f t="shared" si="0"/>
        <v>2018</v>
      </c>
      <c r="F2" s="598">
        <f t="shared" si="0"/>
        <v>2019</v>
      </c>
      <c r="G2" s="598">
        <f t="shared" si="0"/>
        <v>2020</v>
      </c>
    </row>
    <row r="3" spans="1:9">
      <c r="A3" s="913" t="s">
        <v>822</v>
      </c>
      <c r="B3" s="617"/>
      <c r="C3" s="617"/>
      <c r="D3" s="617"/>
      <c r="E3" s="617"/>
      <c r="F3" s="617"/>
      <c r="G3" s="617"/>
    </row>
    <row r="4" spans="1:9">
      <c r="A4" s="604" t="s">
        <v>823</v>
      </c>
      <c r="B4" s="914">
        <v>41293</v>
      </c>
      <c r="C4" s="914">
        <v>43089</v>
      </c>
      <c r="D4" s="914">
        <v>44284</v>
      </c>
      <c r="E4" s="914">
        <v>45502</v>
      </c>
      <c r="F4" s="914">
        <v>46223</v>
      </c>
      <c r="G4" s="914"/>
    </row>
    <row r="5" spans="1:9">
      <c r="A5" s="915" t="s">
        <v>824</v>
      </c>
      <c r="B5" s="916">
        <f>B4/B6*100</f>
        <v>52.891725362204191</v>
      </c>
      <c r="C5" s="916">
        <f>C4/C6*100</f>
        <v>53.494940800548299</v>
      </c>
      <c r="D5" s="916">
        <f>D4/D6*100</f>
        <v>52.72445468792283</v>
      </c>
      <c r="E5" s="916">
        <f>E4/E6*100</f>
        <v>51.40232554356453</v>
      </c>
      <c r="F5" s="916">
        <f>F4/F6*100</f>
        <v>49.061389249467879</v>
      </c>
      <c r="G5" s="917"/>
    </row>
    <row r="6" spans="1:9">
      <c r="A6" s="604" t="s">
        <v>825</v>
      </c>
      <c r="B6" s="914">
        <v>78070.812999999995</v>
      </c>
      <c r="C6" s="914">
        <v>80547.803876732884</v>
      </c>
      <c r="D6" s="914">
        <v>83991.385519523988</v>
      </c>
      <c r="E6" s="914">
        <v>88521.286768311911</v>
      </c>
      <c r="F6" s="914">
        <v>94214.617048377477</v>
      </c>
      <c r="G6" s="914"/>
    </row>
    <row r="7" spans="1:9">
      <c r="A7" s="604"/>
      <c r="B7" s="914"/>
      <c r="C7" s="914"/>
      <c r="D7" s="914"/>
      <c r="E7" s="914"/>
      <c r="F7" s="914"/>
      <c r="G7" s="914"/>
    </row>
    <row r="8" spans="1:9">
      <c r="A8" s="913" t="s">
        <v>826</v>
      </c>
      <c r="B8" s="914"/>
      <c r="C8" s="914"/>
      <c r="D8" s="914"/>
      <c r="E8" s="914"/>
      <c r="F8" s="914"/>
      <c r="G8" s="914"/>
    </row>
    <row r="9" spans="1:9">
      <c r="A9" s="604" t="s">
        <v>823</v>
      </c>
      <c r="B9" s="914">
        <v>41295</v>
      </c>
      <c r="C9" s="914">
        <v>42053</v>
      </c>
      <c r="D9" s="914">
        <v>43244</v>
      </c>
      <c r="E9" s="914">
        <v>44699</v>
      </c>
      <c r="F9" s="914">
        <v>45561</v>
      </c>
      <c r="G9" s="914">
        <v>45968</v>
      </c>
    </row>
    <row r="10" spans="1:9">
      <c r="A10" s="915" t="s">
        <v>824</v>
      </c>
      <c r="B10" s="916">
        <f t="shared" ref="B10:G10" si="1">B9/B13*100</f>
        <v>52.481013044318146</v>
      </c>
      <c r="C10" s="916">
        <f t="shared" si="1"/>
        <v>51.944217989574838</v>
      </c>
      <c r="D10" s="916">
        <f t="shared" si="1"/>
        <v>51.116080927096576</v>
      </c>
      <c r="E10" s="916">
        <f t="shared" si="1"/>
        <v>49.94563960342051</v>
      </c>
      <c r="F10" s="916">
        <f t="shared" si="1"/>
        <v>47.827597681735114</v>
      </c>
      <c r="G10" s="916">
        <f t="shared" si="1"/>
        <v>45.509536925017379</v>
      </c>
    </row>
    <row r="11" spans="1:9">
      <c r="A11" s="604" t="s">
        <v>827</v>
      </c>
      <c r="F11" s="914">
        <v>214.09999999999997</v>
      </c>
      <c r="G11" s="914">
        <v>273.33967839295264</v>
      </c>
    </row>
    <row r="12" spans="1:9">
      <c r="A12" s="915" t="s">
        <v>828</v>
      </c>
      <c r="B12" s="916">
        <f>B10</f>
        <v>52.481013044318146</v>
      </c>
      <c r="C12" s="916">
        <f t="shared" ref="C12:E12" si="2">C10</f>
        <v>51.944217989574838</v>
      </c>
      <c r="D12" s="916">
        <f t="shared" si="2"/>
        <v>51.116080927096576</v>
      </c>
      <c r="E12" s="916">
        <f t="shared" si="2"/>
        <v>49.94563960342051</v>
      </c>
      <c r="F12" s="916">
        <f>(F9+F11)/F13*100</f>
        <v>48.052348865064261</v>
      </c>
      <c r="G12" s="916">
        <f>(G9+F11+G11)/G13*100</f>
        <v>45.992115110767088</v>
      </c>
    </row>
    <row r="13" spans="1:9">
      <c r="A13" s="604" t="s">
        <v>825</v>
      </c>
      <c r="B13" s="914">
        <v>78685.600000000006</v>
      </c>
      <c r="C13" s="914">
        <v>80958</v>
      </c>
      <c r="D13" s="914">
        <v>84599.6</v>
      </c>
      <c r="E13" s="914">
        <v>89495.3</v>
      </c>
      <c r="F13" s="914">
        <v>95260.9</v>
      </c>
      <c r="G13" s="914">
        <v>101007.4</v>
      </c>
    </row>
    <row r="15" spans="1:9">
      <c r="A15" s="918" t="s">
        <v>829</v>
      </c>
      <c r="B15" s="914"/>
      <c r="C15" s="914"/>
      <c r="D15" s="914"/>
      <c r="E15" s="914"/>
      <c r="F15" s="914"/>
      <c r="G15" s="914"/>
    </row>
    <row r="16" spans="1:9">
      <c r="A16" s="599" t="s">
        <v>830</v>
      </c>
      <c r="B16" s="919"/>
      <c r="C16" s="919">
        <v>42377.658300000003</v>
      </c>
      <c r="D16" s="919">
        <v>43346.002336165766</v>
      </c>
      <c r="E16" s="919">
        <v>44762.066414892091</v>
      </c>
      <c r="F16" s="919">
        <v>46175.887493935188</v>
      </c>
      <c r="G16" s="919">
        <v>46865.720595726547</v>
      </c>
    </row>
    <row r="17" spans="1:8">
      <c r="A17" s="920" t="s">
        <v>509</v>
      </c>
      <c r="B17" s="921">
        <f>B10</f>
        <v>52.481013044318146</v>
      </c>
      <c r="C17" s="922">
        <f>C16/C13*100</f>
        <v>52.345238642258948</v>
      </c>
      <c r="D17" s="922">
        <f>D16/D13*100</f>
        <v>51.236651634482619</v>
      </c>
      <c r="E17" s="922">
        <f>E16/E13*100</f>
        <v>50.016108572061427</v>
      </c>
      <c r="F17" s="922">
        <f>F16/F13*100</f>
        <v>48.473074990825396</v>
      </c>
      <c r="G17" s="922">
        <f>G16/G13*100</f>
        <v>46.398304080420395</v>
      </c>
    </row>
    <row r="18" spans="1:8">
      <c r="A18" s="604" t="s">
        <v>825</v>
      </c>
      <c r="B18" s="914">
        <v>78685.600000000006</v>
      </c>
      <c r="C18" s="914">
        <v>80958</v>
      </c>
      <c r="D18" s="914">
        <v>84599.6</v>
      </c>
      <c r="E18" s="914">
        <v>89495.3</v>
      </c>
      <c r="F18" s="914">
        <v>95260.9</v>
      </c>
      <c r="G18" s="914">
        <v>101007.4</v>
      </c>
    </row>
    <row r="23" spans="1:8">
      <c r="A23" s="923"/>
      <c r="B23" s="924"/>
      <c r="C23" s="924"/>
      <c r="D23" s="924"/>
      <c r="E23" s="924"/>
      <c r="F23" s="924"/>
      <c r="G23" s="924"/>
    </row>
    <row r="24" spans="1:8">
      <c r="A24" s="925"/>
      <c r="B24" s="924"/>
      <c r="C24" s="926"/>
      <c r="D24" s="926"/>
      <c r="E24" s="926"/>
      <c r="F24" s="926"/>
      <c r="G24" s="926"/>
    </row>
    <row r="25" spans="1:8">
      <c r="A25" s="813"/>
      <c r="B25" s="914"/>
      <c r="C25" s="927"/>
      <c r="D25" s="927"/>
      <c r="E25" s="927"/>
      <c r="F25" s="927"/>
      <c r="G25" s="914"/>
      <c r="H25" s="928"/>
    </row>
    <row r="26" spans="1:8">
      <c r="B26" s="914"/>
      <c r="C26" s="914"/>
      <c r="D26" s="914"/>
      <c r="E26" s="914"/>
      <c r="F26" s="914"/>
      <c r="G26" s="914"/>
    </row>
    <row r="27" spans="1:8">
      <c r="A27" s="599"/>
      <c r="B27" s="919"/>
      <c r="C27" s="919"/>
      <c r="D27" s="919"/>
      <c r="E27" s="919"/>
      <c r="F27" s="919"/>
      <c r="G27" s="919"/>
    </row>
    <row r="28" spans="1:8">
      <c r="A28" s="599"/>
      <c r="B28" s="919"/>
      <c r="C28" s="919"/>
      <c r="D28" s="919"/>
      <c r="E28" s="919"/>
      <c r="F28" s="919"/>
      <c r="G28" s="919"/>
    </row>
    <row r="29" spans="1:8">
      <c r="A29" s="599"/>
      <c r="B29" s="919"/>
      <c r="C29" s="919"/>
      <c r="D29" s="919"/>
      <c r="E29" s="919"/>
      <c r="F29" s="919"/>
      <c r="G29" s="919"/>
    </row>
    <row r="32" spans="1:8">
      <c r="A32" s="918"/>
      <c r="B32" s="813"/>
      <c r="C32" s="929"/>
      <c r="D32" s="929"/>
      <c r="E32" s="929"/>
      <c r="F32" s="929"/>
      <c r="G32" s="929"/>
    </row>
    <row r="33" spans="1:7">
      <c r="A33" s="599"/>
      <c r="B33" s="813"/>
      <c r="C33" s="813"/>
      <c r="D33" s="813"/>
      <c r="E33" s="813"/>
      <c r="F33" s="813"/>
      <c r="G33" s="813"/>
    </row>
    <row r="34" spans="1:7">
      <c r="A34" s="599"/>
      <c r="B34" s="599"/>
      <c r="C34" s="919"/>
      <c r="D34" s="919"/>
      <c r="E34" s="919"/>
      <c r="F34" s="919"/>
      <c r="G34" s="919"/>
    </row>
    <row r="35" spans="1:7">
      <c r="A35" s="599"/>
      <c r="B35" s="599"/>
      <c r="C35" s="599"/>
      <c r="D35" s="599"/>
      <c r="E35" s="599"/>
      <c r="F35" s="599"/>
      <c r="G35" s="599"/>
    </row>
    <row r="36" spans="1:7">
      <c r="A36" s="599"/>
      <c r="B36" s="599"/>
      <c r="C36" s="599"/>
      <c r="D36" s="599"/>
      <c r="E36" s="599"/>
      <c r="F36" s="599"/>
      <c r="G36" s="599"/>
    </row>
    <row r="37" spans="1:7">
      <c r="A37" s="599"/>
      <c r="B37" s="599"/>
      <c r="C37" s="599"/>
      <c r="D37" s="599"/>
      <c r="E37" s="599"/>
      <c r="F37" s="599"/>
      <c r="G37" s="599"/>
    </row>
    <row r="38" spans="1:7">
      <c r="A38" s="599"/>
      <c r="B38" s="599"/>
      <c r="C38" s="599"/>
      <c r="D38" s="599"/>
      <c r="E38" s="599"/>
      <c r="F38" s="599"/>
      <c r="G38" s="599"/>
    </row>
    <row r="39" spans="1:7">
      <c r="A39" s="599"/>
      <c r="B39" s="599"/>
      <c r="C39" s="599"/>
      <c r="D39" s="599"/>
      <c r="E39" s="599"/>
      <c r="F39" s="599"/>
      <c r="G39" s="599"/>
    </row>
    <row r="40" spans="1:7">
      <c r="A40" s="599"/>
      <c r="B40" s="599"/>
      <c r="C40" s="599"/>
      <c r="D40" s="599"/>
      <c r="E40" s="599"/>
      <c r="F40" s="599"/>
      <c r="G40" s="599"/>
    </row>
    <row r="41" spans="1:7">
      <c r="A41" s="599"/>
      <c r="B41" s="599"/>
      <c r="C41" s="599"/>
      <c r="D41" s="599"/>
      <c r="E41" s="599"/>
      <c r="F41" s="599"/>
      <c r="G41" s="599"/>
    </row>
    <row r="42" spans="1:7">
      <c r="A42" s="599"/>
      <c r="B42" s="599"/>
      <c r="C42" s="599"/>
      <c r="D42" s="599"/>
      <c r="E42" s="599"/>
      <c r="F42" s="599"/>
      <c r="G42" s="599"/>
    </row>
    <row r="43" spans="1:7">
      <c r="A43" s="599"/>
      <c r="B43" s="599"/>
      <c r="C43" s="599"/>
      <c r="D43" s="599"/>
      <c r="E43" s="599"/>
      <c r="F43" s="599"/>
      <c r="G43" s="599"/>
    </row>
    <row r="44" spans="1:7">
      <c r="A44" s="599"/>
      <c r="B44" s="599"/>
      <c r="C44" s="599"/>
      <c r="D44" s="599"/>
      <c r="E44" s="599"/>
      <c r="F44" s="599"/>
      <c r="G44" s="599"/>
    </row>
    <row r="45" spans="1:7">
      <c r="A45" s="599"/>
      <c r="B45" s="599"/>
      <c r="C45" s="599"/>
      <c r="D45" s="599"/>
      <c r="E45" s="599"/>
      <c r="F45" s="599"/>
      <c r="G45" s="599"/>
    </row>
    <row r="46" spans="1:7">
      <c r="A46" s="599"/>
      <c r="B46" s="599"/>
      <c r="C46" s="599"/>
      <c r="D46" s="599"/>
      <c r="E46" s="599"/>
      <c r="F46" s="599"/>
      <c r="G46" s="599"/>
    </row>
    <row r="47" spans="1:7">
      <c r="A47" s="599"/>
      <c r="B47" s="599"/>
      <c r="C47" s="599"/>
      <c r="D47" s="599"/>
      <c r="E47" s="599"/>
      <c r="F47" s="599"/>
      <c r="G47" s="599"/>
    </row>
    <row r="48" spans="1:7">
      <c r="A48" s="599"/>
      <c r="B48" s="599"/>
      <c r="C48" s="599"/>
      <c r="D48" s="599"/>
      <c r="E48" s="599"/>
      <c r="F48" s="599"/>
      <c r="G48" s="599"/>
    </row>
    <row r="49" spans="1:7">
      <c r="A49" s="599"/>
      <c r="B49" s="599"/>
      <c r="C49" s="599"/>
      <c r="D49" s="599"/>
      <c r="E49" s="599"/>
      <c r="F49" s="599"/>
      <c r="G49" s="599"/>
    </row>
  </sheetData>
  <pageMargins left="0.7" right="0.7" top="0.75" bottom="0.75" header="0.3" footer="0.3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B2:Q15"/>
  <sheetViews>
    <sheetView showGridLines="0" workbookViewId="0"/>
  </sheetViews>
  <sheetFormatPr defaultRowHeight="12.75"/>
  <cols>
    <col min="1" max="1" width="9.140625" style="74"/>
    <col min="2" max="2" width="24" style="74" customWidth="1"/>
    <col min="3" max="16384" width="9.140625" style="74"/>
  </cols>
  <sheetData>
    <row r="2" spans="2:17">
      <c r="I2" s="302" t="s">
        <v>203</v>
      </c>
      <c r="Q2" s="302" t="s">
        <v>204</v>
      </c>
    </row>
    <row r="3" spans="2:17">
      <c r="B3" s="31"/>
      <c r="C3" s="271">
        <v>2016</v>
      </c>
      <c r="D3" s="271">
        <v>2017</v>
      </c>
      <c r="E3" s="271">
        <v>2018</v>
      </c>
      <c r="F3" s="271">
        <v>2019</v>
      </c>
      <c r="G3" s="271">
        <v>2020</v>
      </c>
    </row>
    <row r="4" spans="2:17">
      <c r="B4" s="16" t="s">
        <v>155</v>
      </c>
      <c r="C4" s="91">
        <v>-2.19</v>
      </c>
      <c r="D4" s="91">
        <v>-1.6259539031147603</v>
      </c>
      <c r="E4" s="91">
        <v>-0.82999969762914805</v>
      </c>
      <c r="F4" s="91">
        <v>-0.10000013791542728</v>
      </c>
      <c r="G4" s="91">
        <v>0</v>
      </c>
    </row>
    <row r="5" spans="2:17">
      <c r="B5" s="16" t="s">
        <v>165</v>
      </c>
      <c r="C5" s="221">
        <v>-2.1858611321595798</v>
      </c>
      <c r="D5" s="221">
        <v>-1.6220277218759755</v>
      </c>
      <c r="E5" s="221">
        <v>-0.82799550228585717</v>
      </c>
      <c r="F5" s="221">
        <v>-9.9758668175967083E-2</v>
      </c>
      <c r="G5" s="221">
        <v>0</v>
      </c>
    </row>
    <row r="6" spans="2:17">
      <c r="C6" s="221"/>
      <c r="D6" s="221"/>
      <c r="E6" s="221"/>
      <c r="F6" s="221"/>
      <c r="G6" s="221"/>
    </row>
    <row r="8" spans="2:17">
      <c r="B8" s="31"/>
    </row>
    <row r="9" spans="2:17">
      <c r="B9" s="16" t="s">
        <v>155</v>
      </c>
      <c r="C9" s="220">
        <v>51.94451557871907</v>
      </c>
      <c r="D9" s="220">
        <v>51.116082340070129</v>
      </c>
      <c r="E9" s="220">
        <v>49.945843575777936</v>
      </c>
      <c r="F9" s="220">
        <v>47.827914878975811</v>
      </c>
      <c r="G9" s="220">
        <v>45.509670510470727</v>
      </c>
    </row>
    <row r="10" spans="2:17">
      <c r="B10" s="16" t="s">
        <v>165</v>
      </c>
      <c r="C10" s="220">
        <v>51.819032708074666</v>
      </c>
      <c r="D10" s="220">
        <v>50.992602153169088</v>
      </c>
      <c r="E10" s="220">
        <v>49.825191919283036</v>
      </c>
      <c r="F10" s="220">
        <v>47.71238026079277</v>
      </c>
      <c r="G10" s="220">
        <v>45.399736294003525</v>
      </c>
    </row>
    <row r="11" spans="2:17">
      <c r="C11" s="221">
        <f>C10-C9</f>
        <v>-0.12548287064440444</v>
      </c>
      <c r="D11" s="221">
        <f>D10-D9</f>
        <v>-0.12348018690104112</v>
      </c>
      <c r="E11" s="221">
        <f>E10-E9</f>
        <v>-0.12065165649489984</v>
      </c>
      <c r="F11" s="221">
        <f>F10-F9</f>
        <v>-0.115534618183041</v>
      </c>
      <c r="G11" s="221">
        <f>G10-G9</f>
        <v>-0.10993421646720236</v>
      </c>
    </row>
    <row r="15" spans="2:17">
      <c r="C15" s="2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T30"/>
  <sheetViews>
    <sheetView showGridLines="0" workbookViewId="0"/>
  </sheetViews>
  <sheetFormatPr defaultRowHeight="12.75"/>
  <cols>
    <col min="1" max="1" width="46" style="260" customWidth="1"/>
    <col min="2" max="7" width="9.140625" style="260"/>
    <col min="8" max="8" width="9.140625" style="260" customWidth="1"/>
    <col min="9" max="15" width="9.140625" style="260"/>
    <col min="16" max="16" width="22.5703125" style="260" customWidth="1"/>
    <col min="17" max="16384" width="9.140625" style="260"/>
  </cols>
  <sheetData>
    <row r="1" spans="1:20" ht="12.75" customHeight="1">
      <c r="A1" s="15"/>
      <c r="B1" s="271">
        <v>2017</v>
      </c>
      <c r="C1" s="271">
        <v>2018</v>
      </c>
      <c r="D1" s="271">
        <v>2019</v>
      </c>
      <c r="E1" s="271">
        <v>2020</v>
      </c>
      <c r="P1" s="5"/>
      <c r="Q1" s="147"/>
      <c r="R1" s="147"/>
      <c r="S1" s="147"/>
    </row>
    <row r="2" spans="1:20">
      <c r="A2" s="16" t="s">
        <v>135</v>
      </c>
      <c r="B2" s="91">
        <v>-1.63</v>
      </c>
      <c r="C2" s="91">
        <v>-0.82999969762914805</v>
      </c>
      <c r="D2" s="91">
        <v>-0.32484167369140921</v>
      </c>
      <c r="E2" s="91">
        <v>-0.2703050705834002</v>
      </c>
      <c r="P2" s="148"/>
      <c r="Q2" s="132"/>
      <c r="R2" s="132"/>
      <c r="S2" s="132"/>
      <c r="T2" s="67"/>
    </row>
    <row r="3" spans="1:20">
      <c r="A3" s="16" t="s">
        <v>149</v>
      </c>
      <c r="B3" s="91">
        <v>-1.63</v>
      </c>
      <c r="C3" s="91">
        <v>-0.82999969585006994</v>
      </c>
      <c r="D3" s="91">
        <v>-0.10000013751712089</v>
      </c>
      <c r="E3" s="91">
        <v>0</v>
      </c>
      <c r="H3" s="92" t="s">
        <v>206</v>
      </c>
      <c r="O3" s="92" t="s">
        <v>207</v>
      </c>
      <c r="P3" s="149"/>
      <c r="Q3" s="91"/>
      <c r="R3" s="91"/>
      <c r="S3" s="91"/>
      <c r="T3" s="67"/>
    </row>
    <row r="4" spans="1:20">
      <c r="A4" s="16" t="s">
        <v>98</v>
      </c>
      <c r="B4" s="91">
        <v>-1.63</v>
      </c>
      <c r="C4" s="91">
        <v>5.4411951800744873E-2</v>
      </c>
      <c r="D4" s="91">
        <v>0.17178007014191365</v>
      </c>
      <c r="E4" s="91">
        <v>0.56249490254067069</v>
      </c>
      <c r="P4" s="149"/>
      <c r="Q4" s="91"/>
      <c r="R4" s="91"/>
      <c r="S4" s="91"/>
      <c r="T4" s="67"/>
    </row>
    <row r="5" spans="1:20">
      <c r="A5" s="16" t="s">
        <v>147</v>
      </c>
      <c r="B5" s="91">
        <v>-1.63</v>
      </c>
      <c r="C5" s="91">
        <v>0.22036071400101953</v>
      </c>
      <c r="D5" s="91">
        <v>0.2931259996798774</v>
      </c>
      <c r="E5" s="91">
        <v>0.66020836190830501</v>
      </c>
      <c r="P5" s="149"/>
      <c r="Q5" s="91"/>
      <c r="R5" s="91"/>
      <c r="S5" s="91"/>
      <c r="T5" s="67"/>
    </row>
    <row r="6" spans="1:20">
      <c r="A6" s="16" t="s">
        <v>105</v>
      </c>
      <c r="B6" s="91">
        <v>-1.63</v>
      </c>
      <c r="C6" s="91">
        <v>-0.99594845805034393</v>
      </c>
      <c r="D6" s="91">
        <v>-0.44599234862533965</v>
      </c>
      <c r="E6" s="91">
        <v>-0.36799080966828884</v>
      </c>
      <c r="P6" s="148"/>
      <c r="Q6" s="132"/>
      <c r="R6" s="132"/>
      <c r="S6" s="132"/>
      <c r="T6" s="67"/>
    </row>
    <row r="7" spans="1:20">
      <c r="B7" s="5"/>
      <c r="C7" s="5"/>
      <c r="D7" s="5"/>
      <c r="E7" s="5"/>
      <c r="H7" s="67"/>
      <c r="I7" s="67"/>
      <c r="J7" s="67"/>
      <c r="P7" s="148"/>
      <c r="Q7" s="132"/>
      <c r="R7" s="132"/>
      <c r="S7" s="132"/>
    </row>
    <row r="8" spans="1:20">
      <c r="A8" s="16" t="s">
        <v>148</v>
      </c>
      <c r="B8" s="91"/>
      <c r="C8" s="91">
        <f t="shared" ref="C8:E9" si="0">-(C$4-C5)</f>
        <v>0.16594876220027466</v>
      </c>
      <c r="D8" s="91">
        <f t="shared" si="0"/>
        <v>0.12134592953796375</v>
      </c>
      <c r="E8" s="91">
        <f t="shared" si="0"/>
        <v>9.7713459367634314E-2</v>
      </c>
      <c r="I8" s="67"/>
      <c r="J8" s="67"/>
    </row>
    <row r="9" spans="1:20">
      <c r="A9" s="16" t="s">
        <v>107</v>
      </c>
      <c r="B9" s="91"/>
      <c r="C9" s="91">
        <f t="shared" si="0"/>
        <v>-1.0503604098510888</v>
      </c>
      <c r="D9" s="91">
        <f t="shared" si="0"/>
        <v>-0.61777241876725331</v>
      </c>
      <c r="E9" s="91">
        <f t="shared" si="0"/>
        <v>-0.93048571220895959</v>
      </c>
    </row>
    <row r="10" spans="1:20">
      <c r="A10" s="105" t="s">
        <v>106</v>
      </c>
      <c r="B10" s="132"/>
      <c r="C10" s="132">
        <f>SUM(C8:C9)</f>
        <v>-0.88441164765081415</v>
      </c>
      <c r="D10" s="132">
        <f>SUM(D8:D9)</f>
        <v>-0.49642648922928956</v>
      </c>
      <c r="E10" s="132">
        <f>SUM(E8:E9)</f>
        <v>-0.83277225284132528</v>
      </c>
      <c r="F10" s="177"/>
    </row>
    <row r="11" spans="1:20">
      <c r="A11" s="185"/>
      <c r="B11" s="3"/>
      <c r="C11" s="137"/>
      <c r="D11" s="137"/>
      <c r="E11" s="137"/>
      <c r="F11" s="177"/>
    </row>
    <row r="12" spans="1:20">
      <c r="A12" s="3"/>
      <c r="B12" s="3"/>
      <c r="C12" s="3"/>
      <c r="D12" s="3"/>
      <c r="E12" s="309"/>
    </row>
    <row r="13" spans="1:20">
      <c r="A13" s="37"/>
      <c r="B13" s="43"/>
      <c r="C13" s="43"/>
      <c r="D13" s="43"/>
      <c r="E13" s="43"/>
    </row>
    <row r="15" spans="1:20">
      <c r="E15" s="176"/>
    </row>
    <row r="20" spans="1:20">
      <c r="F20" s="5"/>
    </row>
    <row r="21" spans="1:20">
      <c r="F21" s="5"/>
      <c r="H21" s="308" t="s">
        <v>208</v>
      </c>
      <c r="O21" s="308" t="s">
        <v>208</v>
      </c>
    </row>
    <row r="22" spans="1:20">
      <c r="F22" s="5"/>
    </row>
    <row r="23" spans="1:20" ht="17.25" customHeight="1">
      <c r="F23" s="5"/>
    </row>
    <row r="24" spans="1:20">
      <c r="F24" s="5"/>
    </row>
    <row r="25" spans="1:20"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1:20">
      <c r="F26" s="3"/>
      <c r="G26" s="7"/>
      <c r="I26" s="7"/>
      <c r="J26" s="7"/>
      <c r="K26" s="7"/>
      <c r="L26" s="7"/>
      <c r="M26" s="7"/>
      <c r="N26" s="7"/>
      <c r="P26" s="7"/>
      <c r="Q26" s="7"/>
      <c r="R26" s="7"/>
      <c r="S26" s="7"/>
      <c r="T26" s="7"/>
    </row>
    <row r="27" spans="1:20"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</row>
    <row r="28" spans="1:20">
      <c r="A28" s="16"/>
      <c r="B28" s="5"/>
      <c r="C28" s="91"/>
      <c r="D28" s="91"/>
      <c r="E28" s="91"/>
      <c r="F28" s="3"/>
      <c r="G28" s="7"/>
      <c r="H28" s="7"/>
      <c r="I28" s="216"/>
      <c r="J28" s="216"/>
      <c r="K28" s="216"/>
      <c r="L28" s="216"/>
      <c r="M28" s="7"/>
      <c r="N28" s="7"/>
      <c r="O28" s="7"/>
      <c r="P28" s="7"/>
      <c r="Q28" s="7"/>
      <c r="R28" s="7"/>
      <c r="S28" s="7"/>
      <c r="T28" s="7"/>
    </row>
    <row r="29" spans="1:20">
      <c r="B29" s="5"/>
      <c r="C29" s="5"/>
      <c r="D29" s="5"/>
      <c r="E29" s="5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</row>
    <row r="30" spans="1:20">
      <c r="A30" s="105"/>
      <c r="B30" s="94"/>
      <c r="C30" s="132"/>
      <c r="D30" s="132"/>
      <c r="E30" s="132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</row>
  </sheetData>
  <pageMargins left="0.7" right="0.7" top="0.75" bottom="0.75" header="0.3" footer="0.3"/>
  <pageSetup paperSize="9" scale="57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K74"/>
  <sheetViews>
    <sheetView showGridLines="0" zoomScaleNormal="100" workbookViewId="0"/>
  </sheetViews>
  <sheetFormatPr defaultRowHeight="15"/>
  <cols>
    <col min="1" max="1" width="9.140625" style="144" customWidth="1"/>
    <col min="2" max="16384" width="9.140625" style="144"/>
  </cols>
  <sheetData>
    <row r="1" spans="1:1">
      <c r="A1" s="92" t="s">
        <v>209</v>
      </c>
    </row>
    <row r="21" spans="1:11">
      <c r="K21" s="213"/>
    </row>
    <row r="22" spans="1:11">
      <c r="B22" s="1575">
        <v>2018</v>
      </c>
      <c r="C22" s="1575"/>
      <c r="D22" s="1575"/>
      <c r="F22" s="151">
        <v>2019</v>
      </c>
      <c r="G22" s="151"/>
      <c r="H22" s="1575">
        <v>2020</v>
      </c>
      <c r="I22" s="1575"/>
      <c r="J22" s="1575"/>
      <c r="K22" s="213"/>
    </row>
    <row r="23" spans="1:11" s="213" customFormat="1" ht="15" customHeight="1">
      <c r="A23" s="144"/>
      <c r="B23" s="203" t="s">
        <v>99</v>
      </c>
      <c r="C23" s="203" t="s">
        <v>100</v>
      </c>
      <c r="D23" s="203" t="s">
        <v>72</v>
      </c>
      <c r="E23" s="144"/>
      <c r="F23" s="144"/>
      <c r="G23" s="144"/>
      <c r="H23" s="144"/>
      <c r="I23" s="144"/>
      <c r="J23" s="144"/>
    </row>
    <row r="24" spans="1:11" s="213" customFormat="1" ht="15" customHeight="1">
      <c r="A24" s="143" t="s">
        <v>92</v>
      </c>
      <c r="B24" s="150">
        <v>0.21000000000000002</v>
      </c>
      <c r="C24" s="150">
        <v>-3.3087774162626205E-3</v>
      </c>
      <c r="D24" s="150">
        <v>0.2066912225837374</v>
      </c>
      <c r="E24" s="181">
        <v>0.19</v>
      </c>
      <c r="F24" s="182">
        <v>-6.5994055754417524E-3</v>
      </c>
      <c r="G24" s="183">
        <v>0.18340059442455825</v>
      </c>
      <c r="H24" s="178">
        <v>0.16999999999999998</v>
      </c>
      <c r="I24" s="178">
        <v>2.9982947578214847E-3</v>
      </c>
      <c r="J24" s="180">
        <v>0.17299829475782147</v>
      </c>
    </row>
    <row r="25" spans="1:11" s="213" customFormat="1" ht="15" customHeight="1">
      <c r="A25" s="143" t="s">
        <v>95</v>
      </c>
      <c r="B25" s="150">
        <v>0</v>
      </c>
      <c r="C25" s="150">
        <v>-4.0742460383462742E-2</v>
      </c>
      <c r="D25" s="150">
        <v>-4.0742460383462742E-2</v>
      </c>
      <c r="E25" s="181">
        <v>0</v>
      </c>
      <c r="F25" s="182">
        <v>-6.2054664886594502E-2</v>
      </c>
      <c r="G25" s="183">
        <v>-6.2054664886594502E-2</v>
      </c>
      <c r="H25" s="178">
        <v>0</v>
      </c>
      <c r="I25" s="178">
        <v>-7.5284835390187155E-2</v>
      </c>
      <c r="J25" s="180">
        <v>-7.5284835390187155E-2</v>
      </c>
    </row>
    <row r="26" spans="1:11" s="213" customFormat="1" ht="16.5" customHeight="1">
      <c r="A26" s="143" t="s">
        <v>96</v>
      </c>
      <c r="B26" s="150">
        <v>-0.25</v>
      </c>
      <c r="C26" s="150">
        <v>5.2833355535607751E-2</v>
      </c>
      <c r="D26" s="150">
        <v>-0.19716664446439225</v>
      </c>
      <c r="E26" s="181">
        <v>-0.32</v>
      </c>
      <c r="F26" s="182">
        <v>2.9274927564434783E-2</v>
      </c>
      <c r="G26" s="183">
        <v>-0.29072507243556522</v>
      </c>
      <c r="H26" s="178">
        <v>-0.4</v>
      </c>
      <c r="I26" s="178">
        <v>0.19005323231736038</v>
      </c>
      <c r="J26" s="180">
        <v>-0.20994676768263965</v>
      </c>
    </row>
    <row r="27" spans="1:11" s="213" customFormat="1" ht="16.5" customHeight="1">
      <c r="A27" s="145" t="s">
        <v>94</v>
      </c>
      <c r="B27" s="150">
        <v>-0.16</v>
      </c>
      <c r="C27" s="150">
        <v>-2.3703092275178111E-2</v>
      </c>
      <c r="D27" s="150">
        <v>-0.18370309227517811</v>
      </c>
      <c r="E27" s="181">
        <v>0</v>
      </c>
      <c r="F27" s="182">
        <v>8.305294986968903E-2</v>
      </c>
      <c r="G27" s="183">
        <v>8.305294986968903E-2</v>
      </c>
      <c r="H27" s="178">
        <v>0</v>
      </c>
      <c r="I27" s="178">
        <v>-0.25490940196958878</v>
      </c>
      <c r="J27" s="180">
        <v>-0.25490940196958878</v>
      </c>
    </row>
    <row r="28" spans="1:11" s="213" customFormat="1" ht="16.5" customHeight="1">
      <c r="A28" s="145" t="s">
        <v>101</v>
      </c>
      <c r="B28" s="150">
        <v>-0.25</v>
      </c>
      <c r="C28" s="150">
        <v>-0.1048719377928703</v>
      </c>
      <c r="D28" s="150">
        <v>-0.3548719377928703</v>
      </c>
      <c r="E28" s="181">
        <v>-0.33</v>
      </c>
      <c r="F28" s="182">
        <v>-6.1423226749071469E-2</v>
      </c>
      <c r="G28" s="183">
        <v>-0.39142322674907148</v>
      </c>
      <c r="H28" s="178">
        <v>-0.35</v>
      </c>
      <c r="I28" s="178">
        <v>-8.3924984097353827E-2</v>
      </c>
      <c r="J28" s="180">
        <v>-0.43392498409735381</v>
      </c>
    </row>
    <row r="29" spans="1:11" s="213" customFormat="1" ht="16.5" customHeight="1">
      <c r="A29" s="143" t="s">
        <v>93</v>
      </c>
      <c r="B29" s="150">
        <v>-0.48000000000000004</v>
      </c>
      <c r="C29" s="150">
        <v>0.16538126468135195</v>
      </c>
      <c r="D29" s="150">
        <v>-0.31461873531864809</v>
      </c>
      <c r="E29" s="181">
        <v>-0.16</v>
      </c>
      <c r="F29" s="182">
        <v>0.14132293054769438</v>
      </c>
      <c r="G29" s="183">
        <v>-1.8677069452305628E-2</v>
      </c>
      <c r="H29" s="178">
        <v>-0.44</v>
      </c>
      <c r="I29" s="178">
        <v>0.40829544154062269</v>
      </c>
      <c r="J29" s="180">
        <v>-3.1704558459377336E-2</v>
      </c>
    </row>
    <row r="30" spans="1:11" s="213" customFormat="1" ht="16.5" customHeight="1">
      <c r="A30" s="143" t="s">
        <v>139</v>
      </c>
      <c r="B30" s="144"/>
      <c r="C30" s="214">
        <v>0</v>
      </c>
      <c r="D30" s="144"/>
      <c r="E30" s="144"/>
      <c r="F30" s="214">
        <v>0.22464628157024263</v>
      </c>
      <c r="G30" s="183"/>
      <c r="H30" s="150"/>
      <c r="I30" s="150">
        <v>0.27027735030065236</v>
      </c>
      <c r="J30" s="144"/>
    </row>
    <row r="31" spans="1:11" s="213" customFormat="1" ht="16.5" customHeight="1">
      <c r="A31" s="144"/>
      <c r="B31" s="144"/>
      <c r="C31" s="144"/>
      <c r="D31" s="144"/>
      <c r="E31" s="144"/>
      <c r="F31" s="144"/>
      <c r="G31" s="144"/>
      <c r="H31" s="144"/>
      <c r="I31" s="144"/>
      <c r="J31" s="144"/>
    </row>
    <row r="32" spans="1:11" s="213" customFormat="1" ht="16.5" customHeight="1">
      <c r="A32" s="144"/>
      <c r="B32" s="144"/>
      <c r="C32" s="144"/>
      <c r="D32" s="144"/>
      <c r="E32" s="144"/>
      <c r="F32" s="144"/>
      <c r="G32" s="144"/>
      <c r="H32" s="144"/>
      <c r="I32" s="144"/>
      <c r="J32" s="144"/>
    </row>
    <row r="33" s="213" customFormat="1" ht="16.5" customHeight="1"/>
    <row r="34" s="213" customFormat="1" ht="16.5" customHeight="1"/>
    <row r="35" s="213" customFormat="1" ht="16.5" customHeight="1"/>
    <row r="36" s="213" customFormat="1" ht="16.5" customHeight="1"/>
    <row r="37" s="213" customFormat="1" ht="16.5" customHeight="1"/>
    <row r="38" s="213" customFormat="1" ht="16.5" customHeight="1"/>
    <row r="39" s="213" customFormat="1" ht="16.5" customHeight="1"/>
    <row r="40" s="213" customFormat="1" ht="16.5" customHeight="1"/>
    <row r="41" s="213" customFormat="1" ht="16.5" customHeight="1"/>
    <row r="42" s="213" customFormat="1" ht="16.5" customHeight="1"/>
    <row r="43" s="213" customFormat="1" ht="16.5" customHeight="1"/>
    <row r="44" s="213" customFormat="1" ht="16.5" customHeight="1"/>
    <row r="45" s="213" customFormat="1" ht="16.5" customHeight="1"/>
    <row r="46" s="213" customFormat="1" ht="16.5" customHeight="1"/>
    <row r="47" s="213" customFormat="1" ht="16.5" customHeight="1"/>
    <row r="48" s="213" customFormat="1" ht="16.5" customHeight="1"/>
    <row r="49" s="213" customFormat="1" ht="16.5" customHeight="1"/>
    <row r="51" ht="16.5" customHeight="1"/>
    <row r="53" s="179" customFormat="1"/>
    <row r="54" s="179" customFormat="1" ht="17.25" customHeight="1"/>
    <row r="55" s="179" customFormat="1"/>
    <row r="56" s="179" customFormat="1"/>
    <row r="57" s="179" customFormat="1"/>
    <row r="58" s="179" customFormat="1"/>
    <row r="59" s="179" customFormat="1"/>
    <row r="60" s="179" customFormat="1"/>
    <row r="61" s="179" customFormat="1"/>
    <row r="62" s="179" customFormat="1"/>
    <row r="63" s="179" customFormat="1"/>
    <row r="64" s="179" customFormat="1"/>
    <row r="65" s="179" customFormat="1"/>
    <row r="66" s="179" customFormat="1"/>
    <row r="67" s="179" customFormat="1"/>
    <row r="68" s="179" customFormat="1"/>
    <row r="69" s="179" customFormat="1"/>
    <row r="70" s="179" customFormat="1"/>
    <row r="71" s="179" customFormat="1"/>
    <row r="72" s="179" customFormat="1"/>
    <row r="73" s="179" customFormat="1"/>
    <row r="74" s="179" customFormat="1"/>
  </sheetData>
  <mergeCells count="2">
    <mergeCell ref="B22:D22"/>
    <mergeCell ref="H22:J22"/>
  </mergeCells>
  <pageMargins left="0.7" right="0.7" top="0.75" bottom="0.75" header="0.3" footer="0.3"/>
  <pageSetup paperSize="9" scale="26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zoomScaleNormal="100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2"/>
  <cols>
    <col min="1" max="1" width="19.5703125" style="1404" customWidth="1"/>
    <col min="2" max="16384" width="9.140625" style="1404"/>
  </cols>
  <sheetData>
    <row r="1" spans="1:8" ht="12.75">
      <c r="A1" s="1403" t="s">
        <v>1119</v>
      </c>
    </row>
    <row r="2" spans="1:8" ht="12.75">
      <c r="A2" s="1405"/>
      <c r="B2" s="1406">
        <v>2013</v>
      </c>
      <c r="C2" s="1406">
        <v>2014</v>
      </c>
      <c r="D2" s="1406">
        <v>2015</v>
      </c>
      <c r="E2" s="1406">
        <v>2016</v>
      </c>
      <c r="F2" s="1406">
        <v>2017</v>
      </c>
      <c r="G2" s="1406">
        <v>2018</v>
      </c>
      <c r="H2" s="1406">
        <v>2019</v>
      </c>
    </row>
    <row r="3" spans="1:8" ht="12.75">
      <c r="A3" s="1407" t="s">
        <v>1120</v>
      </c>
      <c r="B3" s="1408">
        <v>0.9</v>
      </c>
      <c r="C3" s="1408"/>
      <c r="D3" s="1408"/>
      <c r="E3" s="1408"/>
      <c r="F3" s="1408"/>
      <c r="G3" s="1408"/>
      <c r="H3" s="1408"/>
    </row>
    <row r="4" spans="1:8" ht="12.75">
      <c r="A4" s="1407" t="s">
        <v>1121</v>
      </c>
      <c r="B4" s="1409">
        <v>0.157</v>
      </c>
      <c r="C4" s="1409">
        <v>1.17</v>
      </c>
      <c r="D4" s="1409"/>
      <c r="E4" s="1409"/>
      <c r="F4" s="1409"/>
      <c r="G4" s="1409"/>
      <c r="H4" s="1409"/>
    </row>
    <row r="5" spans="1:8" ht="12.75">
      <c r="A5" s="1407" t="s">
        <v>1122</v>
      </c>
      <c r="B5" s="1409">
        <v>9.2999999999999999E-2</v>
      </c>
      <c r="C5" s="1409">
        <v>1.3069999999999999</v>
      </c>
      <c r="D5" s="1409"/>
      <c r="E5" s="1409"/>
      <c r="F5" s="1409"/>
      <c r="G5" s="1409"/>
      <c r="H5" s="1409"/>
    </row>
    <row r="6" spans="1:8" ht="12.75">
      <c r="A6" s="1407" t="s">
        <v>1123</v>
      </c>
      <c r="B6" s="1409">
        <v>-0.33800000000000002</v>
      </c>
      <c r="C6" s="1409">
        <v>1.0669999999999999</v>
      </c>
      <c r="D6" s="1409">
        <v>1.446</v>
      </c>
      <c r="E6" s="1409"/>
      <c r="F6" s="1409"/>
      <c r="G6" s="1409"/>
      <c r="H6" s="1409"/>
    </row>
    <row r="7" spans="1:8" ht="12.75">
      <c r="A7" s="1407" t="s">
        <v>1124</v>
      </c>
      <c r="B7" s="1409">
        <v>-0.61299999999999999</v>
      </c>
      <c r="C7" s="1409">
        <v>1.0580000000000001</v>
      </c>
      <c r="D7" s="1409"/>
      <c r="E7" s="1409"/>
      <c r="F7" s="1409"/>
      <c r="G7" s="1409"/>
      <c r="H7" s="1409"/>
    </row>
    <row r="8" spans="1:8" ht="12.75">
      <c r="A8" s="1407" t="s">
        <v>1125</v>
      </c>
      <c r="B8" s="1409">
        <v>-0.437</v>
      </c>
      <c r="C8" s="1409">
        <v>0.96099999999999997</v>
      </c>
      <c r="D8" s="1409">
        <v>1.3520000000000001</v>
      </c>
      <c r="E8" s="1409"/>
      <c r="F8" s="1409"/>
      <c r="G8" s="1409"/>
      <c r="H8" s="1409"/>
    </row>
    <row r="9" spans="1:8" ht="12.75">
      <c r="A9" s="1407" t="s">
        <v>1126</v>
      </c>
      <c r="B9" s="1409">
        <v>-0.4</v>
      </c>
      <c r="C9" s="1409">
        <v>1</v>
      </c>
      <c r="D9" s="1409">
        <v>1.6</v>
      </c>
      <c r="E9" s="1409"/>
      <c r="F9" s="1409"/>
      <c r="G9" s="1409"/>
      <c r="H9" s="1409"/>
    </row>
    <row r="10" spans="1:8" ht="12.75">
      <c r="A10" s="1407" t="s">
        <v>1127</v>
      </c>
      <c r="B10" s="1409"/>
      <c r="C10" s="1409">
        <v>1.161</v>
      </c>
      <c r="D10" s="1409">
        <v>1.464</v>
      </c>
      <c r="E10" s="1409">
        <v>1.536</v>
      </c>
      <c r="F10" s="1409"/>
      <c r="G10" s="1409"/>
      <c r="H10" s="1409"/>
    </row>
    <row r="11" spans="1:8" ht="12.75">
      <c r="A11" s="1407" t="s">
        <v>1128</v>
      </c>
      <c r="B11" s="1409"/>
      <c r="C11" s="1409">
        <v>1.2</v>
      </c>
      <c r="D11" s="1409">
        <v>1.66</v>
      </c>
      <c r="E11" s="1409"/>
      <c r="F11" s="1409"/>
      <c r="G11" s="1409"/>
      <c r="H11" s="1409"/>
    </row>
    <row r="12" spans="1:8" ht="12.75">
      <c r="A12" s="1407" t="s">
        <v>1129</v>
      </c>
      <c r="B12" s="1409"/>
      <c r="C12" s="1409">
        <v>0.83199999999999996</v>
      </c>
      <c r="D12" s="1409">
        <v>1.349</v>
      </c>
      <c r="E12" s="1409">
        <v>1.698</v>
      </c>
      <c r="F12" s="1409"/>
      <c r="G12" s="1409"/>
      <c r="H12" s="1409"/>
    </row>
    <row r="13" spans="1:8" ht="12.75">
      <c r="A13" s="1407" t="s">
        <v>1130</v>
      </c>
      <c r="B13" s="1409"/>
      <c r="C13" s="1409">
        <v>0.83</v>
      </c>
      <c r="D13" s="1409">
        <v>1.0569999999999999</v>
      </c>
      <c r="E13" s="1409">
        <v>1.669</v>
      </c>
      <c r="F13" s="1409"/>
      <c r="G13" s="1409"/>
      <c r="H13" s="1409"/>
    </row>
    <row r="14" spans="1:8" ht="12.75">
      <c r="A14" s="1407" t="s">
        <v>1131</v>
      </c>
      <c r="B14" s="1409"/>
      <c r="C14" s="1409"/>
      <c r="D14" s="1409">
        <v>1.4530000000000001</v>
      </c>
      <c r="E14" s="1409">
        <v>1.65</v>
      </c>
      <c r="F14" s="1409">
        <v>1.6</v>
      </c>
      <c r="G14" s="1409"/>
      <c r="H14" s="1409"/>
    </row>
    <row r="15" spans="1:8" ht="12.75">
      <c r="A15" s="1407" t="s">
        <v>1132</v>
      </c>
      <c r="B15" s="1409"/>
      <c r="C15" s="1409"/>
      <c r="D15" s="1409">
        <v>1.4470000000000001</v>
      </c>
      <c r="E15" s="1409">
        <v>2.056</v>
      </c>
      <c r="F15" s="1409"/>
      <c r="G15" s="1409"/>
      <c r="H15" s="1409"/>
    </row>
    <row r="16" spans="1:8" ht="12.75">
      <c r="A16" s="1407" t="s">
        <v>1133</v>
      </c>
      <c r="B16" s="1409"/>
      <c r="C16" s="1409"/>
      <c r="D16" s="1409">
        <v>1.482</v>
      </c>
      <c r="E16" s="1409">
        <v>1.6379999999999999</v>
      </c>
      <c r="F16" s="1409">
        <v>1.6739999999999999</v>
      </c>
      <c r="G16" s="1409"/>
      <c r="H16" s="1409"/>
    </row>
    <row r="17" spans="1:8" ht="12.75">
      <c r="A17" s="1407" t="s">
        <v>1134</v>
      </c>
      <c r="B17" s="1409"/>
      <c r="C17" s="1409"/>
      <c r="D17" s="1409">
        <v>1.5</v>
      </c>
      <c r="E17" s="1409">
        <v>1.75</v>
      </c>
      <c r="F17" s="1409">
        <v>1.94</v>
      </c>
      <c r="G17" s="1409"/>
      <c r="H17" s="1409"/>
    </row>
    <row r="18" spans="1:8" ht="12.75">
      <c r="A18" s="1407" t="s">
        <v>1135</v>
      </c>
      <c r="B18" s="1409"/>
      <c r="C18" s="1409"/>
      <c r="D18" s="1409"/>
      <c r="E18" s="1409">
        <v>1.5049999999999999</v>
      </c>
      <c r="F18" s="1409">
        <v>1.6319999999999999</v>
      </c>
      <c r="G18" s="1409">
        <v>1.556</v>
      </c>
      <c r="H18" s="1409"/>
    </row>
    <row r="19" spans="1:8" ht="12.75">
      <c r="A19" s="1407" t="s">
        <v>1136</v>
      </c>
      <c r="B19" s="1409"/>
      <c r="C19" s="1409"/>
      <c r="D19" s="1409"/>
      <c r="E19" s="1409">
        <v>1.57</v>
      </c>
      <c r="F19" s="1409">
        <v>1.63</v>
      </c>
      <c r="G19" s="1409">
        <v>1.74</v>
      </c>
      <c r="H19" s="1409"/>
    </row>
    <row r="20" spans="1:8" ht="12.75">
      <c r="A20" s="1407" t="s">
        <v>1137</v>
      </c>
      <c r="B20" s="1409"/>
      <c r="C20" s="1409"/>
      <c r="D20" s="1409"/>
      <c r="E20" s="1409">
        <v>1.661</v>
      </c>
      <c r="F20" s="1409">
        <v>1.512</v>
      </c>
      <c r="G20" s="1409">
        <v>1.5860000000000001</v>
      </c>
      <c r="H20" s="1409"/>
    </row>
    <row r="21" spans="1:8" ht="12.75">
      <c r="A21" s="1407" t="s">
        <v>1138</v>
      </c>
      <c r="B21" s="1409"/>
      <c r="C21" s="1409"/>
      <c r="D21" s="1409"/>
      <c r="E21" s="1409">
        <v>1.663</v>
      </c>
      <c r="F21" s="1409">
        <v>1.57</v>
      </c>
      <c r="G21" s="1409">
        <v>1.665</v>
      </c>
      <c r="H21" s="1409"/>
    </row>
    <row r="22" spans="1:8" ht="12.75">
      <c r="A22" s="1407" t="s">
        <v>1139</v>
      </c>
      <c r="B22" s="1409"/>
      <c r="C22" s="1409"/>
      <c r="D22" s="1409"/>
      <c r="E22" s="1409"/>
      <c r="F22" s="1409">
        <v>1.68</v>
      </c>
      <c r="G22" s="1409">
        <v>1.6180000000000001</v>
      </c>
      <c r="H22" s="1409">
        <v>1.579</v>
      </c>
    </row>
    <row r="23" spans="1:8" ht="12.75">
      <c r="A23" s="1407" t="s">
        <v>1140</v>
      </c>
      <c r="B23" s="1409"/>
      <c r="C23" s="1409"/>
      <c r="D23" s="1409"/>
      <c r="E23" s="1409"/>
      <c r="F23" s="1409">
        <v>1.84</v>
      </c>
      <c r="G23" s="1409">
        <v>1.79</v>
      </c>
      <c r="H23" s="1409"/>
    </row>
    <row r="24" spans="1:8" ht="12.75">
      <c r="A24" s="1410" t="s">
        <v>1141</v>
      </c>
      <c r="B24" s="1411"/>
      <c r="C24" s="1411"/>
      <c r="D24" s="1411"/>
      <c r="E24" s="1411"/>
      <c r="F24" s="1411">
        <v>2.145</v>
      </c>
      <c r="G24" s="1411">
        <v>1.94</v>
      </c>
      <c r="H24" s="1411">
        <v>1.665</v>
      </c>
    </row>
    <row r="25" spans="1:8" ht="12.75">
      <c r="A25" s="1412" t="s">
        <v>1142</v>
      </c>
      <c r="B25" s="1341">
        <v>-0.3</v>
      </c>
      <c r="C25" s="1341">
        <v>1.3</v>
      </c>
      <c r="D25" s="1341">
        <v>2.1</v>
      </c>
      <c r="E25" s="1341">
        <v>1.8</v>
      </c>
      <c r="F25" s="1341"/>
      <c r="G25" s="1341"/>
      <c r="H25" s="1341"/>
    </row>
    <row r="26" spans="1:8">
      <c r="A26" s="1413"/>
      <c r="B26" s="1356"/>
      <c r="C26" s="1356"/>
      <c r="D26" s="1356"/>
      <c r="E26" s="1356"/>
      <c r="F26" s="1414"/>
      <c r="G26" s="1414"/>
      <c r="H26" s="1414" t="s">
        <v>1143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showGridLines="0" zoomScaleNormal="100" workbookViewId="0"/>
  </sheetViews>
  <sheetFormatPr defaultRowHeight="12"/>
  <cols>
    <col min="1" max="1" width="31.140625" style="1356" customWidth="1"/>
    <col min="2" max="6" width="7.28515625" style="1356" customWidth="1"/>
    <col min="7" max="239" width="9.140625" style="1356"/>
    <col min="240" max="240" width="18.140625" style="1356" customWidth="1"/>
    <col min="241" max="495" width="9.140625" style="1356"/>
    <col min="496" max="496" width="18.140625" style="1356" customWidth="1"/>
    <col min="497" max="751" width="9.140625" style="1356"/>
    <col min="752" max="752" width="18.140625" style="1356" customWidth="1"/>
    <col min="753" max="1007" width="9.140625" style="1356"/>
    <col min="1008" max="1008" width="18.140625" style="1356" customWidth="1"/>
    <col min="1009" max="1263" width="9.140625" style="1356"/>
    <col min="1264" max="1264" width="18.140625" style="1356" customWidth="1"/>
    <col min="1265" max="1519" width="9.140625" style="1356"/>
    <col min="1520" max="1520" width="18.140625" style="1356" customWidth="1"/>
    <col min="1521" max="1775" width="9.140625" style="1356"/>
    <col min="1776" max="1776" width="18.140625" style="1356" customWidth="1"/>
    <col min="1777" max="2031" width="9.140625" style="1356"/>
    <col min="2032" max="2032" width="18.140625" style="1356" customWidth="1"/>
    <col min="2033" max="2287" width="9.140625" style="1356"/>
    <col min="2288" max="2288" width="18.140625" style="1356" customWidth="1"/>
    <col min="2289" max="2543" width="9.140625" style="1356"/>
    <col min="2544" max="2544" width="18.140625" style="1356" customWidth="1"/>
    <col min="2545" max="2799" width="9.140625" style="1356"/>
    <col min="2800" max="2800" width="18.140625" style="1356" customWidth="1"/>
    <col min="2801" max="3055" width="9.140625" style="1356"/>
    <col min="3056" max="3056" width="18.140625" style="1356" customWidth="1"/>
    <col min="3057" max="3311" width="9.140625" style="1356"/>
    <col min="3312" max="3312" width="18.140625" style="1356" customWidth="1"/>
    <col min="3313" max="3567" width="9.140625" style="1356"/>
    <col min="3568" max="3568" width="18.140625" style="1356" customWidth="1"/>
    <col min="3569" max="3823" width="9.140625" style="1356"/>
    <col min="3824" max="3824" width="18.140625" style="1356" customWidth="1"/>
    <col min="3825" max="4079" width="9.140625" style="1356"/>
    <col min="4080" max="4080" width="18.140625" style="1356" customWidth="1"/>
    <col min="4081" max="4335" width="9.140625" style="1356"/>
    <col min="4336" max="4336" width="18.140625" style="1356" customWidth="1"/>
    <col min="4337" max="4591" width="9.140625" style="1356"/>
    <col min="4592" max="4592" width="18.140625" style="1356" customWidth="1"/>
    <col min="4593" max="4847" width="9.140625" style="1356"/>
    <col min="4848" max="4848" width="18.140625" style="1356" customWidth="1"/>
    <col min="4849" max="5103" width="9.140625" style="1356"/>
    <col min="5104" max="5104" width="18.140625" style="1356" customWidth="1"/>
    <col min="5105" max="5359" width="9.140625" style="1356"/>
    <col min="5360" max="5360" width="18.140625" style="1356" customWidth="1"/>
    <col min="5361" max="5615" width="9.140625" style="1356"/>
    <col min="5616" max="5616" width="18.140625" style="1356" customWidth="1"/>
    <col min="5617" max="5871" width="9.140625" style="1356"/>
    <col min="5872" max="5872" width="18.140625" style="1356" customWidth="1"/>
    <col min="5873" max="6127" width="9.140625" style="1356"/>
    <col min="6128" max="6128" width="18.140625" style="1356" customWidth="1"/>
    <col min="6129" max="6383" width="9.140625" style="1356"/>
    <col min="6384" max="6384" width="18.140625" style="1356" customWidth="1"/>
    <col min="6385" max="6639" width="9.140625" style="1356"/>
    <col min="6640" max="6640" width="18.140625" style="1356" customWidth="1"/>
    <col min="6641" max="6895" width="9.140625" style="1356"/>
    <col min="6896" max="6896" width="18.140625" style="1356" customWidth="1"/>
    <col min="6897" max="7151" width="9.140625" style="1356"/>
    <col min="7152" max="7152" width="18.140625" style="1356" customWidth="1"/>
    <col min="7153" max="7407" width="9.140625" style="1356"/>
    <col min="7408" max="7408" width="18.140625" style="1356" customWidth="1"/>
    <col min="7409" max="7663" width="9.140625" style="1356"/>
    <col min="7664" max="7664" width="18.140625" style="1356" customWidth="1"/>
    <col min="7665" max="7919" width="9.140625" style="1356"/>
    <col min="7920" max="7920" width="18.140625" style="1356" customWidth="1"/>
    <col min="7921" max="8175" width="9.140625" style="1356"/>
    <col min="8176" max="8176" width="18.140625" style="1356" customWidth="1"/>
    <col min="8177" max="8431" width="9.140625" style="1356"/>
    <col min="8432" max="8432" width="18.140625" style="1356" customWidth="1"/>
    <col min="8433" max="8687" width="9.140625" style="1356"/>
    <col min="8688" max="8688" width="18.140625" style="1356" customWidth="1"/>
    <col min="8689" max="8943" width="9.140625" style="1356"/>
    <col min="8944" max="8944" width="18.140625" style="1356" customWidth="1"/>
    <col min="8945" max="9199" width="9.140625" style="1356"/>
    <col min="9200" max="9200" width="18.140625" style="1356" customWidth="1"/>
    <col min="9201" max="9455" width="9.140625" style="1356"/>
    <col min="9456" max="9456" width="18.140625" style="1356" customWidth="1"/>
    <col min="9457" max="9711" width="9.140625" style="1356"/>
    <col min="9712" max="9712" width="18.140625" style="1356" customWidth="1"/>
    <col min="9713" max="9967" width="9.140625" style="1356"/>
    <col min="9968" max="9968" width="18.140625" style="1356" customWidth="1"/>
    <col min="9969" max="10223" width="9.140625" style="1356"/>
    <col min="10224" max="10224" width="18.140625" style="1356" customWidth="1"/>
    <col min="10225" max="10479" width="9.140625" style="1356"/>
    <col min="10480" max="10480" width="18.140625" style="1356" customWidth="1"/>
    <col min="10481" max="10735" width="9.140625" style="1356"/>
    <col min="10736" max="10736" width="18.140625" style="1356" customWidth="1"/>
    <col min="10737" max="10991" width="9.140625" style="1356"/>
    <col min="10992" max="10992" width="18.140625" style="1356" customWidth="1"/>
    <col min="10993" max="11247" width="9.140625" style="1356"/>
    <col min="11248" max="11248" width="18.140625" style="1356" customWidth="1"/>
    <col min="11249" max="11503" width="9.140625" style="1356"/>
    <col min="11504" max="11504" width="18.140625" style="1356" customWidth="1"/>
    <col min="11505" max="11759" width="9.140625" style="1356"/>
    <col min="11760" max="11760" width="18.140625" style="1356" customWidth="1"/>
    <col min="11761" max="12015" width="9.140625" style="1356"/>
    <col min="12016" max="12016" width="18.140625" style="1356" customWidth="1"/>
    <col min="12017" max="12271" width="9.140625" style="1356"/>
    <col min="12272" max="12272" width="18.140625" style="1356" customWidth="1"/>
    <col min="12273" max="12527" width="9.140625" style="1356"/>
    <col min="12528" max="12528" width="18.140625" style="1356" customWidth="1"/>
    <col min="12529" max="12783" width="9.140625" style="1356"/>
    <col min="12784" max="12784" width="18.140625" style="1356" customWidth="1"/>
    <col min="12785" max="13039" width="9.140625" style="1356"/>
    <col min="13040" max="13040" width="18.140625" style="1356" customWidth="1"/>
    <col min="13041" max="13295" width="9.140625" style="1356"/>
    <col min="13296" max="13296" width="18.140625" style="1356" customWidth="1"/>
    <col min="13297" max="13551" width="9.140625" style="1356"/>
    <col min="13552" max="13552" width="18.140625" style="1356" customWidth="1"/>
    <col min="13553" max="13807" width="9.140625" style="1356"/>
    <col min="13808" max="13808" width="18.140625" style="1356" customWidth="1"/>
    <col min="13809" max="14063" width="9.140625" style="1356"/>
    <col min="14064" max="14064" width="18.140625" style="1356" customWidth="1"/>
    <col min="14065" max="14319" width="9.140625" style="1356"/>
    <col min="14320" max="14320" width="18.140625" style="1356" customWidth="1"/>
    <col min="14321" max="14575" width="9.140625" style="1356"/>
    <col min="14576" max="14576" width="18.140625" style="1356" customWidth="1"/>
    <col min="14577" max="14831" width="9.140625" style="1356"/>
    <col min="14832" max="14832" width="18.140625" style="1356" customWidth="1"/>
    <col min="14833" max="15087" width="9.140625" style="1356"/>
    <col min="15088" max="15088" width="18.140625" style="1356" customWidth="1"/>
    <col min="15089" max="15343" width="9.140625" style="1356"/>
    <col min="15344" max="15344" width="18.140625" style="1356" customWidth="1"/>
    <col min="15345" max="15599" width="9.140625" style="1356"/>
    <col min="15600" max="15600" width="18.140625" style="1356" customWidth="1"/>
    <col min="15601" max="15855" width="9.140625" style="1356"/>
    <col min="15856" max="15856" width="18.140625" style="1356" customWidth="1"/>
    <col min="15857" max="16111" width="9.140625" style="1356"/>
    <col min="16112" max="16112" width="18.140625" style="1356" customWidth="1"/>
    <col min="16113" max="16384" width="9.140625" style="1356"/>
  </cols>
  <sheetData>
    <row r="1" spans="1:9" ht="12.75">
      <c r="A1" s="1403" t="s">
        <v>1144</v>
      </c>
    </row>
    <row r="2" spans="1:9" ht="12.75">
      <c r="A2" s="1415"/>
      <c r="B2" s="1406">
        <v>2014</v>
      </c>
      <c r="C2" s="1406">
        <v>2015</v>
      </c>
      <c r="D2" s="1406">
        <v>2016</v>
      </c>
      <c r="E2" s="1406">
        <v>2017</v>
      </c>
      <c r="F2" s="1406">
        <v>2018</v>
      </c>
      <c r="G2" s="1406">
        <v>2019</v>
      </c>
      <c r="H2" s="1406">
        <v>2020</v>
      </c>
    </row>
    <row r="3" spans="1:9" ht="12.75">
      <c r="A3" s="1416" t="s">
        <v>1145</v>
      </c>
      <c r="B3" s="1417">
        <v>-2.572139454952127</v>
      </c>
      <c r="C3" s="1417">
        <v>-1.8374523950483335</v>
      </c>
      <c r="D3" s="1417">
        <v>-1.2001454311600379</v>
      </c>
      <c r="E3" s="1417">
        <v>-0.36625593439318926</v>
      </c>
      <c r="F3" s="1417">
        <v>0.26611864646020056</v>
      </c>
      <c r="G3" s="1417">
        <v>0.62434597681626514</v>
      </c>
      <c r="H3" s="1417"/>
    </row>
    <row r="4" spans="1:9" ht="12.75">
      <c r="A4" s="1418" t="s">
        <v>1146</v>
      </c>
      <c r="B4" s="1417">
        <v>-1.0101222626670623</v>
      </c>
      <c r="C4" s="1417">
        <v>-0.20198844470225594</v>
      </c>
      <c r="D4" s="1417">
        <v>0.15202482434424647</v>
      </c>
      <c r="E4" s="1417">
        <v>0.52175554039024741</v>
      </c>
      <c r="F4" s="1417">
        <v>0.83201056236194548</v>
      </c>
      <c r="G4" s="1417">
        <v>1.0095020270174031</v>
      </c>
      <c r="H4" s="1417">
        <v>0.60126887606129442</v>
      </c>
    </row>
    <row r="5" spans="1:9" ht="12.75">
      <c r="A5" s="1418" t="s">
        <v>1147</v>
      </c>
      <c r="B5" s="1417">
        <v>-2.0515889999999999</v>
      </c>
      <c r="C5" s="1417">
        <v>-1.152109</v>
      </c>
      <c r="D5" s="1417">
        <v>-0.441635</v>
      </c>
      <c r="E5" s="1417">
        <v>2.9090000000000001E-3</v>
      </c>
      <c r="F5" s="1417">
        <v>0.52951300000000001</v>
      </c>
      <c r="G5" s="1417">
        <v>0.99307000000000001</v>
      </c>
      <c r="H5" s="1417">
        <v>0.66204600000000002</v>
      </c>
      <c r="I5" s="1356">
        <v>0.33102300000000001</v>
      </c>
    </row>
    <row r="6" spans="1:9" ht="12.75">
      <c r="A6" s="1418" t="s">
        <v>1148</v>
      </c>
      <c r="B6" s="1417">
        <v>-2.5019870000000002</v>
      </c>
      <c r="C6" s="1417">
        <v>-0.16498199999999999</v>
      </c>
      <c r="D6" s="1417">
        <v>-0.24693200000000001</v>
      </c>
      <c r="E6" s="1417">
        <v>0.89264900000000003</v>
      </c>
      <c r="F6" s="1417">
        <v>1.0106660000000001</v>
      </c>
      <c r="G6" s="1417">
        <v>1.0625599999999999</v>
      </c>
      <c r="H6" s="1417">
        <v>0.70837300000000003</v>
      </c>
      <c r="I6" s="1356">
        <v>0.35418699999999997</v>
      </c>
    </row>
    <row r="7" spans="1:9" ht="12.75">
      <c r="A7" s="1418" t="s">
        <v>1149</v>
      </c>
      <c r="B7" s="1417">
        <v>-0.79405999999999999</v>
      </c>
      <c r="C7" s="1417">
        <v>0.30161900000000003</v>
      </c>
      <c r="D7" s="1417">
        <v>0.42451299999999997</v>
      </c>
      <c r="E7" s="1417">
        <v>1.4607129999999999</v>
      </c>
      <c r="F7" s="1417">
        <v>2.145292</v>
      </c>
      <c r="G7" s="1417">
        <v>2.4077679999999999</v>
      </c>
      <c r="H7" s="1417">
        <v>1.6051789999999999</v>
      </c>
      <c r="I7" s="1356">
        <v>0.802589</v>
      </c>
    </row>
    <row r="8" spans="1:9" ht="12.75">
      <c r="A8" s="1418" t="s">
        <v>1150</v>
      </c>
      <c r="B8" s="1417">
        <v>-1.1412720000000001</v>
      </c>
      <c r="C8" s="1417">
        <v>-0.47312700000000002</v>
      </c>
      <c r="D8" s="1417">
        <v>-0.46347500000000003</v>
      </c>
      <c r="E8" s="1417">
        <v>0.60736999999999997</v>
      </c>
      <c r="F8" s="1417">
        <v>1.0592980000000001</v>
      </c>
      <c r="G8" s="1417">
        <v>1.1083069999999999</v>
      </c>
      <c r="H8" s="1417">
        <v>0.73887199999999997</v>
      </c>
      <c r="I8" s="1356">
        <v>0.36943599999999999</v>
      </c>
    </row>
    <row r="9" spans="1:9" ht="12.75">
      <c r="A9" s="1412" t="s">
        <v>1151</v>
      </c>
      <c r="B9" s="1341">
        <v>-0.31150299999999997</v>
      </c>
      <c r="C9" s="1341">
        <v>-0.25533</v>
      </c>
      <c r="D9" s="1341">
        <v>-0.212061</v>
      </c>
      <c r="E9" s="1341">
        <v>-3.8969999999999999E-3</v>
      </c>
      <c r="F9" s="1341">
        <v>0.19799900000000001</v>
      </c>
      <c r="G9" s="1341">
        <v>0.28992600000000002</v>
      </c>
      <c r="H9" s="1341">
        <v>0.19328400000000001</v>
      </c>
      <c r="I9" s="1356">
        <v>9.6642000000000006E-2</v>
      </c>
    </row>
    <row r="10" spans="1:9">
      <c r="A10" s="1413"/>
      <c r="F10" s="1414"/>
      <c r="G10" s="1414"/>
      <c r="H10" s="1414" t="s">
        <v>1152</v>
      </c>
    </row>
    <row r="13" spans="1:9">
      <c r="B13" s="1419"/>
      <c r="C13" s="1419"/>
      <c r="D13" s="1419"/>
      <c r="E13" s="1419"/>
      <c r="F13" s="1419"/>
    </row>
    <row r="14" spans="1:9">
      <c r="B14" s="1419"/>
      <c r="C14" s="1419"/>
      <c r="D14" s="1419"/>
      <c r="E14" s="1419"/>
      <c r="F14" s="1419"/>
    </row>
    <row r="17" spans="2:6">
      <c r="B17" s="1419"/>
      <c r="C17" s="1419"/>
      <c r="D17" s="1419"/>
      <c r="E17" s="1419"/>
      <c r="F17" s="1419"/>
    </row>
  </sheetData>
  <pageMargins left="0.25" right="0.25" top="0.75" bottom="0.75" header="0.3" footer="0.3"/>
  <pageSetup scale="46" fitToHeight="0" orientation="portrait" horizontalDpi="4294967294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showGridLines="0" workbookViewId="0"/>
  </sheetViews>
  <sheetFormatPr defaultRowHeight="12.75"/>
  <cols>
    <col min="1" max="1" width="29.85546875" style="1296" customWidth="1"/>
    <col min="2" max="10" width="7.140625" style="1296" customWidth="1"/>
    <col min="11" max="16384" width="9.140625" style="1296"/>
  </cols>
  <sheetData>
    <row r="1" spans="1:10">
      <c r="A1" s="1295" t="s">
        <v>1035</v>
      </c>
      <c r="B1" s="1295"/>
      <c r="C1" s="1295"/>
      <c r="D1" s="1295"/>
      <c r="E1" s="1295"/>
      <c r="F1" s="1295"/>
      <c r="G1" s="1295"/>
      <c r="H1" s="1295"/>
      <c r="I1" s="1295"/>
      <c r="J1" s="1295"/>
    </row>
    <row r="2" spans="1:10" ht="12.75" customHeight="1">
      <c r="A2" s="1297" t="s">
        <v>1036</v>
      </c>
      <c r="B2" s="1298" t="s">
        <v>1037</v>
      </c>
      <c r="C2" s="1481" t="s">
        <v>1038</v>
      </c>
      <c r="D2" s="1482"/>
      <c r="E2" s="1482"/>
      <c r="F2" s="1483"/>
      <c r="G2" s="1484" t="s">
        <v>1039</v>
      </c>
      <c r="H2" s="1484"/>
      <c r="I2" s="1484"/>
      <c r="J2" s="1485"/>
    </row>
    <row r="3" spans="1:10" ht="13.5" thickBot="1">
      <c r="A3" s="1299" t="s">
        <v>1040</v>
      </c>
      <c r="B3" s="1300">
        <v>2016</v>
      </c>
      <c r="C3" s="1301">
        <v>2017</v>
      </c>
      <c r="D3" s="1302">
        <v>2018</v>
      </c>
      <c r="E3" s="1302">
        <v>2019</v>
      </c>
      <c r="F3" s="1303">
        <v>2020</v>
      </c>
      <c r="G3" s="1304">
        <v>2017</v>
      </c>
      <c r="H3" s="1304">
        <v>2018</v>
      </c>
      <c r="I3" s="1304">
        <v>2019</v>
      </c>
      <c r="J3" s="1305">
        <v>2020</v>
      </c>
    </row>
    <row r="4" spans="1:10">
      <c r="A4" s="1306" t="s">
        <v>1041</v>
      </c>
      <c r="B4" s="1307">
        <v>3.3</v>
      </c>
      <c r="C4" s="1308">
        <v>3.3344437711642083</v>
      </c>
      <c r="D4" s="1308">
        <v>4.1662564708083938</v>
      </c>
      <c r="E4" s="1308">
        <v>4.3734515982513322</v>
      </c>
      <c r="F4" s="1309">
        <v>3.8783375877819326</v>
      </c>
      <c r="G4" s="1310">
        <v>-0.19739450292888261</v>
      </c>
      <c r="H4" s="1310">
        <v>0.29285201390782944</v>
      </c>
      <c r="I4" s="1310">
        <v>-1.7038927184320762E-2</v>
      </c>
      <c r="J4" s="1311" t="s">
        <v>1</v>
      </c>
    </row>
    <row r="5" spans="1:10">
      <c r="A5" s="1312" t="s">
        <v>1042</v>
      </c>
      <c r="B5" s="1313">
        <v>3.3</v>
      </c>
      <c r="C5" s="1314">
        <v>3.3</v>
      </c>
      <c r="D5" s="1314">
        <v>3.9</v>
      </c>
      <c r="E5" s="1314">
        <v>4.2</v>
      </c>
      <c r="F5" s="1315">
        <v>3.6500000000000004</v>
      </c>
      <c r="G5" s="1316">
        <v>-0.10000000000000009</v>
      </c>
      <c r="H5" s="1316">
        <v>0</v>
      </c>
      <c r="I5" s="1316">
        <v>4.9999999999999822E-2</v>
      </c>
      <c r="J5" s="1317" t="s">
        <v>1</v>
      </c>
    </row>
    <row r="6" spans="1:10">
      <c r="A6" s="1306" t="s">
        <v>1043</v>
      </c>
      <c r="B6" s="1318">
        <v>3.3</v>
      </c>
      <c r="C6" s="1319">
        <v>3.4</v>
      </c>
      <c r="D6" s="1319">
        <v>3.3</v>
      </c>
      <c r="E6" s="1319">
        <v>3.7</v>
      </c>
      <c r="F6" s="1320">
        <v>3.8</v>
      </c>
      <c r="G6" s="1316">
        <v>3.0000000000001137E-3</v>
      </c>
      <c r="H6" s="1316">
        <v>0</v>
      </c>
      <c r="I6" s="1316">
        <v>0.10000000000000009</v>
      </c>
      <c r="J6" s="1317">
        <v>-0.20000000000000018</v>
      </c>
    </row>
    <row r="7" spans="1:10">
      <c r="A7" s="1306" t="s">
        <v>1044</v>
      </c>
      <c r="B7" s="1318">
        <v>3.3</v>
      </c>
      <c r="C7" s="1319">
        <v>3.2703211678071256</v>
      </c>
      <c r="D7" s="1319">
        <v>3.8106746283554429</v>
      </c>
      <c r="E7" s="1319">
        <v>4.0126493978331013</v>
      </c>
      <c r="F7" s="1320">
        <v>3.0008036073646736</v>
      </c>
      <c r="G7" s="1316">
        <v>8.7312621336479879E-2</v>
      </c>
      <c r="H7" s="1316">
        <v>2.7807537965671258E-2</v>
      </c>
      <c r="I7" s="1316">
        <v>1.1326838352308641</v>
      </c>
      <c r="J7" s="1317">
        <v>0.33392519470255877</v>
      </c>
    </row>
    <row r="8" spans="1:10">
      <c r="A8" s="1321" t="s">
        <v>1045</v>
      </c>
      <c r="B8" s="1322">
        <v>3.3</v>
      </c>
      <c r="C8" s="1323">
        <v>3.3140839930000001</v>
      </c>
      <c r="D8" s="1323">
        <v>4.0567680214999999</v>
      </c>
      <c r="E8" s="1323" t="s">
        <v>1</v>
      </c>
      <c r="F8" s="1324" t="s">
        <v>1</v>
      </c>
      <c r="G8" s="1325">
        <v>-8.7916007000000018E-2</v>
      </c>
      <c r="H8" s="1325">
        <v>0.22976802149999997</v>
      </c>
      <c r="I8" s="1325" t="s">
        <v>1</v>
      </c>
      <c r="J8" s="1326" t="s">
        <v>1</v>
      </c>
    </row>
    <row r="9" spans="1:10" ht="13.5" thickBot="1">
      <c r="A9" s="1297" t="s">
        <v>1046</v>
      </c>
      <c r="B9" s="1300">
        <v>2016</v>
      </c>
      <c r="C9" s="1301">
        <v>2017</v>
      </c>
      <c r="D9" s="1302">
        <v>2018</v>
      </c>
      <c r="E9" s="1302">
        <v>2019</v>
      </c>
      <c r="F9" s="1303">
        <v>2020</v>
      </c>
      <c r="G9" s="1304">
        <v>2017</v>
      </c>
      <c r="H9" s="1304">
        <v>2018</v>
      </c>
      <c r="I9" s="1304">
        <v>2019</v>
      </c>
      <c r="J9" s="1305">
        <v>2020</v>
      </c>
    </row>
    <row r="10" spans="1:10">
      <c r="A10" s="1306" t="s">
        <v>1043</v>
      </c>
      <c r="B10" s="1327">
        <v>1.7929999999999999</v>
      </c>
      <c r="C10" s="1319">
        <v>2.145</v>
      </c>
      <c r="D10" s="1319">
        <v>1.94</v>
      </c>
      <c r="E10" s="1319">
        <v>1.665</v>
      </c>
      <c r="F10" s="1320">
        <v>1.649</v>
      </c>
      <c r="G10" s="1316">
        <v>0.63300000000000001</v>
      </c>
      <c r="H10" s="1316">
        <v>0.35399999999999987</v>
      </c>
      <c r="I10" s="1316">
        <v>0.13700000000000001</v>
      </c>
      <c r="J10" s="1317">
        <v>0.12800000000000011</v>
      </c>
    </row>
    <row r="11" spans="1:10">
      <c r="A11" s="1306" t="s">
        <v>1044</v>
      </c>
      <c r="B11" s="1327">
        <v>1.7929999999999999</v>
      </c>
      <c r="C11" s="1319">
        <v>2.2000000000000002</v>
      </c>
      <c r="D11" s="1319">
        <v>2.1</v>
      </c>
      <c r="E11" s="1319">
        <v>1.9</v>
      </c>
      <c r="F11" s="1320" t="s">
        <v>1</v>
      </c>
      <c r="G11" s="1316">
        <v>0.64742722721409063</v>
      </c>
      <c r="H11" s="1316">
        <v>0.36952168130815854</v>
      </c>
      <c r="I11" s="1316" t="s">
        <v>1</v>
      </c>
      <c r="J11" s="1317" t="s">
        <v>1</v>
      </c>
    </row>
    <row r="12" spans="1:10">
      <c r="A12" s="1321" t="s">
        <v>1045</v>
      </c>
      <c r="B12" s="1328">
        <v>1.7929999999999999</v>
      </c>
      <c r="C12" s="1323">
        <v>1.8360000000000001</v>
      </c>
      <c r="D12" s="1323">
        <v>1.79</v>
      </c>
      <c r="E12" s="1323" t="s">
        <v>1</v>
      </c>
      <c r="F12" s="1324" t="s">
        <v>1</v>
      </c>
      <c r="G12" s="1325">
        <v>0.26600000000000001</v>
      </c>
      <c r="H12" s="1325">
        <v>0.125</v>
      </c>
      <c r="I12" s="1325" t="s">
        <v>1</v>
      </c>
      <c r="J12" s="1326" t="s">
        <v>1</v>
      </c>
    </row>
    <row r="13" spans="1:10">
      <c r="A13" s="1486" t="s">
        <v>1047</v>
      </c>
      <c r="B13" s="1486"/>
      <c r="C13" s="1486"/>
      <c r="D13" s="1486"/>
      <c r="E13" s="1486"/>
      <c r="F13" s="1486"/>
      <c r="G13" s="1486"/>
      <c r="H13" s="1486"/>
      <c r="I13" s="1486"/>
      <c r="J13" s="1486"/>
    </row>
  </sheetData>
  <mergeCells count="3">
    <mergeCell ref="C2:F2"/>
    <mergeCell ref="G2:J2"/>
    <mergeCell ref="A13:J13"/>
  </mergeCells>
  <conditionalFormatting sqref="G4:J8 G10:J12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{1FCEA056-4D79-4AE4-A45A-7F9AAEAAC693}</x14:id>
        </ext>
      </extLst>
    </cfRule>
  </conditionalFormatting>
  <pageMargins left="0.25" right="0.25" top="0.75" bottom="0.75" header="0.3" footer="0.3"/>
  <pageSetup fitToHeight="0" orientation="portrait" horizontalDpi="4294967294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CEA056-4D79-4AE4-A45A-7F9AAEAAC69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G4:J8 G10:J12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zoomScale="90" zoomScaleNormal="90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5"/>
  <cols>
    <col min="1" max="1" width="30.85546875" style="1386" customWidth="1"/>
    <col min="2" max="16384" width="9.140625" style="1386"/>
  </cols>
  <sheetData>
    <row r="1" spans="1:9">
      <c r="A1" s="1403" t="s">
        <v>1328</v>
      </c>
    </row>
    <row r="2" spans="1:9">
      <c r="A2" s="1415"/>
      <c r="B2" s="1406">
        <v>2013</v>
      </c>
      <c r="C2" s="1406">
        <v>2014</v>
      </c>
      <c r="D2" s="1406">
        <v>2015</v>
      </c>
      <c r="E2" s="1406">
        <v>2016</v>
      </c>
      <c r="F2" s="1406">
        <v>2017</v>
      </c>
      <c r="G2" s="1406">
        <v>2018</v>
      </c>
      <c r="H2" s="1406">
        <v>2019</v>
      </c>
      <c r="I2" s="1406">
        <v>2020</v>
      </c>
    </row>
    <row r="3" spans="1:9">
      <c r="A3" s="1408" t="s">
        <v>1153</v>
      </c>
      <c r="B3" s="1420">
        <v>-4.3350350681967713E-3</v>
      </c>
      <c r="C3" s="1420">
        <v>7.3305090065520209E-3</v>
      </c>
      <c r="D3" s="1420">
        <v>1.1761064265670031E-2</v>
      </c>
      <c r="E3" s="1420">
        <v>1.3964457435988668E-2</v>
      </c>
      <c r="F3" s="1420">
        <v>1.6895127930211824E-2</v>
      </c>
      <c r="G3" s="1420">
        <v>1.501615924268291E-2</v>
      </c>
      <c r="H3" s="1420">
        <v>1.4569781658848127E-2</v>
      </c>
      <c r="I3" s="1420">
        <v>1.447162391130867E-2</v>
      </c>
    </row>
    <row r="4" spans="1:9">
      <c r="A4" s="1408" t="s">
        <v>1154</v>
      </c>
      <c r="B4" s="1420">
        <v>3.8975674535420613E-3</v>
      </c>
      <c r="C4" s="1420">
        <v>9.3852834626227902E-3</v>
      </c>
      <c r="D4" s="1420">
        <v>1.0073542289192121E-2</v>
      </c>
      <c r="E4" s="1420">
        <v>2.9701598291112124E-3</v>
      </c>
      <c r="F4" s="1420">
        <v>6.7737283874849349E-4</v>
      </c>
      <c r="G4" s="1420">
        <v>2.4134388982567511E-3</v>
      </c>
      <c r="H4" s="1420">
        <v>2.7737890801678025E-3</v>
      </c>
      <c r="I4" s="1420">
        <v>2.650745950106166E-3</v>
      </c>
    </row>
    <row r="5" spans="1:9">
      <c r="A5" s="1408" t="s">
        <v>1155</v>
      </c>
      <c r="B5" s="1420">
        <v>1.4906461212620403E-2</v>
      </c>
      <c r="C5" s="1420">
        <v>2.7503009623821573E-2</v>
      </c>
      <c r="D5" s="1420">
        <v>3.8500752800431082E-2</v>
      </c>
      <c r="E5" s="1420">
        <v>3.32469651293823E-2</v>
      </c>
      <c r="F5" s="1420">
        <v>3.3344437711642083E-2</v>
      </c>
      <c r="G5" s="1420">
        <v>4.1662564708083938E-2</v>
      </c>
      <c r="H5" s="1420">
        <v>4.3734515982513322E-2</v>
      </c>
      <c r="I5" s="1420">
        <v>3.8783375877819326E-2</v>
      </c>
    </row>
    <row r="6" spans="1:9">
      <c r="A6" s="1408" t="s">
        <v>1156</v>
      </c>
      <c r="B6" s="1420">
        <v>3.8536791167967845E-3</v>
      </c>
      <c r="C6" s="1420">
        <v>1.6870632906801422E-2</v>
      </c>
      <c r="D6" s="1420">
        <v>3.1788678261648717E-2</v>
      </c>
      <c r="E6" s="1420">
        <v>-8.6176468281255417E-3</v>
      </c>
      <c r="F6" s="1420">
        <v>1.0896611029892048E-2</v>
      </c>
      <c r="G6" s="1420">
        <v>8.2671097677353422E-3</v>
      </c>
      <c r="H6" s="1420">
        <v>6.1076360702764553E-3</v>
      </c>
      <c r="I6" s="1420">
        <v>6.4873576758808817E-3</v>
      </c>
    </row>
    <row r="7" spans="1:9">
      <c r="A7" s="1408" t="s">
        <v>1157</v>
      </c>
      <c r="B7" s="1420">
        <v>1.2665324533013923E-2</v>
      </c>
      <c r="C7" s="1420">
        <v>-5.0288268256175814E-3</v>
      </c>
      <c r="D7" s="1420">
        <v>-1.3570772065062769E-2</v>
      </c>
      <c r="E7" s="1420">
        <v>2.6191528246586021E-2</v>
      </c>
      <c r="F7" s="1420">
        <v>5.5826410719405223E-3</v>
      </c>
      <c r="G7" s="1420">
        <v>1.5706122856958854E-2</v>
      </c>
      <c r="H7" s="1420">
        <v>2.0258974339131548E-2</v>
      </c>
      <c r="I7" s="1420">
        <v>1.5161397561549821E-2</v>
      </c>
    </row>
    <row r="8" spans="1:9">
      <c r="A8" s="1412" t="s">
        <v>1158</v>
      </c>
      <c r="B8" s="1421"/>
      <c r="C8" s="1421">
        <v>2.7503009623821573E-2</v>
      </c>
      <c r="D8" s="1421">
        <v>3.5500752800431086E-2</v>
      </c>
      <c r="E8" s="1421">
        <v>3.0246965129382301E-2</v>
      </c>
      <c r="F8" s="1421">
        <v>3.2844437711642083E-2</v>
      </c>
      <c r="G8" s="1421">
        <v>3.6362564708083939E-2</v>
      </c>
      <c r="H8" s="1421">
        <v>3.4834515982513324E-2</v>
      </c>
      <c r="I8" s="1421">
        <v>3.4183375877819326E-2</v>
      </c>
    </row>
    <row r="9" spans="1:9" ht="13.5" customHeight="1">
      <c r="A9" s="1422" t="s">
        <v>1159</v>
      </c>
      <c r="B9" s="1421"/>
      <c r="C9" s="1421"/>
      <c r="D9" s="1421"/>
      <c r="E9" s="1421"/>
      <c r="F9" s="1421"/>
      <c r="G9" s="1421"/>
      <c r="H9" s="1421"/>
      <c r="I9" s="1421"/>
    </row>
    <row r="10" spans="1:9">
      <c r="I10" s="1414" t="s">
        <v>450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9"/>
  <sheetViews>
    <sheetView showGridLines="0" zoomScaleNormal="100" workbookViewId="0"/>
  </sheetViews>
  <sheetFormatPr defaultRowHeight="12"/>
  <cols>
    <col min="1" max="1" width="31.140625" style="1356" customWidth="1"/>
    <col min="2" max="6" width="7.28515625" style="1356" customWidth="1"/>
    <col min="7" max="239" width="9.140625" style="1356"/>
    <col min="240" max="240" width="18.140625" style="1356" customWidth="1"/>
    <col min="241" max="495" width="9.140625" style="1356"/>
    <col min="496" max="496" width="18.140625" style="1356" customWidth="1"/>
    <col min="497" max="751" width="9.140625" style="1356"/>
    <col min="752" max="752" width="18.140625" style="1356" customWidth="1"/>
    <col min="753" max="1007" width="9.140625" style="1356"/>
    <col min="1008" max="1008" width="18.140625" style="1356" customWidth="1"/>
    <col min="1009" max="1263" width="9.140625" style="1356"/>
    <col min="1264" max="1264" width="18.140625" style="1356" customWidth="1"/>
    <col min="1265" max="1519" width="9.140625" style="1356"/>
    <col min="1520" max="1520" width="18.140625" style="1356" customWidth="1"/>
    <col min="1521" max="1775" width="9.140625" style="1356"/>
    <col min="1776" max="1776" width="18.140625" style="1356" customWidth="1"/>
    <col min="1777" max="2031" width="9.140625" style="1356"/>
    <col min="2032" max="2032" width="18.140625" style="1356" customWidth="1"/>
    <col min="2033" max="2287" width="9.140625" style="1356"/>
    <col min="2288" max="2288" width="18.140625" style="1356" customWidth="1"/>
    <col min="2289" max="2543" width="9.140625" style="1356"/>
    <col min="2544" max="2544" width="18.140625" style="1356" customWidth="1"/>
    <col min="2545" max="2799" width="9.140625" style="1356"/>
    <col min="2800" max="2800" width="18.140625" style="1356" customWidth="1"/>
    <col min="2801" max="3055" width="9.140625" style="1356"/>
    <col min="3056" max="3056" width="18.140625" style="1356" customWidth="1"/>
    <col min="3057" max="3311" width="9.140625" style="1356"/>
    <col min="3312" max="3312" width="18.140625" style="1356" customWidth="1"/>
    <col min="3313" max="3567" width="9.140625" style="1356"/>
    <col min="3568" max="3568" width="18.140625" style="1356" customWidth="1"/>
    <col min="3569" max="3823" width="9.140625" style="1356"/>
    <col min="3824" max="3824" width="18.140625" style="1356" customWidth="1"/>
    <col min="3825" max="4079" width="9.140625" style="1356"/>
    <col min="4080" max="4080" width="18.140625" style="1356" customWidth="1"/>
    <col min="4081" max="4335" width="9.140625" style="1356"/>
    <col min="4336" max="4336" width="18.140625" style="1356" customWidth="1"/>
    <col min="4337" max="4591" width="9.140625" style="1356"/>
    <col min="4592" max="4592" width="18.140625" style="1356" customWidth="1"/>
    <col min="4593" max="4847" width="9.140625" style="1356"/>
    <col min="4848" max="4848" width="18.140625" style="1356" customWidth="1"/>
    <col min="4849" max="5103" width="9.140625" style="1356"/>
    <col min="5104" max="5104" width="18.140625" style="1356" customWidth="1"/>
    <col min="5105" max="5359" width="9.140625" style="1356"/>
    <col min="5360" max="5360" width="18.140625" style="1356" customWidth="1"/>
    <col min="5361" max="5615" width="9.140625" style="1356"/>
    <col min="5616" max="5616" width="18.140625" style="1356" customWidth="1"/>
    <col min="5617" max="5871" width="9.140625" style="1356"/>
    <col min="5872" max="5872" width="18.140625" style="1356" customWidth="1"/>
    <col min="5873" max="6127" width="9.140625" style="1356"/>
    <col min="6128" max="6128" width="18.140625" style="1356" customWidth="1"/>
    <col min="6129" max="6383" width="9.140625" style="1356"/>
    <col min="6384" max="6384" width="18.140625" style="1356" customWidth="1"/>
    <col min="6385" max="6639" width="9.140625" style="1356"/>
    <col min="6640" max="6640" width="18.140625" style="1356" customWidth="1"/>
    <col min="6641" max="6895" width="9.140625" style="1356"/>
    <col min="6896" max="6896" width="18.140625" style="1356" customWidth="1"/>
    <col min="6897" max="7151" width="9.140625" style="1356"/>
    <col min="7152" max="7152" width="18.140625" style="1356" customWidth="1"/>
    <col min="7153" max="7407" width="9.140625" style="1356"/>
    <col min="7408" max="7408" width="18.140625" style="1356" customWidth="1"/>
    <col min="7409" max="7663" width="9.140625" style="1356"/>
    <col min="7664" max="7664" width="18.140625" style="1356" customWidth="1"/>
    <col min="7665" max="7919" width="9.140625" style="1356"/>
    <col min="7920" max="7920" width="18.140625" style="1356" customWidth="1"/>
    <col min="7921" max="8175" width="9.140625" style="1356"/>
    <col min="8176" max="8176" width="18.140625" style="1356" customWidth="1"/>
    <col min="8177" max="8431" width="9.140625" style="1356"/>
    <col min="8432" max="8432" width="18.140625" style="1356" customWidth="1"/>
    <col min="8433" max="8687" width="9.140625" style="1356"/>
    <col min="8688" max="8688" width="18.140625" style="1356" customWidth="1"/>
    <col min="8689" max="8943" width="9.140625" style="1356"/>
    <col min="8944" max="8944" width="18.140625" style="1356" customWidth="1"/>
    <col min="8945" max="9199" width="9.140625" style="1356"/>
    <col min="9200" max="9200" width="18.140625" style="1356" customWidth="1"/>
    <col min="9201" max="9455" width="9.140625" style="1356"/>
    <col min="9456" max="9456" width="18.140625" style="1356" customWidth="1"/>
    <col min="9457" max="9711" width="9.140625" style="1356"/>
    <col min="9712" max="9712" width="18.140625" style="1356" customWidth="1"/>
    <col min="9713" max="9967" width="9.140625" style="1356"/>
    <col min="9968" max="9968" width="18.140625" style="1356" customWidth="1"/>
    <col min="9969" max="10223" width="9.140625" style="1356"/>
    <col min="10224" max="10224" width="18.140625" style="1356" customWidth="1"/>
    <col min="10225" max="10479" width="9.140625" style="1356"/>
    <col min="10480" max="10480" width="18.140625" style="1356" customWidth="1"/>
    <col min="10481" max="10735" width="9.140625" style="1356"/>
    <col min="10736" max="10736" width="18.140625" style="1356" customWidth="1"/>
    <col min="10737" max="10991" width="9.140625" style="1356"/>
    <col min="10992" max="10992" width="18.140625" style="1356" customWidth="1"/>
    <col min="10993" max="11247" width="9.140625" style="1356"/>
    <col min="11248" max="11248" width="18.140625" style="1356" customWidth="1"/>
    <col min="11249" max="11503" width="9.140625" style="1356"/>
    <col min="11504" max="11504" width="18.140625" style="1356" customWidth="1"/>
    <col min="11505" max="11759" width="9.140625" style="1356"/>
    <col min="11760" max="11760" width="18.140625" style="1356" customWidth="1"/>
    <col min="11761" max="12015" width="9.140625" style="1356"/>
    <col min="12016" max="12016" width="18.140625" style="1356" customWidth="1"/>
    <col min="12017" max="12271" width="9.140625" style="1356"/>
    <col min="12272" max="12272" width="18.140625" style="1356" customWidth="1"/>
    <col min="12273" max="12527" width="9.140625" style="1356"/>
    <col min="12528" max="12528" width="18.140625" style="1356" customWidth="1"/>
    <col min="12529" max="12783" width="9.140625" style="1356"/>
    <col min="12784" max="12784" width="18.140625" style="1356" customWidth="1"/>
    <col min="12785" max="13039" width="9.140625" style="1356"/>
    <col min="13040" max="13040" width="18.140625" style="1356" customWidth="1"/>
    <col min="13041" max="13295" width="9.140625" style="1356"/>
    <col min="13296" max="13296" width="18.140625" style="1356" customWidth="1"/>
    <col min="13297" max="13551" width="9.140625" style="1356"/>
    <col min="13552" max="13552" width="18.140625" style="1356" customWidth="1"/>
    <col min="13553" max="13807" width="9.140625" style="1356"/>
    <col min="13808" max="13808" width="18.140625" style="1356" customWidth="1"/>
    <col min="13809" max="14063" width="9.140625" style="1356"/>
    <col min="14064" max="14064" width="18.140625" style="1356" customWidth="1"/>
    <col min="14065" max="14319" width="9.140625" style="1356"/>
    <col min="14320" max="14320" width="18.140625" style="1356" customWidth="1"/>
    <col min="14321" max="14575" width="9.140625" style="1356"/>
    <col min="14576" max="14576" width="18.140625" style="1356" customWidth="1"/>
    <col min="14577" max="14831" width="9.140625" style="1356"/>
    <col min="14832" max="14832" width="18.140625" style="1356" customWidth="1"/>
    <col min="14833" max="15087" width="9.140625" style="1356"/>
    <col min="15088" max="15088" width="18.140625" style="1356" customWidth="1"/>
    <col min="15089" max="15343" width="9.140625" style="1356"/>
    <col min="15344" max="15344" width="18.140625" style="1356" customWidth="1"/>
    <col min="15345" max="15599" width="9.140625" style="1356"/>
    <col min="15600" max="15600" width="18.140625" style="1356" customWidth="1"/>
    <col min="15601" max="15855" width="9.140625" style="1356"/>
    <col min="15856" max="15856" width="18.140625" style="1356" customWidth="1"/>
    <col min="15857" max="16111" width="9.140625" style="1356"/>
    <col min="16112" max="16112" width="18.140625" style="1356" customWidth="1"/>
    <col min="16113" max="16384" width="9.140625" style="1356"/>
  </cols>
  <sheetData>
    <row r="1" spans="1:22" ht="12.75">
      <c r="A1" s="1403" t="s">
        <v>1160</v>
      </c>
    </row>
    <row r="2" spans="1:22" ht="12.75">
      <c r="A2" s="1415" t="s">
        <v>1161</v>
      </c>
      <c r="B2" s="1406">
        <v>2000</v>
      </c>
      <c r="C2" s="1406">
        <v>2001</v>
      </c>
      <c r="D2" s="1406">
        <v>2002</v>
      </c>
      <c r="E2" s="1406">
        <v>2003</v>
      </c>
      <c r="F2" s="1406">
        <v>2004</v>
      </c>
      <c r="G2" s="1406">
        <v>2005</v>
      </c>
      <c r="H2" s="1406">
        <v>2006</v>
      </c>
      <c r="I2" s="1406">
        <v>2007</v>
      </c>
      <c r="J2" s="1406">
        <v>2008</v>
      </c>
      <c r="K2" s="1406">
        <v>2009</v>
      </c>
      <c r="L2" s="1406">
        <v>2010</v>
      </c>
      <c r="M2" s="1406">
        <v>2011</v>
      </c>
      <c r="N2" s="1406">
        <v>2012</v>
      </c>
      <c r="O2" s="1406">
        <v>2013</v>
      </c>
      <c r="P2" s="1406">
        <v>2014</v>
      </c>
      <c r="Q2" s="1406">
        <v>2015</v>
      </c>
      <c r="R2" s="1406">
        <v>2016</v>
      </c>
      <c r="S2" s="1406">
        <v>2017</v>
      </c>
      <c r="T2" s="1406">
        <v>2018</v>
      </c>
      <c r="U2" s="1406">
        <v>2019</v>
      </c>
      <c r="V2" s="1406">
        <v>2020</v>
      </c>
    </row>
    <row r="3" spans="1:22" ht="12.75">
      <c r="A3" s="1423" t="s">
        <v>1162</v>
      </c>
      <c r="B3" s="1417">
        <v>-1.3403964179323296</v>
      </c>
      <c r="C3" s="1417">
        <v>-1.0846795864358085</v>
      </c>
      <c r="D3" s="1417">
        <v>-0.99348297286372045</v>
      </c>
      <c r="E3" s="1417">
        <v>-0.74983636488363381</v>
      </c>
      <c r="F3" s="1417">
        <v>-1.0358869562702955</v>
      </c>
      <c r="G3" s="1417">
        <v>-0.68234073004500206</v>
      </c>
      <c r="H3" s="1417">
        <v>0.67943427249180699</v>
      </c>
      <c r="I3" s="1417">
        <v>3.4052381703396617</v>
      </c>
      <c r="J3" s="1417">
        <v>3.6349073452110212</v>
      </c>
      <c r="K3" s="1417">
        <v>-3.1077113835223376</v>
      </c>
      <c r="L3" s="1417">
        <v>-0.93882694959056023</v>
      </c>
      <c r="M3" s="1417">
        <v>-0.56513608600844512</v>
      </c>
      <c r="N3" s="1417">
        <v>-1.027275097787437</v>
      </c>
      <c r="O3" s="1417">
        <v>-1.571795011257995</v>
      </c>
      <c r="P3" s="1417">
        <v>-1.0101222626670623</v>
      </c>
      <c r="Q3" s="1417">
        <v>-0.20198844470225594</v>
      </c>
      <c r="R3" s="1417">
        <v>0.15202482434424647</v>
      </c>
      <c r="S3" s="1417">
        <v>0.52175554039024741</v>
      </c>
      <c r="T3" s="1417">
        <v>0.83201056236194548</v>
      </c>
      <c r="U3" s="1417">
        <v>1.0095020270174031</v>
      </c>
      <c r="V3" s="1417">
        <v>0.60126887606129442</v>
      </c>
    </row>
    <row r="4" spans="1:22" ht="12.75">
      <c r="A4" s="1424" t="s">
        <v>1163</v>
      </c>
      <c r="B4" s="1341">
        <v>-1.3287960600396604</v>
      </c>
      <c r="C4" s="1341">
        <v>-1.3503859443255672</v>
      </c>
      <c r="D4" s="1341">
        <v>-1.1251347827135303</v>
      </c>
      <c r="E4" s="1341">
        <v>-0.66158016512855411</v>
      </c>
      <c r="F4" s="1341">
        <v>-1.3264983456888684</v>
      </c>
      <c r="G4" s="1341">
        <v>-1.7628294460214422</v>
      </c>
      <c r="H4" s="1341">
        <v>-1.1260288491925134</v>
      </c>
      <c r="I4" s="1341">
        <v>2.1611949793378669</v>
      </c>
      <c r="J4" s="1341">
        <v>2.4331977154343649</v>
      </c>
      <c r="K4" s="1341">
        <v>-4.4903640946039252</v>
      </c>
      <c r="L4" s="1341">
        <v>-1.0377285646708476</v>
      </c>
      <c r="M4" s="1341">
        <v>-0.79757498961619122</v>
      </c>
      <c r="N4" s="1341">
        <v>-1.1492135150198222</v>
      </c>
      <c r="O4" s="1341">
        <v>-1.9531714805497817</v>
      </c>
      <c r="P4" s="1341">
        <v>-1.5715085583752106</v>
      </c>
      <c r="Q4" s="1341">
        <v>-0.75531757863283056</v>
      </c>
      <c r="R4" s="1341">
        <v>-0.20997029082948238</v>
      </c>
      <c r="S4" s="1341">
        <v>0.1538964153457161</v>
      </c>
      <c r="T4" s="1341">
        <v>0.76466660384759766</v>
      </c>
      <c r="U4" s="1341">
        <v>1.3475754184047233</v>
      </c>
      <c r="V4" s="1341">
        <v>1.3407115494943964</v>
      </c>
    </row>
    <row r="5" spans="1:22">
      <c r="A5" s="1413"/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19"/>
      <c r="N5" s="1419"/>
      <c r="O5" s="1419"/>
      <c r="P5" s="1419"/>
      <c r="Q5" s="1419"/>
      <c r="R5" s="1419"/>
      <c r="S5" s="1419"/>
      <c r="T5" s="1419"/>
      <c r="U5" s="1419"/>
      <c r="V5" s="1414" t="s">
        <v>1164</v>
      </c>
    </row>
    <row r="6" spans="1:22">
      <c r="B6" s="1419"/>
      <c r="C6" s="1419"/>
      <c r="D6" s="1419"/>
      <c r="E6" s="1419"/>
      <c r="F6" s="1419"/>
    </row>
    <row r="9" spans="1:22">
      <c r="B9" s="1419"/>
      <c r="C9" s="1419"/>
      <c r="D9" s="1419"/>
      <c r="E9" s="1419"/>
      <c r="F9" s="1419"/>
    </row>
    <row r="10" spans="1:22">
      <c r="B10" s="1419"/>
      <c r="C10" s="1419"/>
      <c r="D10" s="1419"/>
      <c r="E10" s="1419"/>
      <c r="F10" s="1419"/>
    </row>
    <row r="15" spans="1:22">
      <c r="B15" s="1419"/>
      <c r="C15" s="1419"/>
      <c r="D15" s="1419"/>
      <c r="E15" s="1419"/>
      <c r="F15" s="1419"/>
    </row>
    <row r="16" spans="1:22">
      <c r="B16" s="1419"/>
      <c r="C16" s="1419"/>
      <c r="D16" s="1419"/>
      <c r="E16" s="1419"/>
      <c r="F16" s="1419"/>
    </row>
    <row r="19" spans="2:6">
      <c r="B19" s="1419"/>
      <c r="C19" s="1419"/>
      <c r="D19" s="1419"/>
      <c r="E19" s="1419"/>
      <c r="F19" s="1419"/>
    </row>
  </sheetData>
  <pageMargins left="0.25" right="0.25" top="0.75" bottom="0.75" header="0.3" footer="0.3"/>
  <pageSetup scale="46" fitToHeight="0" orientation="portrait" horizontalDpi="4294967294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28"/>
  <sheetViews>
    <sheetView showGridLines="0" zoomScaleNormal="100" workbookViewId="0">
      <pane xSplit="1" ySplit="1" topLeftCell="AJ2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2.75"/>
  <cols>
    <col min="1" max="1" width="50.28515625" style="1426" customWidth="1"/>
    <col min="2" max="60" width="7.5703125" style="1426" customWidth="1"/>
    <col min="61" max="16384" width="9.140625" style="1426"/>
  </cols>
  <sheetData>
    <row r="1" spans="1:60" s="1425" customFormat="1">
      <c r="A1" s="1403" t="s">
        <v>1165</v>
      </c>
    </row>
    <row r="2" spans="1:60">
      <c r="A2" s="1415"/>
      <c r="B2" s="1406" t="s">
        <v>1166</v>
      </c>
      <c r="C2" s="1406" t="s">
        <v>1167</v>
      </c>
      <c r="D2" s="1406" t="s">
        <v>1168</v>
      </c>
      <c r="E2" s="1406" t="s">
        <v>1169</v>
      </c>
      <c r="F2" s="1406" t="s">
        <v>1170</v>
      </c>
      <c r="G2" s="1406" t="s">
        <v>1171</v>
      </c>
      <c r="H2" s="1406" t="s">
        <v>1172</v>
      </c>
      <c r="I2" s="1406" t="s">
        <v>1173</v>
      </c>
      <c r="J2" s="1406" t="s">
        <v>1174</v>
      </c>
      <c r="K2" s="1406" t="s">
        <v>1175</v>
      </c>
      <c r="L2" s="1406" t="s">
        <v>1176</v>
      </c>
      <c r="M2" s="1406" t="s">
        <v>1177</v>
      </c>
      <c r="N2" s="1406" t="s">
        <v>1178</v>
      </c>
      <c r="O2" s="1406" t="s">
        <v>1179</v>
      </c>
      <c r="P2" s="1406" t="s">
        <v>1180</v>
      </c>
      <c r="Q2" s="1406" t="s">
        <v>1181</v>
      </c>
      <c r="R2" s="1406" t="s">
        <v>1182</v>
      </c>
      <c r="S2" s="1406" t="s">
        <v>1183</v>
      </c>
      <c r="T2" s="1406" t="s">
        <v>1184</v>
      </c>
      <c r="U2" s="1406" t="s">
        <v>1185</v>
      </c>
      <c r="V2" s="1406" t="s">
        <v>1186</v>
      </c>
      <c r="W2" s="1406" t="s">
        <v>1187</v>
      </c>
      <c r="X2" s="1406" t="s">
        <v>1188</v>
      </c>
      <c r="Y2" s="1406" t="s">
        <v>1189</v>
      </c>
      <c r="Z2" s="1406" t="s">
        <v>1190</v>
      </c>
      <c r="AA2" s="1406" t="s">
        <v>1191</v>
      </c>
      <c r="AB2" s="1406" t="s">
        <v>1192</v>
      </c>
      <c r="AC2" s="1406" t="s">
        <v>1193</v>
      </c>
      <c r="AD2" s="1406" t="s">
        <v>1194</v>
      </c>
      <c r="AE2" s="1406" t="s">
        <v>1195</v>
      </c>
      <c r="AF2" s="1406" t="s">
        <v>1196</v>
      </c>
      <c r="AG2" s="1406" t="s">
        <v>1197</v>
      </c>
      <c r="AH2" s="1406" t="s">
        <v>1198</v>
      </c>
      <c r="AI2" s="1406" t="s">
        <v>1199</v>
      </c>
      <c r="AJ2" s="1406" t="s">
        <v>1200</v>
      </c>
      <c r="AK2" s="1406" t="s">
        <v>1201</v>
      </c>
      <c r="AL2" s="1406" t="s">
        <v>1202</v>
      </c>
      <c r="AM2" s="1406" t="s">
        <v>1203</v>
      </c>
      <c r="AN2" s="1406" t="s">
        <v>1204</v>
      </c>
      <c r="AO2" s="1406" t="s">
        <v>1205</v>
      </c>
      <c r="AP2" s="1406" t="s">
        <v>1206</v>
      </c>
      <c r="AQ2" s="1406" t="s">
        <v>1207</v>
      </c>
      <c r="AR2" s="1406" t="s">
        <v>1208</v>
      </c>
      <c r="AS2" s="1406" t="s">
        <v>1209</v>
      </c>
      <c r="AT2" s="1406" t="s">
        <v>1210</v>
      </c>
      <c r="AU2" s="1406" t="s">
        <v>1211</v>
      </c>
      <c r="AV2" s="1406" t="s">
        <v>1212</v>
      </c>
      <c r="AW2" s="1406" t="s">
        <v>1213</v>
      </c>
      <c r="AX2" s="1406" t="s">
        <v>1214</v>
      </c>
      <c r="AY2" s="1406" t="s">
        <v>1215</v>
      </c>
      <c r="AZ2" s="1406" t="s">
        <v>1216</v>
      </c>
      <c r="BA2" s="1406" t="s">
        <v>1217</v>
      </c>
      <c r="BB2" s="1406" t="s">
        <v>1218</v>
      </c>
      <c r="BC2" s="1406" t="s">
        <v>1219</v>
      </c>
      <c r="BD2" s="1406" t="s">
        <v>1220</v>
      </c>
      <c r="BE2" s="1406" t="s">
        <v>1221</v>
      </c>
      <c r="BF2" s="1406" t="s">
        <v>1222</v>
      </c>
      <c r="BG2" s="1406" t="s">
        <v>1223</v>
      </c>
      <c r="BH2" s="1406" t="s">
        <v>1224</v>
      </c>
    </row>
    <row r="3" spans="1:60">
      <c r="A3" s="1416" t="s">
        <v>1225</v>
      </c>
      <c r="B3" s="1417"/>
      <c r="C3" s="1417"/>
      <c r="D3" s="1417"/>
      <c r="E3" s="1417"/>
      <c r="F3" s="1417">
        <v>4.3045125127382136</v>
      </c>
      <c r="G3" s="1417">
        <v>4.0393275843998593</v>
      </c>
      <c r="H3" s="1417">
        <v>4.1798485218910164</v>
      </c>
      <c r="I3" s="1417">
        <v>4.8031018214325112</v>
      </c>
      <c r="J3" s="1417">
        <v>4.9069598693861218</v>
      </c>
      <c r="K3" s="1417">
        <v>5.1271215987801266</v>
      </c>
      <c r="L3" s="1417">
        <v>5.6601561191998826</v>
      </c>
      <c r="M3" s="1417">
        <v>5.6394888998079198</v>
      </c>
      <c r="N3" s="1417">
        <v>5.7848317003252951</v>
      </c>
      <c r="O3" s="1417">
        <v>6.9901601062904941</v>
      </c>
      <c r="P3" s="1417">
        <v>7.211397271041518</v>
      </c>
      <c r="Q3" s="1417">
        <v>7.5519382685997698</v>
      </c>
      <c r="R3" s="1417">
        <v>7.9549358224466191</v>
      </c>
      <c r="S3" s="1417">
        <v>8.2305350459897184</v>
      </c>
      <c r="T3" s="1417">
        <v>8.4804051606590782</v>
      </c>
      <c r="U3" s="1417">
        <v>8.6047650334093344</v>
      </c>
      <c r="V3" s="1417">
        <v>10.655017504171324</v>
      </c>
      <c r="W3" s="1417">
        <v>9.6506667455535808</v>
      </c>
      <c r="X3" s="1417">
        <v>9.3858469499970667</v>
      </c>
      <c r="Y3" s="1417">
        <v>8.3844275954112479</v>
      </c>
      <c r="Z3" s="1417">
        <v>7.7193493505938866</v>
      </c>
      <c r="AA3" s="1417">
        <v>6.8273128133088621</v>
      </c>
      <c r="AB3" s="1417">
        <v>6.0097748584352626</v>
      </c>
      <c r="AC3" s="1417">
        <v>5.4382622909090612</v>
      </c>
      <c r="AD3" s="1417">
        <v>4.9373232905332163</v>
      </c>
      <c r="AE3" s="1417">
        <v>4.8676621131825808</v>
      </c>
      <c r="AF3" s="1417">
        <v>5.0651169193130929</v>
      </c>
      <c r="AG3" s="1417">
        <v>5.2065504942330572</v>
      </c>
      <c r="AH3" s="1417">
        <v>5.3593156317252992</v>
      </c>
      <c r="AI3" s="1417">
        <v>5.3808091636438764</v>
      </c>
      <c r="AJ3" s="1417">
        <v>5.3848440596501925</v>
      </c>
      <c r="AK3" s="1417">
        <v>5.2546103047945385</v>
      </c>
      <c r="AL3" s="1417">
        <v>5.2952932285677132</v>
      </c>
      <c r="AM3" s="1417">
        <v>5.2817746583316163</v>
      </c>
      <c r="AN3" s="1417">
        <v>5.0744686167965103</v>
      </c>
      <c r="AO3" s="1417">
        <v>5.2321527423554253</v>
      </c>
      <c r="AP3" s="1417">
        <v>5.4501587402280904</v>
      </c>
      <c r="AQ3" s="1417">
        <v>5.414989731860433</v>
      </c>
      <c r="AR3" s="1417">
        <v>5.7962018958768464</v>
      </c>
      <c r="AS3" s="1417">
        <v>5.5949067070487795</v>
      </c>
      <c r="AT3" s="1417">
        <v>5.8143610483095518</v>
      </c>
      <c r="AU3" s="1417">
        <v>6.1007733507413606</v>
      </c>
      <c r="AV3" s="1417">
        <v>5.7919778654147391</v>
      </c>
      <c r="AW3" s="1417">
        <v>5.9493105987720396</v>
      </c>
      <c r="AX3" s="1417">
        <v>6.130160364662264</v>
      </c>
      <c r="AY3" s="1417">
        <v>6.0069512613696965</v>
      </c>
      <c r="AZ3" s="1417">
        <v>6.4978202813039303</v>
      </c>
      <c r="BA3" s="1417">
        <v>6.8796443445775148</v>
      </c>
      <c r="BB3" s="1417">
        <v>7.1410466033043392</v>
      </c>
      <c r="BC3" s="1417">
        <v>7.4112668687670036</v>
      </c>
      <c r="BD3" s="1417">
        <v>7.4448296205727198</v>
      </c>
      <c r="BE3" s="1417">
        <v>7.3734739676698773</v>
      </c>
      <c r="BF3" s="1417">
        <v>7.152869980183322</v>
      </c>
      <c r="BG3" s="1417">
        <v>7.3113622197241286</v>
      </c>
      <c r="BH3" s="1417"/>
    </row>
    <row r="4" spans="1:60">
      <c r="A4" s="1416" t="s">
        <v>1226</v>
      </c>
      <c r="B4" s="1417">
        <v>18.114419079336553</v>
      </c>
      <c r="C4" s="1417">
        <v>17.255965854336498</v>
      </c>
      <c r="D4" s="1417">
        <v>16.661890845902988</v>
      </c>
      <c r="E4" s="1417">
        <v>16.666203026073209</v>
      </c>
      <c r="F4" s="1417">
        <v>17.188215874890435</v>
      </c>
      <c r="G4" s="1417">
        <v>16.580080076436815</v>
      </c>
      <c r="H4" s="1417">
        <v>15.630668291795791</v>
      </c>
      <c r="I4" s="1417">
        <v>14.833983737951591</v>
      </c>
      <c r="J4" s="1417">
        <v>14.149281392046044</v>
      </c>
      <c r="K4" s="1417">
        <v>13.109980509301268</v>
      </c>
      <c r="L4" s="1417">
        <v>12.723065491678559</v>
      </c>
      <c r="M4" s="1417">
        <v>12.671761003407093</v>
      </c>
      <c r="N4" s="1417">
        <v>12.662450807478132</v>
      </c>
      <c r="O4" s="1417">
        <v>12.07895627268141</v>
      </c>
      <c r="P4" s="1417">
        <v>11.334483298909413</v>
      </c>
      <c r="Q4" s="1417">
        <v>10.69186819245062</v>
      </c>
      <c r="R4" s="1417">
        <v>10.049223423868019</v>
      </c>
      <c r="S4" s="1417">
        <v>9.6913327352219376</v>
      </c>
      <c r="T4" s="1417">
        <v>9.577007663613939</v>
      </c>
      <c r="U4" s="1417">
        <v>9.2715231436760455</v>
      </c>
      <c r="V4" s="1417">
        <v>8.6797147592426853</v>
      </c>
      <c r="W4" s="1417">
        <v>8.6102586404019856</v>
      </c>
      <c r="X4" s="1417">
        <v>8.7996464489058024</v>
      </c>
      <c r="Y4" s="1417">
        <v>9.2550684065006337</v>
      </c>
      <c r="Z4" s="1417">
        <v>10.607480276567209</v>
      </c>
      <c r="AA4" s="1417">
        <v>12.763640633021657</v>
      </c>
      <c r="AB4" s="1417">
        <v>13.709897765997063</v>
      </c>
      <c r="AC4" s="1417">
        <v>14.251211413722109</v>
      </c>
      <c r="AD4" s="1417">
        <v>14.311851777304625</v>
      </c>
      <c r="AE4" s="1417">
        <v>14.153626493909769</v>
      </c>
      <c r="AF4" s="1417">
        <v>14.095244911660691</v>
      </c>
      <c r="AG4" s="1417">
        <v>14.117215353066234</v>
      </c>
      <c r="AH4" s="1417">
        <v>14.383778197939906</v>
      </c>
      <c r="AI4" s="1417">
        <v>14.442152811382302</v>
      </c>
      <c r="AJ4" s="1417">
        <v>14.675673745016688</v>
      </c>
      <c r="AK4" s="1417">
        <v>14.851395604775268</v>
      </c>
      <c r="AL4" s="1417">
        <v>14.809614549250064</v>
      </c>
      <c r="AM4" s="1417">
        <v>14.75041986903638</v>
      </c>
      <c r="AN4" s="1417">
        <v>14.981946187406878</v>
      </c>
      <c r="AO4" s="1417">
        <v>15.535931388470585</v>
      </c>
      <c r="AP4" s="1417">
        <v>15.770025325571346</v>
      </c>
      <c r="AQ4" s="1417">
        <v>15.613797810480094</v>
      </c>
      <c r="AR4" s="1417">
        <v>15.21955908036513</v>
      </c>
      <c r="AS4" s="1417">
        <v>14.882049148902894</v>
      </c>
      <c r="AT4" s="1417">
        <v>14.550081574493694</v>
      </c>
      <c r="AU4" s="1417">
        <v>14.445591565076391</v>
      </c>
      <c r="AV4" s="1417">
        <v>14.236336429380616</v>
      </c>
      <c r="AW4" s="1417">
        <v>13.911474902418851</v>
      </c>
      <c r="AX4" s="1417">
        <v>13.654669042061398</v>
      </c>
      <c r="AY4" s="1417">
        <v>13.296278586017905</v>
      </c>
      <c r="AZ4" s="1417">
        <v>13.045877853989404</v>
      </c>
      <c r="BA4" s="1417">
        <v>12.562480854917922</v>
      </c>
      <c r="BB4" s="1417">
        <v>11.736627612581627</v>
      </c>
      <c r="BC4" s="1417">
        <v>11.309328742338108</v>
      </c>
      <c r="BD4" s="1417">
        <v>10.963410221437178</v>
      </c>
      <c r="BE4" s="1417">
        <v>10.309756007554631</v>
      </c>
      <c r="BF4" s="1417">
        <v>9.5461385117785067</v>
      </c>
      <c r="BG4" s="1417">
        <v>8.7759301023568614</v>
      </c>
      <c r="BH4" s="1417">
        <v>7.8227050257128212</v>
      </c>
    </row>
    <row r="5" spans="1:60">
      <c r="A5" s="1427" t="s">
        <v>1227</v>
      </c>
      <c r="B5" s="1341">
        <v>2.0579478105512257</v>
      </c>
      <c r="C5" s="1341">
        <v>2.3357937127014408</v>
      </c>
      <c r="D5" s="1341">
        <v>1.6719007694225452</v>
      </c>
      <c r="E5" s="1341">
        <v>2.2111261841580578</v>
      </c>
      <c r="F5" s="1341">
        <v>0.37927961921573144</v>
      </c>
      <c r="G5" s="1341">
        <v>0.50955770033441405</v>
      </c>
      <c r="H5" s="1341">
        <v>1.338758685526684</v>
      </c>
      <c r="I5" s="1341">
        <v>1.0401625069468408</v>
      </c>
      <c r="J5" s="1341">
        <v>1.7572048438309311</v>
      </c>
      <c r="K5" s="1341">
        <v>1.848174519837734</v>
      </c>
      <c r="L5" s="1341">
        <v>2.0281396208552112</v>
      </c>
      <c r="M5" s="1341">
        <v>1.7562315129554857</v>
      </c>
      <c r="N5" s="1341">
        <v>2.9610914620797173</v>
      </c>
      <c r="O5" s="1341">
        <v>3.3212340961409144</v>
      </c>
      <c r="P5" s="1341">
        <v>5.0152009477864192</v>
      </c>
      <c r="Q5" s="1341">
        <v>5.6832577499487593</v>
      </c>
      <c r="R5" s="1341">
        <v>7.2845908702486515</v>
      </c>
      <c r="S5" s="1341">
        <v>6.8982736197732653</v>
      </c>
      <c r="T5" s="1341">
        <v>11.333227392056472</v>
      </c>
      <c r="U5" s="1341">
        <v>10.157729008383043</v>
      </c>
      <c r="V5" s="1341">
        <v>12.168253287764493</v>
      </c>
      <c r="W5" s="1341">
        <v>11.464739643157863</v>
      </c>
      <c r="X5" s="1341">
        <v>11.354092984154565</v>
      </c>
      <c r="Y5" s="1341">
        <v>8.2759088887250556</v>
      </c>
      <c r="Z5" s="1341">
        <v>4.0420005479870511</v>
      </c>
      <c r="AA5" s="1341">
        <v>3.9344161482713957</v>
      </c>
      <c r="AB5" s="1341">
        <v>1.2719553664261891</v>
      </c>
      <c r="AC5" s="1341">
        <v>2.2770211816987649</v>
      </c>
      <c r="AD5" s="1341">
        <v>2.0275899250625224</v>
      </c>
      <c r="AE5" s="1341">
        <v>2.6673326410679743</v>
      </c>
      <c r="AF5" s="1341">
        <v>2.1335915137211638</v>
      </c>
      <c r="AG5" s="1341">
        <v>3.3857616503834871</v>
      </c>
      <c r="AH5" s="1341">
        <v>3.1712023923233552</v>
      </c>
      <c r="AI5" s="1341">
        <v>2.7275700812825678</v>
      </c>
      <c r="AJ5" s="1341">
        <v>2.5476114518410391</v>
      </c>
      <c r="AK5" s="1341">
        <v>3.0702142517264019</v>
      </c>
      <c r="AL5" s="1341">
        <v>3.9683589117747955</v>
      </c>
      <c r="AM5" s="1341">
        <v>3.2459038495414578</v>
      </c>
      <c r="AN5" s="1341">
        <v>2.3735813704429063</v>
      </c>
      <c r="AO5" s="1341">
        <v>2.0328696193508993</v>
      </c>
      <c r="AP5" s="1341">
        <v>2.495329685950145</v>
      </c>
      <c r="AQ5" s="1341">
        <v>2.3238396058935309</v>
      </c>
      <c r="AR5" s="1341">
        <v>1.9210108939531056</v>
      </c>
      <c r="AS5" s="1341">
        <v>3.8712830140100367</v>
      </c>
      <c r="AT5" s="1341">
        <v>3.5238853332597553</v>
      </c>
      <c r="AU5" s="1341">
        <v>4.2151580257711618</v>
      </c>
      <c r="AV5" s="1341">
        <v>4.7613051545836189</v>
      </c>
      <c r="AW5" s="1341">
        <v>4.8000561402802902</v>
      </c>
      <c r="AX5" s="1341">
        <v>5.0562667967055193</v>
      </c>
      <c r="AY5" s="1341">
        <v>6.1663562062077784</v>
      </c>
      <c r="AZ5" s="1341">
        <v>7.2834609746712067</v>
      </c>
      <c r="BA5" s="1341">
        <v>8.6045687987259782</v>
      </c>
      <c r="BB5" s="1341">
        <v>7.3423434681392283</v>
      </c>
      <c r="BC5" s="1341">
        <v>8.8826123285055285</v>
      </c>
      <c r="BD5" s="1341">
        <v>10.486812404988861</v>
      </c>
      <c r="BE5" s="1341">
        <v>11.276676921513832</v>
      </c>
      <c r="BF5" s="1341">
        <v>12.823236610378169</v>
      </c>
      <c r="BG5" s="1341">
        <v>14.203824780055172</v>
      </c>
      <c r="BH5" s="1341">
        <v>15.843919717931861</v>
      </c>
    </row>
    <row r="6" spans="1:60" s="1425" customFormat="1">
      <c r="BH6" s="1414" t="s">
        <v>1228</v>
      </c>
    </row>
    <row r="7" spans="1:60" s="1425" customFormat="1"/>
    <row r="8" spans="1:60" s="1425" customFormat="1"/>
    <row r="9" spans="1:60" s="1425" customFormat="1"/>
    <row r="10" spans="1:60" s="1425" customFormat="1"/>
    <row r="11" spans="1:60" s="1425" customFormat="1"/>
    <row r="12" spans="1:60" s="1425" customFormat="1"/>
    <row r="13" spans="1:60" s="1425" customFormat="1"/>
    <row r="14" spans="1:60" s="1425" customFormat="1"/>
    <row r="15" spans="1:60" s="1425" customFormat="1"/>
    <row r="16" spans="1:60" s="1425" customFormat="1"/>
    <row r="17" s="1425" customFormat="1"/>
    <row r="18" s="1425" customFormat="1"/>
    <row r="19" s="1425" customFormat="1"/>
    <row r="20" s="1425" customFormat="1"/>
    <row r="21" s="1425" customFormat="1"/>
    <row r="22" s="1425" customFormat="1"/>
    <row r="23" s="1425" customFormat="1"/>
    <row r="24" s="1425" customFormat="1"/>
    <row r="25" s="1425" customFormat="1"/>
    <row r="26" s="1425" customFormat="1"/>
    <row r="27" s="1425" customFormat="1"/>
    <row r="28" s="1425" customFormat="1"/>
  </sheetData>
  <pageMargins left="0.70866141732283472" right="0.70866141732283472" top="0.74803149606299213" bottom="0.74803149606299213" header="0.31496062992125984" footer="0.31496062992125984"/>
  <pageSetup scale="25" orientation="landscape" r:id="rId1"/>
  <headerFooter>
    <oddHeader>&amp;L&amp;A&amp;C&amp;B Confidential&amp;B&amp;RPage &amp;P</oddHeader>
    <oddFooter>&amp;C&amp;D&amp;T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workbookViewId="0"/>
  </sheetViews>
  <sheetFormatPr defaultRowHeight="12.75"/>
  <cols>
    <col min="1" max="1" width="6" style="1428" customWidth="1"/>
    <col min="2" max="2" width="23" style="1428" customWidth="1"/>
    <col min="3" max="3" width="20.5703125" style="1428" customWidth="1"/>
    <col min="4" max="4" width="15.140625" style="1428" customWidth="1"/>
    <col min="5" max="5" width="7.7109375" style="1428" customWidth="1"/>
    <col min="6" max="7" width="9.140625" style="1429"/>
    <col min="8" max="16384" width="9.140625" style="1428"/>
  </cols>
  <sheetData>
    <row r="1" spans="1:7">
      <c r="A1" s="1403" t="s">
        <v>1229</v>
      </c>
    </row>
    <row r="2" spans="1:7">
      <c r="A2" s="1415"/>
      <c r="B2" s="1406" t="s">
        <v>1230</v>
      </c>
      <c r="C2" s="1406" t="s">
        <v>1231</v>
      </c>
      <c r="D2" s="1406" t="s">
        <v>1232</v>
      </c>
      <c r="E2" s="1406" t="s">
        <v>1233</v>
      </c>
      <c r="G2" s="1430"/>
    </row>
    <row r="3" spans="1:7">
      <c r="A3" s="1406">
        <v>2012</v>
      </c>
      <c r="B3" s="1431">
        <v>2.3513396162237354</v>
      </c>
      <c r="C3" s="1431">
        <v>1.3976905521890366</v>
      </c>
      <c r="D3" s="1431">
        <v>0.80620908434713912</v>
      </c>
      <c r="E3" s="1432">
        <v>0.14743997968755981</v>
      </c>
      <c r="G3" s="1433"/>
    </row>
    <row r="4" spans="1:7">
      <c r="A4" s="1406">
        <v>2013</v>
      </c>
      <c r="B4" s="1431">
        <v>2.0729465245515888</v>
      </c>
      <c r="C4" s="1431">
        <v>1.4311620873222657</v>
      </c>
      <c r="D4" s="1431">
        <v>0.55406952388935193</v>
      </c>
      <c r="E4" s="1432">
        <v>8.7714913339971057E-2</v>
      </c>
      <c r="G4" s="1433"/>
    </row>
    <row r="5" spans="1:7">
      <c r="A5" s="1406">
        <v>2014</v>
      </c>
      <c r="B5" s="1431">
        <v>2.3502087470483435</v>
      </c>
      <c r="C5" s="1431">
        <v>1.6905105274826557</v>
      </c>
      <c r="D5" s="1431">
        <v>0.4672090966082636</v>
      </c>
      <c r="E5" s="1432">
        <v>0.19248912295742412</v>
      </c>
      <c r="G5" s="1433"/>
    </row>
    <row r="6" spans="1:7">
      <c r="A6" s="1406">
        <v>2015</v>
      </c>
      <c r="B6" s="1431">
        <v>2.9574226698089179</v>
      </c>
      <c r="C6" s="1431">
        <v>2.0294869006392515</v>
      </c>
      <c r="D6" s="1431">
        <v>0.64992627276023207</v>
      </c>
      <c r="E6" s="1432">
        <v>0.2780094964094344</v>
      </c>
      <c r="G6" s="1433"/>
    </row>
    <row r="7" spans="1:7">
      <c r="A7" s="1406" t="s">
        <v>1234</v>
      </c>
      <c r="B7" s="1431">
        <v>2.8162884545488875</v>
      </c>
      <c r="C7" s="1431">
        <v>1.806400125110085</v>
      </c>
      <c r="D7" s="1431">
        <v>0.70466387507695594</v>
      </c>
      <c r="E7" s="1432">
        <v>0.30522445436184664</v>
      </c>
      <c r="G7" s="1433"/>
    </row>
    <row r="8" spans="1:7">
      <c r="A8" s="1406" t="s">
        <v>1235</v>
      </c>
      <c r="B8" s="1431">
        <v>2.832899786867582</v>
      </c>
      <c r="C8" s="1431">
        <v>2.0361454078111905</v>
      </c>
      <c r="D8" s="1431">
        <v>0.53440670345777141</v>
      </c>
      <c r="E8" s="1432">
        <v>0.26234767559862043</v>
      </c>
      <c r="G8" s="1433"/>
    </row>
    <row r="9" spans="1:7">
      <c r="A9" s="1406" t="s">
        <v>1236</v>
      </c>
      <c r="B9" s="1431">
        <v>3.5427452487154731</v>
      </c>
      <c r="C9" s="1431">
        <v>2.6494684867799139</v>
      </c>
      <c r="D9" s="1431">
        <v>0.68731793690974907</v>
      </c>
      <c r="E9" s="1432">
        <v>0.20595882502581039</v>
      </c>
      <c r="G9" s="1433"/>
    </row>
    <row r="10" spans="1:7">
      <c r="A10" s="1406" t="s">
        <v>1237</v>
      </c>
      <c r="B10" s="1431">
        <v>3.7597936606560411</v>
      </c>
      <c r="C10" s="1431">
        <v>2.7931376067206539</v>
      </c>
      <c r="D10" s="1431">
        <v>0.77569481158930054</v>
      </c>
      <c r="E10" s="1432">
        <v>0.19096124234608683</v>
      </c>
      <c r="G10" s="1433"/>
    </row>
    <row r="11" spans="1:7">
      <c r="A11" s="1406" t="s">
        <v>1238</v>
      </c>
      <c r="B11" s="1434">
        <v>3.8969740575839129</v>
      </c>
      <c r="C11" s="1434">
        <v>2.8485387994211422</v>
      </c>
      <c r="D11" s="1434">
        <v>0.86168302657427787</v>
      </c>
      <c r="E11" s="1434">
        <v>0.18675223158849286</v>
      </c>
      <c r="G11" s="1433"/>
    </row>
    <row r="12" spans="1:7">
      <c r="E12" s="1414" t="s">
        <v>1239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"/>
  <sheetViews>
    <sheetView showGridLines="0" zoomScaleNormal="100" workbookViewId="0"/>
  </sheetViews>
  <sheetFormatPr defaultRowHeight="12"/>
  <cols>
    <col min="1" max="1" width="35.42578125" style="1356" customWidth="1"/>
    <col min="2" max="6" width="7.28515625" style="1356" customWidth="1"/>
    <col min="7" max="239" width="9.140625" style="1356"/>
    <col min="240" max="240" width="18.140625" style="1356" customWidth="1"/>
    <col min="241" max="495" width="9.140625" style="1356"/>
    <col min="496" max="496" width="18.140625" style="1356" customWidth="1"/>
    <col min="497" max="751" width="9.140625" style="1356"/>
    <col min="752" max="752" width="18.140625" style="1356" customWidth="1"/>
    <col min="753" max="1007" width="9.140625" style="1356"/>
    <col min="1008" max="1008" width="18.140625" style="1356" customWidth="1"/>
    <col min="1009" max="1263" width="9.140625" style="1356"/>
    <col min="1264" max="1264" width="18.140625" style="1356" customWidth="1"/>
    <col min="1265" max="1519" width="9.140625" style="1356"/>
    <col min="1520" max="1520" width="18.140625" style="1356" customWidth="1"/>
    <col min="1521" max="1775" width="9.140625" style="1356"/>
    <col min="1776" max="1776" width="18.140625" style="1356" customWidth="1"/>
    <col min="1777" max="2031" width="9.140625" style="1356"/>
    <col min="2032" max="2032" width="18.140625" style="1356" customWidth="1"/>
    <col min="2033" max="2287" width="9.140625" style="1356"/>
    <col min="2288" max="2288" width="18.140625" style="1356" customWidth="1"/>
    <col min="2289" max="2543" width="9.140625" style="1356"/>
    <col min="2544" max="2544" width="18.140625" style="1356" customWidth="1"/>
    <col min="2545" max="2799" width="9.140625" style="1356"/>
    <col min="2800" max="2800" width="18.140625" style="1356" customWidth="1"/>
    <col min="2801" max="3055" width="9.140625" style="1356"/>
    <col min="3056" max="3056" width="18.140625" style="1356" customWidth="1"/>
    <col min="3057" max="3311" width="9.140625" style="1356"/>
    <col min="3312" max="3312" width="18.140625" style="1356" customWidth="1"/>
    <col min="3313" max="3567" width="9.140625" style="1356"/>
    <col min="3568" max="3568" width="18.140625" style="1356" customWidth="1"/>
    <col min="3569" max="3823" width="9.140625" style="1356"/>
    <col min="3824" max="3824" width="18.140625" style="1356" customWidth="1"/>
    <col min="3825" max="4079" width="9.140625" style="1356"/>
    <col min="4080" max="4080" width="18.140625" style="1356" customWidth="1"/>
    <col min="4081" max="4335" width="9.140625" style="1356"/>
    <col min="4336" max="4336" width="18.140625" style="1356" customWidth="1"/>
    <col min="4337" max="4591" width="9.140625" style="1356"/>
    <col min="4592" max="4592" width="18.140625" style="1356" customWidth="1"/>
    <col min="4593" max="4847" width="9.140625" style="1356"/>
    <col min="4848" max="4848" width="18.140625" style="1356" customWidth="1"/>
    <col min="4849" max="5103" width="9.140625" style="1356"/>
    <col min="5104" max="5104" width="18.140625" style="1356" customWidth="1"/>
    <col min="5105" max="5359" width="9.140625" style="1356"/>
    <col min="5360" max="5360" width="18.140625" style="1356" customWidth="1"/>
    <col min="5361" max="5615" width="9.140625" style="1356"/>
    <col min="5616" max="5616" width="18.140625" style="1356" customWidth="1"/>
    <col min="5617" max="5871" width="9.140625" style="1356"/>
    <col min="5872" max="5872" width="18.140625" style="1356" customWidth="1"/>
    <col min="5873" max="6127" width="9.140625" style="1356"/>
    <col min="6128" max="6128" width="18.140625" style="1356" customWidth="1"/>
    <col min="6129" max="6383" width="9.140625" style="1356"/>
    <col min="6384" max="6384" width="18.140625" style="1356" customWidth="1"/>
    <col min="6385" max="6639" width="9.140625" style="1356"/>
    <col min="6640" max="6640" width="18.140625" style="1356" customWidth="1"/>
    <col min="6641" max="6895" width="9.140625" style="1356"/>
    <col min="6896" max="6896" width="18.140625" style="1356" customWidth="1"/>
    <col min="6897" max="7151" width="9.140625" style="1356"/>
    <col min="7152" max="7152" width="18.140625" style="1356" customWidth="1"/>
    <col min="7153" max="7407" width="9.140625" style="1356"/>
    <col min="7408" max="7408" width="18.140625" style="1356" customWidth="1"/>
    <col min="7409" max="7663" width="9.140625" style="1356"/>
    <col min="7664" max="7664" width="18.140625" style="1356" customWidth="1"/>
    <col min="7665" max="7919" width="9.140625" style="1356"/>
    <col min="7920" max="7920" width="18.140625" style="1356" customWidth="1"/>
    <col min="7921" max="8175" width="9.140625" style="1356"/>
    <col min="8176" max="8176" width="18.140625" style="1356" customWidth="1"/>
    <col min="8177" max="8431" width="9.140625" style="1356"/>
    <col min="8432" max="8432" width="18.140625" style="1356" customWidth="1"/>
    <col min="8433" max="8687" width="9.140625" style="1356"/>
    <col min="8688" max="8688" width="18.140625" style="1356" customWidth="1"/>
    <col min="8689" max="8943" width="9.140625" style="1356"/>
    <col min="8944" max="8944" width="18.140625" style="1356" customWidth="1"/>
    <col min="8945" max="9199" width="9.140625" style="1356"/>
    <col min="9200" max="9200" width="18.140625" style="1356" customWidth="1"/>
    <col min="9201" max="9455" width="9.140625" style="1356"/>
    <col min="9456" max="9456" width="18.140625" style="1356" customWidth="1"/>
    <col min="9457" max="9711" width="9.140625" style="1356"/>
    <col min="9712" max="9712" width="18.140625" style="1356" customWidth="1"/>
    <col min="9713" max="9967" width="9.140625" style="1356"/>
    <col min="9968" max="9968" width="18.140625" style="1356" customWidth="1"/>
    <col min="9969" max="10223" width="9.140625" style="1356"/>
    <col min="10224" max="10224" width="18.140625" style="1356" customWidth="1"/>
    <col min="10225" max="10479" width="9.140625" style="1356"/>
    <col min="10480" max="10480" width="18.140625" style="1356" customWidth="1"/>
    <col min="10481" max="10735" width="9.140625" style="1356"/>
    <col min="10736" max="10736" width="18.140625" style="1356" customWidth="1"/>
    <col min="10737" max="10991" width="9.140625" style="1356"/>
    <col min="10992" max="10992" width="18.140625" style="1356" customWidth="1"/>
    <col min="10993" max="11247" width="9.140625" style="1356"/>
    <col min="11248" max="11248" width="18.140625" style="1356" customWidth="1"/>
    <col min="11249" max="11503" width="9.140625" style="1356"/>
    <col min="11504" max="11504" width="18.140625" style="1356" customWidth="1"/>
    <col min="11505" max="11759" width="9.140625" style="1356"/>
    <col min="11760" max="11760" width="18.140625" style="1356" customWidth="1"/>
    <col min="11761" max="12015" width="9.140625" style="1356"/>
    <col min="12016" max="12016" width="18.140625" style="1356" customWidth="1"/>
    <col min="12017" max="12271" width="9.140625" style="1356"/>
    <col min="12272" max="12272" width="18.140625" style="1356" customWidth="1"/>
    <col min="12273" max="12527" width="9.140625" style="1356"/>
    <col min="12528" max="12528" width="18.140625" style="1356" customWidth="1"/>
    <col min="12529" max="12783" width="9.140625" style="1356"/>
    <col min="12784" max="12784" width="18.140625" style="1356" customWidth="1"/>
    <col min="12785" max="13039" width="9.140625" style="1356"/>
    <col min="13040" max="13040" width="18.140625" style="1356" customWidth="1"/>
    <col min="13041" max="13295" width="9.140625" style="1356"/>
    <col min="13296" max="13296" width="18.140625" style="1356" customWidth="1"/>
    <col min="13297" max="13551" width="9.140625" style="1356"/>
    <col min="13552" max="13552" width="18.140625" style="1356" customWidth="1"/>
    <col min="13553" max="13807" width="9.140625" style="1356"/>
    <col min="13808" max="13808" width="18.140625" style="1356" customWidth="1"/>
    <col min="13809" max="14063" width="9.140625" style="1356"/>
    <col min="14064" max="14064" width="18.140625" style="1356" customWidth="1"/>
    <col min="14065" max="14319" width="9.140625" style="1356"/>
    <col min="14320" max="14320" width="18.140625" style="1356" customWidth="1"/>
    <col min="14321" max="14575" width="9.140625" style="1356"/>
    <col min="14576" max="14576" width="18.140625" style="1356" customWidth="1"/>
    <col min="14577" max="14831" width="9.140625" style="1356"/>
    <col min="14832" max="14832" width="18.140625" style="1356" customWidth="1"/>
    <col min="14833" max="15087" width="9.140625" style="1356"/>
    <col min="15088" max="15088" width="18.140625" style="1356" customWidth="1"/>
    <col min="15089" max="15343" width="9.140625" style="1356"/>
    <col min="15344" max="15344" width="18.140625" style="1356" customWidth="1"/>
    <col min="15345" max="15599" width="9.140625" style="1356"/>
    <col min="15600" max="15600" width="18.140625" style="1356" customWidth="1"/>
    <col min="15601" max="15855" width="9.140625" style="1356"/>
    <col min="15856" max="15856" width="18.140625" style="1356" customWidth="1"/>
    <col min="15857" max="16111" width="9.140625" style="1356"/>
    <col min="16112" max="16112" width="18.140625" style="1356" customWidth="1"/>
    <col min="16113" max="16384" width="9.140625" style="1356"/>
  </cols>
  <sheetData>
    <row r="1" spans="1:6" ht="12.75">
      <c r="A1" s="1403" t="s">
        <v>1240</v>
      </c>
    </row>
    <row r="2" spans="1:6" ht="12.75">
      <c r="A2" s="1415"/>
      <c r="B2" s="1406">
        <v>2016</v>
      </c>
      <c r="C2" s="1406">
        <f>B2+1</f>
        <v>2017</v>
      </c>
      <c r="D2" s="1406">
        <f t="shared" ref="D2:F2" si="0">C2+1</f>
        <v>2018</v>
      </c>
      <c r="E2" s="1406">
        <f t="shared" si="0"/>
        <v>2019</v>
      </c>
      <c r="F2" s="1406">
        <f t="shared" si="0"/>
        <v>2020</v>
      </c>
    </row>
    <row r="3" spans="1:6" ht="12.75">
      <c r="A3" s="1435" t="s">
        <v>1241</v>
      </c>
      <c r="B3" s="1436">
        <v>3.3</v>
      </c>
      <c r="C3" s="1437">
        <v>3.3344437711642083</v>
      </c>
      <c r="D3" s="1437">
        <v>4.1662564708083938</v>
      </c>
      <c r="E3" s="1437">
        <v>4.3734515982513322</v>
      </c>
      <c r="F3" s="1437">
        <v>3.8783375877819326</v>
      </c>
    </row>
    <row r="4" spans="1:6" ht="12.75">
      <c r="A4" s="1435" t="s">
        <v>1242</v>
      </c>
      <c r="B4" s="1436">
        <f>MIN(B7:B8)</f>
        <v>3.3</v>
      </c>
      <c r="C4" s="1436">
        <f t="shared" ref="C4:F4" si="1">MIN(C7:C8)</f>
        <v>3.8745018671230866</v>
      </c>
      <c r="D4" s="1436">
        <f t="shared" si="1"/>
        <v>3.0962044897680556</v>
      </c>
      <c r="E4" s="1436">
        <f t="shared" si="1"/>
        <v>4.785396439412466</v>
      </c>
      <c r="F4" s="1436">
        <f t="shared" si="1"/>
        <v>3.9891623924391979</v>
      </c>
    </row>
    <row r="5" spans="1:6" ht="12.75">
      <c r="A5" s="1435" t="s">
        <v>1243</v>
      </c>
      <c r="B5" s="1436">
        <f>MAX(B7:B8)-B4</f>
        <v>0</v>
      </c>
      <c r="C5" s="1436">
        <f t="shared" ref="C5:F5" si="2">MAX(C7:C8)-C4</f>
        <v>1.7091068283434652E-3</v>
      </c>
      <c r="D5" s="1436">
        <f t="shared" si="2"/>
        <v>0.43105872753675101</v>
      </c>
      <c r="E5" s="1436">
        <f t="shared" si="2"/>
        <v>5.0557807744880279E-2</v>
      </c>
      <c r="F5" s="1436">
        <f t="shared" si="2"/>
        <v>0.16967730182933849</v>
      </c>
    </row>
    <row r="6" spans="1:6" ht="12.75">
      <c r="A6" s="1438" t="s">
        <v>1244</v>
      </c>
      <c r="B6" s="1434">
        <v>3.3</v>
      </c>
      <c r="C6" s="1439">
        <v>3.6415267961227897</v>
      </c>
      <c r="D6" s="1439">
        <v>4.1832018875693819</v>
      </c>
      <c r="E6" s="1439">
        <v>4.4182239294301269</v>
      </c>
      <c r="F6" s="1439">
        <v>4.1203114650990074</v>
      </c>
    </row>
    <row r="7" spans="1:6" ht="12.75">
      <c r="A7" s="1440" t="s">
        <v>1245</v>
      </c>
      <c r="B7" s="1441">
        <v>3.3</v>
      </c>
      <c r="C7" s="1441">
        <v>3.8745018671230866</v>
      </c>
      <c r="D7" s="1441">
        <v>3.0962044897680556</v>
      </c>
      <c r="E7" s="1441">
        <v>4.8359542471573462</v>
      </c>
      <c r="F7" s="1441">
        <v>3.9891623924391979</v>
      </c>
    </row>
    <row r="8" spans="1:6" ht="12.75">
      <c r="A8" s="1438" t="s">
        <v>1246</v>
      </c>
      <c r="B8" s="1434">
        <v>3.3</v>
      </c>
      <c r="C8" s="1439">
        <v>3.8762109739514301</v>
      </c>
      <c r="D8" s="1439">
        <v>3.5272632173048066</v>
      </c>
      <c r="E8" s="1439">
        <v>4.785396439412466</v>
      </c>
      <c r="F8" s="1439">
        <v>4.1588396942685364</v>
      </c>
    </row>
    <row r="9" spans="1:6">
      <c r="A9" s="1442"/>
      <c r="B9" s="1443"/>
      <c r="C9" s="1443"/>
      <c r="D9" s="1443"/>
      <c r="E9" s="1443"/>
      <c r="F9" s="1444" t="s">
        <v>1247</v>
      </c>
    </row>
    <row r="13" spans="1:6">
      <c r="B13" s="1419"/>
      <c r="C13" s="1419"/>
      <c r="D13" s="1419"/>
      <c r="E13" s="1419"/>
      <c r="F13" s="1419"/>
    </row>
    <row r="14" spans="1:6">
      <c r="B14" s="1419"/>
      <c r="C14" s="1419"/>
      <c r="D14" s="1419"/>
      <c r="E14" s="1419"/>
      <c r="F14" s="1419"/>
    </row>
    <row r="15" spans="1:6">
      <c r="B15" s="1419"/>
      <c r="C15" s="1419"/>
      <c r="D15" s="1419"/>
      <c r="E15" s="1419"/>
      <c r="F15" s="1419"/>
    </row>
    <row r="16" spans="1:6">
      <c r="B16" s="1419"/>
      <c r="C16" s="1419"/>
      <c r="D16" s="1419"/>
      <c r="E16" s="1419"/>
      <c r="F16" s="1419"/>
    </row>
    <row r="17" spans="2:6">
      <c r="B17" s="1419"/>
      <c r="C17" s="1419"/>
      <c r="D17" s="1419"/>
      <c r="E17" s="1419"/>
      <c r="F17" s="1419"/>
    </row>
    <row r="18" spans="2:6">
      <c r="B18" s="1419"/>
      <c r="C18" s="1419"/>
      <c r="D18" s="1419"/>
      <c r="E18" s="1419"/>
      <c r="F18" s="1419"/>
    </row>
  </sheetData>
  <pageMargins left="0.25" right="0.25" top="0.75" bottom="0.75" header="0.3" footer="0.3"/>
  <pageSetup scale="46" fitToHeight="0" orientation="portrait" horizontalDpi="4294967294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showGridLines="0" zoomScaleNormal="100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5"/>
  <cols>
    <col min="1" max="1" width="29" style="1445" customWidth="1"/>
    <col min="2" max="2" width="10" style="1445" customWidth="1"/>
    <col min="3" max="6" width="9.140625" style="1445"/>
    <col min="7" max="7" width="10" style="1445" customWidth="1"/>
    <col min="8" max="16384" width="9.140625" style="1445"/>
  </cols>
  <sheetData>
    <row r="1" spans="1:9">
      <c r="A1" s="1403" t="s">
        <v>1248</v>
      </c>
      <c r="B1" s="1356"/>
      <c r="C1" s="1356"/>
      <c r="D1" s="1356"/>
      <c r="E1" s="1356"/>
      <c r="F1" s="1356"/>
    </row>
    <row r="2" spans="1:9">
      <c r="A2" s="1415"/>
      <c r="B2" s="1406">
        <v>2009</v>
      </c>
      <c r="C2" s="1406">
        <v>2010</v>
      </c>
      <c r="D2" s="1406">
        <v>2011</v>
      </c>
      <c r="E2" s="1406">
        <v>2012</v>
      </c>
      <c r="F2" s="1406">
        <v>2013</v>
      </c>
      <c r="G2" s="1406">
        <v>2014</v>
      </c>
      <c r="H2" s="1406">
        <v>2015</v>
      </c>
      <c r="I2" s="1406">
        <v>2016</v>
      </c>
    </row>
    <row r="3" spans="1:9">
      <c r="A3" s="1445" t="s">
        <v>1249</v>
      </c>
      <c r="B3" s="1446">
        <v>0.35000000000000009</v>
      </c>
      <c r="C3" s="1446">
        <v>0.99167327283637707</v>
      </c>
      <c r="D3" s="1446">
        <v>0.25476164501483978</v>
      </c>
      <c r="E3" s="1446">
        <v>0.7387052825455569</v>
      </c>
      <c r="F3" s="1446">
        <v>0.62540753617501821</v>
      </c>
      <c r="G3" s="1446">
        <v>0.35030096238214137</v>
      </c>
      <c r="H3" s="1446">
        <v>0.65007528004311421</v>
      </c>
      <c r="I3" s="1446">
        <v>0.17530348706176824</v>
      </c>
    </row>
    <row r="4" spans="1:9">
      <c r="A4" s="1445" t="s">
        <v>1250</v>
      </c>
      <c r="B4" s="1446">
        <v>1.9224864492967839</v>
      </c>
      <c r="C4" s="1446">
        <v>1.4416732728363768</v>
      </c>
      <c r="D4" s="1446">
        <v>0.58530535468013056</v>
      </c>
      <c r="E4" s="1446">
        <v>0.9428897101999838</v>
      </c>
      <c r="F4" s="1446">
        <v>0.7906461212620457</v>
      </c>
      <c r="G4" s="1446">
        <v>0.5503009623821411</v>
      </c>
      <c r="H4" s="1446">
        <v>0.7500752800431143</v>
      </c>
      <c r="I4" s="1446">
        <v>0.27530348706176833</v>
      </c>
    </row>
    <row r="5" spans="1:9">
      <c r="A5" s="1438" t="s">
        <v>1251</v>
      </c>
      <c r="B5" s="1447">
        <v>2.2486449296783562E-2</v>
      </c>
      <c r="C5" s="1447">
        <v>0.74167327283637707</v>
      </c>
      <c r="D5" s="1447">
        <v>8.085806920373706E-2</v>
      </c>
      <c r="E5" s="1447">
        <v>0.34288971019998371</v>
      </c>
      <c r="F5" s="1447">
        <v>0.45437147659804555</v>
      </c>
      <c r="G5" s="1447">
        <v>5.0300962382141101E-2</v>
      </c>
      <c r="H5" s="1447">
        <v>0.35007528004311439</v>
      </c>
      <c r="I5" s="1447">
        <v>2.469651293823194E-2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"/>
  <sheetViews>
    <sheetView showGridLines="0" workbookViewId="0">
      <selection sqref="A1:K1"/>
    </sheetView>
  </sheetViews>
  <sheetFormatPr defaultRowHeight="15"/>
  <cols>
    <col min="1" max="10" width="9.140625" style="1448"/>
    <col min="11" max="11" width="17.28515625" style="1448" customWidth="1"/>
    <col min="12" max="241" width="9.140625" style="1448"/>
    <col min="242" max="242" width="14.85546875" style="1448" customWidth="1"/>
    <col min="243" max="247" width="9.140625" style="1448"/>
    <col min="248" max="248" width="29.28515625" style="1448" customWidth="1"/>
    <col min="249" max="497" width="9.140625" style="1448"/>
    <col min="498" max="498" width="14.85546875" style="1448" customWidth="1"/>
    <col min="499" max="503" width="9.140625" style="1448"/>
    <col min="504" max="504" width="29.28515625" style="1448" customWidth="1"/>
    <col min="505" max="753" width="9.140625" style="1448"/>
    <col min="754" max="754" width="14.85546875" style="1448" customWidth="1"/>
    <col min="755" max="759" width="9.140625" style="1448"/>
    <col min="760" max="760" width="29.28515625" style="1448" customWidth="1"/>
    <col min="761" max="1009" width="9.140625" style="1448"/>
    <col min="1010" max="1010" width="14.85546875" style="1448" customWidth="1"/>
    <col min="1011" max="1015" width="9.140625" style="1448"/>
    <col min="1016" max="1016" width="29.28515625" style="1448" customWidth="1"/>
    <col min="1017" max="1265" width="9.140625" style="1448"/>
    <col min="1266" max="1266" width="14.85546875" style="1448" customWidth="1"/>
    <col min="1267" max="1271" width="9.140625" style="1448"/>
    <col min="1272" max="1272" width="29.28515625" style="1448" customWidth="1"/>
    <col min="1273" max="1521" width="9.140625" style="1448"/>
    <col min="1522" max="1522" width="14.85546875" style="1448" customWidth="1"/>
    <col min="1523" max="1527" width="9.140625" style="1448"/>
    <col min="1528" max="1528" width="29.28515625" style="1448" customWidth="1"/>
    <col min="1529" max="1777" width="9.140625" style="1448"/>
    <col min="1778" max="1778" width="14.85546875" style="1448" customWidth="1"/>
    <col min="1779" max="1783" width="9.140625" style="1448"/>
    <col min="1784" max="1784" width="29.28515625" style="1448" customWidth="1"/>
    <col min="1785" max="2033" width="9.140625" style="1448"/>
    <col min="2034" max="2034" width="14.85546875" style="1448" customWidth="1"/>
    <col min="2035" max="2039" width="9.140625" style="1448"/>
    <col min="2040" max="2040" width="29.28515625" style="1448" customWidth="1"/>
    <col min="2041" max="2289" width="9.140625" style="1448"/>
    <col min="2290" max="2290" width="14.85546875" style="1448" customWidth="1"/>
    <col min="2291" max="2295" width="9.140625" style="1448"/>
    <col min="2296" max="2296" width="29.28515625" style="1448" customWidth="1"/>
    <col min="2297" max="2545" width="9.140625" style="1448"/>
    <col min="2546" max="2546" width="14.85546875" style="1448" customWidth="1"/>
    <col min="2547" max="2551" width="9.140625" style="1448"/>
    <col min="2552" max="2552" width="29.28515625" style="1448" customWidth="1"/>
    <col min="2553" max="2801" width="9.140625" style="1448"/>
    <col min="2802" max="2802" width="14.85546875" style="1448" customWidth="1"/>
    <col min="2803" max="2807" width="9.140625" style="1448"/>
    <col min="2808" max="2808" width="29.28515625" style="1448" customWidth="1"/>
    <col min="2809" max="3057" width="9.140625" style="1448"/>
    <col min="3058" max="3058" width="14.85546875" style="1448" customWidth="1"/>
    <col min="3059" max="3063" width="9.140625" style="1448"/>
    <col min="3064" max="3064" width="29.28515625" style="1448" customWidth="1"/>
    <col min="3065" max="3313" width="9.140625" style="1448"/>
    <col min="3314" max="3314" width="14.85546875" style="1448" customWidth="1"/>
    <col min="3315" max="3319" width="9.140625" style="1448"/>
    <col min="3320" max="3320" width="29.28515625" style="1448" customWidth="1"/>
    <col min="3321" max="3569" width="9.140625" style="1448"/>
    <col min="3570" max="3570" width="14.85546875" style="1448" customWidth="1"/>
    <col min="3571" max="3575" width="9.140625" style="1448"/>
    <col min="3576" max="3576" width="29.28515625" style="1448" customWidth="1"/>
    <col min="3577" max="3825" width="9.140625" style="1448"/>
    <col min="3826" max="3826" width="14.85546875" style="1448" customWidth="1"/>
    <col min="3827" max="3831" width="9.140625" style="1448"/>
    <col min="3832" max="3832" width="29.28515625" style="1448" customWidth="1"/>
    <col min="3833" max="4081" width="9.140625" style="1448"/>
    <col min="4082" max="4082" width="14.85546875" style="1448" customWidth="1"/>
    <col min="4083" max="4087" width="9.140625" style="1448"/>
    <col min="4088" max="4088" width="29.28515625" style="1448" customWidth="1"/>
    <col min="4089" max="4337" width="9.140625" style="1448"/>
    <col min="4338" max="4338" width="14.85546875" style="1448" customWidth="1"/>
    <col min="4339" max="4343" width="9.140625" style="1448"/>
    <col min="4344" max="4344" width="29.28515625" style="1448" customWidth="1"/>
    <col min="4345" max="4593" width="9.140625" style="1448"/>
    <col min="4594" max="4594" width="14.85546875" style="1448" customWidth="1"/>
    <col min="4595" max="4599" width="9.140625" style="1448"/>
    <col min="4600" max="4600" width="29.28515625" style="1448" customWidth="1"/>
    <col min="4601" max="4849" width="9.140625" style="1448"/>
    <col min="4850" max="4850" width="14.85546875" style="1448" customWidth="1"/>
    <col min="4851" max="4855" width="9.140625" style="1448"/>
    <col min="4856" max="4856" width="29.28515625" style="1448" customWidth="1"/>
    <col min="4857" max="5105" width="9.140625" style="1448"/>
    <col min="5106" max="5106" width="14.85546875" style="1448" customWidth="1"/>
    <col min="5107" max="5111" width="9.140625" style="1448"/>
    <col min="5112" max="5112" width="29.28515625" style="1448" customWidth="1"/>
    <col min="5113" max="5361" width="9.140625" style="1448"/>
    <col min="5362" max="5362" width="14.85546875" style="1448" customWidth="1"/>
    <col min="5363" max="5367" width="9.140625" style="1448"/>
    <col min="5368" max="5368" width="29.28515625" style="1448" customWidth="1"/>
    <col min="5369" max="5617" width="9.140625" style="1448"/>
    <col min="5618" max="5618" width="14.85546875" style="1448" customWidth="1"/>
    <col min="5619" max="5623" width="9.140625" style="1448"/>
    <col min="5624" max="5624" width="29.28515625" style="1448" customWidth="1"/>
    <col min="5625" max="5873" width="9.140625" style="1448"/>
    <col min="5874" max="5874" width="14.85546875" style="1448" customWidth="1"/>
    <col min="5875" max="5879" width="9.140625" style="1448"/>
    <col min="5880" max="5880" width="29.28515625" style="1448" customWidth="1"/>
    <col min="5881" max="6129" width="9.140625" style="1448"/>
    <col min="6130" max="6130" width="14.85546875" style="1448" customWidth="1"/>
    <col min="6131" max="6135" width="9.140625" style="1448"/>
    <col min="6136" max="6136" width="29.28515625" style="1448" customWidth="1"/>
    <col min="6137" max="6385" width="9.140625" style="1448"/>
    <col min="6386" max="6386" width="14.85546875" style="1448" customWidth="1"/>
    <col min="6387" max="6391" width="9.140625" style="1448"/>
    <col min="6392" max="6392" width="29.28515625" style="1448" customWidth="1"/>
    <col min="6393" max="6641" width="9.140625" style="1448"/>
    <col min="6642" max="6642" width="14.85546875" style="1448" customWidth="1"/>
    <col min="6643" max="6647" width="9.140625" style="1448"/>
    <col min="6648" max="6648" width="29.28515625" style="1448" customWidth="1"/>
    <col min="6649" max="6897" width="9.140625" style="1448"/>
    <col min="6898" max="6898" width="14.85546875" style="1448" customWidth="1"/>
    <col min="6899" max="6903" width="9.140625" style="1448"/>
    <col min="6904" max="6904" width="29.28515625" style="1448" customWidth="1"/>
    <col min="6905" max="7153" width="9.140625" style="1448"/>
    <col min="7154" max="7154" width="14.85546875" style="1448" customWidth="1"/>
    <col min="7155" max="7159" width="9.140625" style="1448"/>
    <col min="7160" max="7160" width="29.28515625" style="1448" customWidth="1"/>
    <col min="7161" max="7409" width="9.140625" style="1448"/>
    <col min="7410" max="7410" width="14.85546875" style="1448" customWidth="1"/>
    <col min="7411" max="7415" width="9.140625" style="1448"/>
    <col min="7416" max="7416" width="29.28515625" style="1448" customWidth="1"/>
    <col min="7417" max="7665" width="9.140625" style="1448"/>
    <col min="7666" max="7666" width="14.85546875" style="1448" customWidth="1"/>
    <col min="7667" max="7671" width="9.140625" style="1448"/>
    <col min="7672" max="7672" width="29.28515625" style="1448" customWidth="1"/>
    <col min="7673" max="7921" width="9.140625" style="1448"/>
    <col min="7922" max="7922" width="14.85546875" style="1448" customWidth="1"/>
    <col min="7923" max="7927" width="9.140625" style="1448"/>
    <col min="7928" max="7928" width="29.28515625" style="1448" customWidth="1"/>
    <col min="7929" max="8177" width="9.140625" style="1448"/>
    <col min="8178" max="8178" width="14.85546875" style="1448" customWidth="1"/>
    <col min="8179" max="8183" width="9.140625" style="1448"/>
    <col min="8184" max="8184" width="29.28515625" style="1448" customWidth="1"/>
    <col min="8185" max="8433" width="9.140625" style="1448"/>
    <col min="8434" max="8434" width="14.85546875" style="1448" customWidth="1"/>
    <col min="8435" max="8439" width="9.140625" style="1448"/>
    <col min="8440" max="8440" width="29.28515625" style="1448" customWidth="1"/>
    <col min="8441" max="8689" width="9.140625" style="1448"/>
    <col min="8690" max="8690" width="14.85546875" style="1448" customWidth="1"/>
    <col min="8691" max="8695" width="9.140625" style="1448"/>
    <col min="8696" max="8696" width="29.28515625" style="1448" customWidth="1"/>
    <col min="8697" max="8945" width="9.140625" style="1448"/>
    <col min="8946" max="8946" width="14.85546875" style="1448" customWidth="1"/>
    <col min="8947" max="8951" width="9.140625" style="1448"/>
    <col min="8952" max="8952" width="29.28515625" style="1448" customWidth="1"/>
    <col min="8953" max="9201" width="9.140625" style="1448"/>
    <col min="9202" max="9202" width="14.85546875" style="1448" customWidth="1"/>
    <col min="9203" max="9207" width="9.140625" style="1448"/>
    <col min="9208" max="9208" width="29.28515625" style="1448" customWidth="1"/>
    <col min="9209" max="9457" width="9.140625" style="1448"/>
    <col min="9458" max="9458" width="14.85546875" style="1448" customWidth="1"/>
    <col min="9459" max="9463" width="9.140625" style="1448"/>
    <col min="9464" max="9464" width="29.28515625" style="1448" customWidth="1"/>
    <col min="9465" max="9713" width="9.140625" style="1448"/>
    <col min="9714" max="9714" width="14.85546875" style="1448" customWidth="1"/>
    <col min="9715" max="9719" width="9.140625" style="1448"/>
    <col min="9720" max="9720" width="29.28515625" style="1448" customWidth="1"/>
    <col min="9721" max="9969" width="9.140625" style="1448"/>
    <col min="9970" max="9970" width="14.85546875" style="1448" customWidth="1"/>
    <col min="9971" max="9975" width="9.140625" style="1448"/>
    <col min="9976" max="9976" width="29.28515625" style="1448" customWidth="1"/>
    <col min="9977" max="10225" width="9.140625" style="1448"/>
    <col min="10226" max="10226" width="14.85546875" style="1448" customWidth="1"/>
    <col min="10227" max="10231" width="9.140625" style="1448"/>
    <col min="10232" max="10232" width="29.28515625" style="1448" customWidth="1"/>
    <col min="10233" max="10481" width="9.140625" style="1448"/>
    <col min="10482" max="10482" width="14.85546875" style="1448" customWidth="1"/>
    <col min="10483" max="10487" width="9.140625" style="1448"/>
    <col min="10488" max="10488" width="29.28515625" style="1448" customWidth="1"/>
    <col min="10489" max="10737" width="9.140625" style="1448"/>
    <col min="10738" max="10738" width="14.85546875" style="1448" customWidth="1"/>
    <col min="10739" max="10743" width="9.140625" style="1448"/>
    <col min="10744" max="10744" width="29.28515625" style="1448" customWidth="1"/>
    <col min="10745" max="10993" width="9.140625" style="1448"/>
    <col min="10994" max="10994" width="14.85546875" style="1448" customWidth="1"/>
    <col min="10995" max="10999" width="9.140625" style="1448"/>
    <col min="11000" max="11000" width="29.28515625" style="1448" customWidth="1"/>
    <col min="11001" max="11249" width="9.140625" style="1448"/>
    <col min="11250" max="11250" width="14.85546875" style="1448" customWidth="1"/>
    <col min="11251" max="11255" width="9.140625" style="1448"/>
    <col min="11256" max="11256" width="29.28515625" style="1448" customWidth="1"/>
    <col min="11257" max="11505" width="9.140625" style="1448"/>
    <col min="11506" max="11506" width="14.85546875" style="1448" customWidth="1"/>
    <col min="11507" max="11511" width="9.140625" style="1448"/>
    <col min="11512" max="11512" width="29.28515625" style="1448" customWidth="1"/>
    <col min="11513" max="11761" width="9.140625" style="1448"/>
    <col min="11762" max="11762" width="14.85546875" style="1448" customWidth="1"/>
    <col min="11763" max="11767" width="9.140625" style="1448"/>
    <col min="11768" max="11768" width="29.28515625" style="1448" customWidth="1"/>
    <col min="11769" max="12017" width="9.140625" style="1448"/>
    <col min="12018" max="12018" width="14.85546875" style="1448" customWidth="1"/>
    <col min="12019" max="12023" width="9.140625" style="1448"/>
    <col min="12024" max="12024" width="29.28515625" style="1448" customWidth="1"/>
    <col min="12025" max="12273" width="9.140625" style="1448"/>
    <col min="12274" max="12274" width="14.85546875" style="1448" customWidth="1"/>
    <col min="12275" max="12279" width="9.140625" style="1448"/>
    <col min="12280" max="12280" width="29.28515625" style="1448" customWidth="1"/>
    <col min="12281" max="12529" width="9.140625" style="1448"/>
    <col min="12530" max="12530" width="14.85546875" style="1448" customWidth="1"/>
    <col min="12531" max="12535" width="9.140625" style="1448"/>
    <col min="12536" max="12536" width="29.28515625" style="1448" customWidth="1"/>
    <col min="12537" max="12785" width="9.140625" style="1448"/>
    <col min="12786" max="12786" width="14.85546875" style="1448" customWidth="1"/>
    <col min="12787" max="12791" width="9.140625" style="1448"/>
    <col min="12792" max="12792" width="29.28515625" style="1448" customWidth="1"/>
    <col min="12793" max="13041" width="9.140625" style="1448"/>
    <col min="13042" max="13042" width="14.85546875" style="1448" customWidth="1"/>
    <col min="13043" max="13047" width="9.140625" style="1448"/>
    <col min="13048" max="13048" width="29.28515625" style="1448" customWidth="1"/>
    <col min="13049" max="13297" width="9.140625" style="1448"/>
    <col min="13298" max="13298" width="14.85546875" style="1448" customWidth="1"/>
    <col min="13299" max="13303" width="9.140625" style="1448"/>
    <col min="13304" max="13304" width="29.28515625" style="1448" customWidth="1"/>
    <col min="13305" max="13553" width="9.140625" style="1448"/>
    <col min="13554" max="13554" width="14.85546875" style="1448" customWidth="1"/>
    <col min="13555" max="13559" width="9.140625" style="1448"/>
    <col min="13560" max="13560" width="29.28515625" style="1448" customWidth="1"/>
    <col min="13561" max="13809" width="9.140625" style="1448"/>
    <col min="13810" max="13810" width="14.85546875" style="1448" customWidth="1"/>
    <col min="13811" max="13815" width="9.140625" style="1448"/>
    <col min="13816" max="13816" width="29.28515625" style="1448" customWidth="1"/>
    <col min="13817" max="14065" width="9.140625" style="1448"/>
    <col min="14066" max="14066" width="14.85546875" style="1448" customWidth="1"/>
    <col min="14067" max="14071" width="9.140625" style="1448"/>
    <col min="14072" max="14072" width="29.28515625" style="1448" customWidth="1"/>
    <col min="14073" max="14321" width="9.140625" style="1448"/>
    <col min="14322" max="14322" width="14.85546875" style="1448" customWidth="1"/>
    <col min="14323" max="14327" width="9.140625" style="1448"/>
    <col min="14328" max="14328" width="29.28515625" style="1448" customWidth="1"/>
    <col min="14329" max="14577" width="9.140625" style="1448"/>
    <col min="14578" max="14578" width="14.85546875" style="1448" customWidth="1"/>
    <col min="14579" max="14583" width="9.140625" style="1448"/>
    <col min="14584" max="14584" width="29.28515625" style="1448" customWidth="1"/>
    <col min="14585" max="14833" width="9.140625" style="1448"/>
    <col min="14834" max="14834" width="14.85546875" style="1448" customWidth="1"/>
    <col min="14835" max="14839" width="9.140625" style="1448"/>
    <col min="14840" max="14840" width="29.28515625" style="1448" customWidth="1"/>
    <col min="14841" max="15089" width="9.140625" style="1448"/>
    <col min="15090" max="15090" width="14.85546875" style="1448" customWidth="1"/>
    <col min="15091" max="15095" width="9.140625" style="1448"/>
    <col min="15096" max="15096" width="29.28515625" style="1448" customWidth="1"/>
    <col min="15097" max="15345" width="9.140625" style="1448"/>
    <col min="15346" max="15346" width="14.85546875" style="1448" customWidth="1"/>
    <col min="15347" max="15351" width="9.140625" style="1448"/>
    <col min="15352" max="15352" width="29.28515625" style="1448" customWidth="1"/>
    <col min="15353" max="15601" width="9.140625" style="1448"/>
    <col min="15602" max="15602" width="14.85546875" style="1448" customWidth="1"/>
    <col min="15603" max="15607" width="9.140625" style="1448"/>
    <col min="15608" max="15608" width="29.28515625" style="1448" customWidth="1"/>
    <col min="15609" max="15857" width="9.140625" style="1448"/>
    <col min="15858" max="15858" width="14.85546875" style="1448" customWidth="1"/>
    <col min="15859" max="15863" width="9.140625" style="1448"/>
    <col min="15864" max="15864" width="29.28515625" style="1448" customWidth="1"/>
    <col min="15865" max="16113" width="9.140625" style="1448"/>
    <col min="16114" max="16114" width="14.85546875" style="1448" customWidth="1"/>
    <col min="16115" max="16119" width="9.140625" style="1448"/>
    <col min="16120" max="16120" width="29.28515625" style="1448" customWidth="1"/>
    <col min="16121" max="16384" width="9.140625" style="1448"/>
  </cols>
  <sheetData>
    <row r="1" spans="1:13">
      <c r="A1" s="1576" t="s">
        <v>1252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</row>
    <row r="2" spans="1:13" ht="25.5">
      <c r="A2" s="1415"/>
      <c r="B2" s="1449" t="s">
        <v>1253</v>
      </c>
      <c r="C2" s="1449" t="s">
        <v>1254</v>
      </c>
      <c r="D2" s="1449" t="s">
        <v>1255</v>
      </c>
      <c r="E2" s="1449" t="s">
        <v>1256</v>
      </c>
      <c r="F2" s="1449" t="s">
        <v>1257</v>
      </c>
      <c r="G2" s="1449" t="s">
        <v>1258</v>
      </c>
      <c r="H2" s="1449" t="s">
        <v>1259</v>
      </c>
      <c r="I2" s="1449" t="s">
        <v>1260</v>
      </c>
      <c r="J2" s="1449" t="s">
        <v>1261</v>
      </c>
      <c r="K2" s="1450" t="s">
        <v>1262</v>
      </c>
    </row>
    <row r="3" spans="1:13">
      <c r="A3" s="1451">
        <v>2015</v>
      </c>
      <c r="B3" s="1452">
        <v>3.8500752800431144</v>
      </c>
      <c r="C3" s="1452"/>
      <c r="D3" s="1452"/>
      <c r="E3" s="1452"/>
      <c r="F3" s="1452"/>
      <c r="G3" s="1452"/>
      <c r="H3" s="1452"/>
      <c r="I3" s="1452"/>
      <c r="J3" s="1452"/>
      <c r="K3" s="1452">
        <v>3.8500752800431144</v>
      </c>
      <c r="M3" s="1453"/>
    </row>
    <row r="4" spans="1:13">
      <c r="A4" s="1451">
        <v>2016</v>
      </c>
      <c r="B4" s="1452">
        <v>3.3246965129382318</v>
      </c>
      <c r="C4" s="1452"/>
      <c r="D4" s="1452"/>
      <c r="E4" s="1452"/>
      <c r="F4" s="1452"/>
      <c r="G4" s="1452"/>
      <c r="H4" s="1452"/>
      <c r="I4" s="1452"/>
      <c r="J4" s="1452"/>
      <c r="K4" s="1452">
        <v>3.3246965129382318</v>
      </c>
    </row>
    <row r="5" spans="1:13">
      <c r="A5" s="1451">
        <v>2017</v>
      </c>
      <c r="B5" s="1452">
        <v>2.5712531886650338</v>
      </c>
      <c r="C5" s="1452">
        <v>0.26198765257943213</v>
      </c>
      <c r="D5" s="1452">
        <v>0.1889115297789753</v>
      </c>
      <c r="E5" s="1452">
        <v>0.16141793674288687</v>
      </c>
      <c r="F5" s="1452">
        <v>0.1508734633978803</v>
      </c>
      <c r="G5" s="1452">
        <v>0.1508734633978803</v>
      </c>
      <c r="H5" s="1452">
        <v>0.16141793674288687</v>
      </c>
      <c r="I5" s="1452">
        <v>0.1889115297789753</v>
      </c>
      <c r="J5" s="1452">
        <v>0.26198765257943213</v>
      </c>
      <c r="K5" s="1452">
        <v>3.3344437711642083</v>
      </c>
    </row>
    <row r="6" spans="1:13">
      <c r="A6" s="1451">
        <v>2018</v>
      </c>
      <c r="B6" s="1452">
        <v>3.2033559616637333</v>
      </c>
      <c r="C6" s="1452">
        <v>0.33054396875844894</v>
      </c>
      <c r="D6" s="1452">
        <v>0.23834545705714183</v>
      </c>
      <c r="E6" s="1452">
        <v>0.2036574048985654</v>
      </c>
      <c r="F6" s="1452">
        <v>0.19035367843050446</v>
      </c>
      <c r="G6" s="1452">
        <v>0.19035367843050446</v>
      </c>
      <c r="H6" s="1452">
        <v>0.2036574048985654</v>
      </c>
      <c r="I6" s="1452">
        <v>0.23834545705714183</v>
      </c>
      <c r="J6" s="1452">
        <v>0.33054396875844894</v>
      </c>
      <c r="K6" s="1452">
        <v>4.1662564708083938</v>
      </c>
    </row>
    <row r="7" spans="1:13">
      <c r="A7" s="1454">
        <v>2019</v>
      </c>
      <c r="B7" s="1455">
        <v>3.4880698256343687</v>
      </c>
      <c r="C7" s="1455">
        <v>0.30393337858671188</v>
      </c>
      <c r="D7" s="1455">
        <v>0.219157349342256</v>
      </c>
      <c r="E7" s="1455">
        <v>0.18726187435068961</v>
      </c>
      <c r="F7" s="1455">
        <v>0.175029170337306</v>
      </c>
      <c r="G7" s="1455">
        <v>0.175029170337306</v>
      </c>
      <c r="H7" s="1455">
        <v>0.18726187435068961</v>
      </c>
      <c r="I7" s="1455">
        <v>0.219157349342256</v>
      </c>
      <c r="J7" s="1455">
        <v>0.30393337858671188</v>
      </c>
      <c r="K7" s="1455">
        <v>4.3734515982513322</v>
      </c>
    </row>
    <row r="8" spans="1:13">
      <c r="K8" s="1414" t="s">
        <v>1164</v>
      </c>
    </row>
    <row r="10" spans="1:13" ht="25.5">
      <c r="A10" s="1415"/>
      <c r="B10" s="1449" t="s">
        <v>1253</v>
      </c>
      <c r="C10" s="1449" t="s">
        <v>1254</v>
      </c>
      <c r="D10" s="1449" t="s">
        <v>1255</v>
      </c>
      <c r="E10" s="1449" t="s">
        <v>1256</v>
      </c>
      <c r="F10" s="1449" t="s">
        <v>1257</v>
      </c>
      <c r="G10" s="1449" t="s">
        <v>1258</v>
      </c>
      <c r="H10" s="1449" t="s">
        <v>1259</v>
      </c>
      <c r="I10" s="1449" t="s">
        <v>1260</v>
      </c>
      <c r="J10" s="1449" t="s">
        <v>1261</v>
      </c>
      <c r="K10" s="1450" t="s">
        <v>1262</v>
      </c>
    </row>
    <row r="11" spans="1:13">
      <c r="A11" s="1451">
        <v>2015</v>
      </c>
      <c r="B11" s="1452">
        <v>3.8500752800431144</v>
      </c>
      <c r="C11" s="1452"/>
      <c r="D11" s="1452"/>
      <c r="E11" s="1452"/>
      <c r="F11" s="1452"/>
      <c r="G11" s="1452"/>
      <c r="H11" s="1452"/>
      <c r="I11" s="1452"/>
      <c r="J11" s="1452"/>
      <c r="K11" s="1452">
        <v>3.8500752800431144</v>
      </c>
    </row>
    <row r="12" spans="1:13">
      <c r="A12" s="1451">
        <v>2016</v>
      </c>
      <c r="B12" s="1452">
        <v>3.3246965129382318</v>
      </c>
      <c r="C12" s="1452"/>
      <c r="D12" s="1452"/>
      <c r="E12" s="1452"/>
      <c r="F12" s="1452"/>
      <c r="G12" s="1452"/>
      <c r="H12" s="1452"/>
      <c r="I12" s="1452"/>
      <c r="J12" s="1452"/>
      <c r="K12" s="1452">
        <v>3.3246965129382318</v>
      </c>
    </row>
    <row r="13" spans="1:13">
      <c r="A13" s="1451">
        <v>2017</v>
      </c>
      <c r="B13" s="1452">
        <v>2.5538495144622724</v>
      </c>
      <c r="C13" s="1452">
        <v>0.26796197649693621</v>
      </c>
      <c r="D13" s="1452">
        <v>0.19321943764997163</v>
      </c>
      <c r="E13" s="1452">
        <v>0.16509888517958768</v>
      </c>
      <c r="F13" s="1452">
        <v>0.15431395737544032</v>
      </c>
      <c r="G13" s="1452">
        <v>0.15431395737544032</v>
      </c>
      <c r="H13" s="1452">
        <v>0.16509888517958768</v>
      </c>
      <c r="I13" s="1452">
        <v>0.19321943764997163</v>
      </c>
      <c r="J13" s="1452">
        <v>0.26796197649693621</v>
      </c>
      <c r="K13" s="1452">
        <v>3.3344437711642083</v>
      </c>
    </row>
    <row r="14" spans="1:13">
      <c r="A14" s="1451">
        <v>2018</v>
      </c>
      <c r="B14" s="1452">
        <v>2.463237905629462</v>
      </c>
      <c r="C14" s="1452">
        <v>0.58461129686555524</v>
      </c>
      <c r="D14" s="1452">
        <v>0.42154587565327495</v>
      </c>
      <c r="E14" s="1452">
        <v>0.3601954077130034</v>
      </c>
      <c r="F14" s="1452">
        <v>0.33666598494709821</v>
      </c>
      <c r="G14" s="1452">
        <v>0.33666598494709821</v>
      </c>
      <c r="H14" s="1452">
        <v>0.3601954077130034</v>
      </c>
      <c r="I14" s="1452">
        <v>0.42154587565327495</v>
      </c>
      <c r="J14" s="1452">
        <v>0.58461129686555524</v>
      </c>
      <c r="K14" s="1452">
        <v>4.1662564708083938</v>
      </c>
    </row>
    <row r="15" spans="1:13">
      <c r="A15" s="1454">
        <v>2019</v>
      </c>
      <c r="B15" s="1455">
        <v>2.5150509928498597</v>
      </c>
      <c r="C15" s="1455">
        <v>0.63795076004079743</v>
      </c>
      <c r="D15" s="1455">
        <v>0.46000738132659758</v>
      </c>
      <c r="E15" s="1455">
        <v>0.39305934617708926</v>
      </c>
      <c r="F15" s="1455">
        <v>0.36738311785698807</v>
      </c>
      <c r="G15" s="1455">
        <v>0.36738311785698807</v>
      </c>
      <c r="H15" s="1455">
        <v>0.39305934617708926</v>
      </c>
      <c r="I15" s="1455">
        <v>0.46000738132659758</v>
      </c>
      <c r="J15" s="1455">
        <v>0.63795076004079743</v>
      </c>
      <c r="K15" s="1455">
        <v>4.3734515982513322</v>
      </c>
    </row>
    <row r="16" spans="1:13">
      <c r="K16" s="1414" t="s">
        <v>1164</v>
      </c>
    </row>
  </sheetData>
  <mergeCells count="1">
    <mergeCell ref="A1:K1"/>
  </mergeCells>
  <pageMargins left="0.25" right="0.25" top="0.75" bottom="0.75" header="0.3" footer="0.3"/>
  <pageSetup scale="95" fitToHeight="0" orientation="portrait" horizontalDpi="4294967294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GridLines="0" zoomScaleNormal="100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2.75"/>
  <cols>
    <col min="1" max="1" width="29" style="1426" customWidth="1"/>
    <col min="2" max="2" width="10" style="1426" customWidth="1"/>
    <col min="3" max="6" width="9.140625" style="1426"/>
    <col min="7" max="7" width="10" style="1426" customWidth="1"/>
    <col min="8" max="20" width="9.140625" style="1426"/>
    <col min="21" max="21" width="13.42578125" style="1426" customWidth="1"/>
    <col min="22" max="22" width="23.7109375" style="1426" customWidth="1"/>
    <col min="23" max="16384" width="9.140625" style="1426"/>
  </cols>
  <sheetData>
    <row r="1" spans="1:10">
      <c r="A1" s="1403" t="s">
        <v>1263</v>
      </c>
    </row>
    <row r="2" spans="1:10">
      <c r="A2" s="1415"/>
      <c r="B2" s="1449">
        <v>2010</v>
      </c>
      <c r="C2" s="1449">
        <v>2011</v>
      </c>
      <c r="D2" s="1449">
        <v>2012</v>
      </c>
      <c r="E2" s="1449">
        <v>2013</v>
      </c>
      <c r="F2" s="1449">
        <v>2014</v>
      </c>
      <c r="G2" s="1449">
        <v>2015</v>
      </c>
      <c r="H2" s="1449">
        <v>2016</v>
      </c>
      <c r="I2" s="1449">
        <v>2017</v>
      </c>
      <c r="J2" s="1449">
        <v>2018</v>
      </c>
    </row>
    <row r="3" spans="1:10">
      <c r="A3" s="1426" t="s">
        <v>1264</v>
      </c>
      <c r="B3" s="1441">
        <v>1.5</v>
      </c>
      <c r="C3" s="1441">
        <v>3.5737825396655891</v>
      </c>
      <c r="D3" s="1441">
        <v>1.8</v>
      </c>
      <c r="E3" s="1441">
        <v>2.1</v>
      </c>
      <c r="F3" s="1441">
        <v>2.0434960623658114</v>
      </c>
      <c r="G3" s="1441">
        <v>2.6</v>
      </c>
      <c r="H3" s="1441">
        <v>3.4</v>
      </c>
      <c r="I3" s="1441">
        <v>3.4</v>
      </c>
      <c r="J3" s="1441">
        <v>3.9</v>
      </c>
    </row>
    <row r="4" spans="1:10">
      <c r="A4" s="1426" t="s">
        <v>1265</v>
      </c>
      <c r="B4" s="1441">
        <v>1.4999999999999858</v>
      </c>
      <c r="C4" s="1441">
        <v>3.5</v>
      </c>
      <c r="D4" s="1441">
        <v>1.5</v>
      </c>
      <c r="E4" s="1441">
        <v>2</v>
      </c>
      <c r="F4" s="1441">
        <v>1.7</v>
      </c>
      <c r="G4" s="1441">
        <v>2.5</v>
      </c>
      <c r="H4" s="1441">
        <v>3.1500000000000004</v>
      </c>
      <c r="I4" s="1441">
        <v>3.3</v>
      </c>
      <c r="J4" s="1441">
        <v>3.8</v>
      </c>
    </row>
    <row r="5" spans="1:10">
      <c r="A5" s="1426" t="s">
        <v>1266</v>
      </c>
      <c r="B5" s="1441">
        <v>2.3538570095284825</v>
      </c>
      <c r="C5" s="1441">
        <v>4</v>
      </c>
      <c r="D5" s="1441">
        <v>2.1</v>
      </c>
      <c r="E5" s="1441">
        <v>2.2000000000000002</v>
      </c>
      <c r="F5" s="1441">
        <v>2.4164215117975001</v>
      </c>
      <c r="G5" s="1441">
        <v>2.9</v>
      </c>
      <c r="H5" s="1441">
        <v>3.5</v>
      </c>
      <c r="I5" s="1441">
        <v>3.5</v>
      </c>
      <c r="J5" s="1441">
        <v>3.95</v>
      </c>
    </row>
    <row r="6" spans="1:10">
      <c r="A6" s="1452" t="s">
        <v>1267</v>
      </c>
      <c r="B6" s="1456">
        <v>1.9</v>
      </c>
      <c r="C6" s="1456">
        <v>3.3</v>
      </c>
      <c r="D6" s="1456">
        <v>1.7</v>
      </c>
      <c r="E6" s="1456">
        <v>2.1</v>
      </c>
      <c r="F6" s="1456">
        <v>2.21951466927423</v>
      </c>
      <c r="G6" s="1456">
        <v>2.6000691656083763</v>
      </c>
      <c r="H6" s="1456">
        <v>3.1183536440284154</v>
      </c>
      <c r="I6" s="1456">
        <v>3.5318382740930909</v>
      </c>
      <c r="J6" s="1456">
        <v>4.1662564708083938</v>
      </c>
    </row>
    <row r="7" spans="1:10">
      <c r="A7" s="1455" t="s">
        <v>213</v>
      </c>
      <c r="B7" s="1457">
        <v>5.0416732728363769</v>
      </c>
      <c r="C7" s="1457">
        <v>2.8191419307962633</v>
      </c>
      <c r="D7" s="1457">
        <v>1.6571102898000163</v>
      </c>
      <c r="E7" s="1457">
        <v>1.4906461212620457</v>
      </c>
      <c r="F7" s="1457">
        <v>2.7503009623821413</v>
      </c>
      <c r="G7" s="1457">
        <v>3.8500752800431144</v>
      </c>
      <c r="H7" s="1457">
        <v>3.3246965129382318</v>
      </c>
      <c r="I7" s="1457"/>
      <c r="J7" s="1457"/>
    </row>
    <row r="8" spans="1:10">
      <c r="A8" s="1425"/>
      <c r="B8" s="1425"/>
      <c r="C8" s="1425"/>
      <c r="D8" s="1425"/>
      <c r="E8" s="1425"/>
      <c r="F8" s="1425"/>
      <c r="G8" s="1425"/>
      <c r="H8" s="1425"/>
      <c r="I8" s="1425"/>
      <c r="J8" s="1414" t="s">
        <v>1164</v>
      </c>
    </row>
    <row r="9" spans="1:10">
      <c r="A9" s="1425"/>
      <c r="B9" s="1425"/>
      <c r="C9" s="1425"/>
      <c r="D9" s="1425"/>
      <c r="E9" s="1425"/>
      <c r="F9" s="1425"/>
      <c r="G9" s="1425"/>
      <c r="H9" s="1425"/>
      <c r="I9" s="1425"/>
      <c r="J9" s="1425"/>
    </row>
    <row r="10" spans="1:10">
      <c r="A10" s="1425"/>
      <c r="B10" s="1425"/>
      <c r="C10" s="1425"/>
      <c r="D10" s="1425"/>
      <c r="E10" s="1425"/>
      <c r="F10" s="1425"/>
      <c r="G10" s="1425"/>
      <c r="H10" s="1425"/>
      <c r="I10" s="1425"/>
      <c r="J10" s="1425"/>
    </row>
    <row r="11" spans="1:10">
      <c r="A11" s="1425"/>
      <c r="B11" s="1425"/>
      <c r="C11" s="1425"/>
      <c r="D11" s="1425"/>
      <c r="E11" s="1425"/>
      <c r="F11" s="1425"/>
      <c r="G11" s="1425"/>
      <c r="H11" s="1425"/>
      <c r="I11" s="1425"/>
      <c r="J11" s="1425"/>
    </row>
    <row r="12" spans="1:10">
      <c r="A12" s="1425"/>
      <c r="B12" s="1425"/>
      <c r="C12" s="1425"/>
      <c r="D12" s="1425"/>
      <c r="E12" s="1425"/>
      <c r="F12" s="1425"/>
      <c r="G12" s="1425"/>
      <c r="H12" s="1425"/>
      <c r="I12" s="1425"/>
      <c r="J12" s="1425"/>
    </row>
    <row r="13" spans="1:10">
      <c r="A13" s="1425"/>
      <c r="B13" s="1425"/>
      <c r="C13" s="1425"/>
      <c r="D13" s="1425"/>
      <c r="E13" s="1425"/>
      <c r="F13" s="1425"/>
      <c r="G13" s="1425"/>
      <c r="H13" s="1425"/>
      <c r="I13" s="1425"/>
      <c r="J13" s="1425"/>
    </row>
    <row r="14" spans="1:10">
      <c r="A14" s="1425"/>
      <c r="B14" s="1425"/>
      <c r="C14" s="1425"/>
      <c r="D14" s="1425"/>
      <c r="E14" s="1425"/>
      <c r="F14" s="1425"/>
      <c r="G14" s="1425"/>
      <c r="H14" s="1425"/>
      <c r="I14" s="1425"/>
      <c r="J14" s="1425"/>
    </row>
    <row r="15" spans="1:10">
      <c r="A15" s="1425"/>
      <c r="B15" s="1425"/>
      <c r="C15" s="1425"/>
      <c r="D15" s="1425"/>
      <c r="E15" s="1425"/>
      <c r="F15" s="1425"/>
      <c r="G15" s="1425"/>
      <c r="H15" s="1425"/>
      <c r="I15" s="1425"/>
      <c r="J15" s="1425"/>
    </row>
    <row r="16" spans="1:10">
      <c r="A16" s="1425"/>
      <c r="B16" s="1425"/>
      <c r="C16" s="1425"/>
      <c r="D16" s="1425"/>
      <c r="E16" s="1425"/>
      <c r="F16" s="1425"/>
      <c r="G16" s="1425"/>
      <c r="H16" s="1425"/>
      <c r="I16" s="1425"/>
      <c r="J16" s="1425"/>
    </row>
    <row r="17" spans="1:10">
      <c r="A17" s="1425"/>
      <c r="B17" s="1425"/>
      <c r="C17" s="1425"/>
      <c r="D17" s="1425"/>
      <c r="E17" s="1425"/>
      <c r="F17" s="1425"/>
      <c r="G17" s="1425"/>
      <c r="H17" s="1425"/>
      <c r="I17" s="1425"/>
      <c r="J17" s="1425"/>
    </row>
    <row r="18" spans="1:10">
      <c r="A18" s="1425"/>
      <c r="B18" s="1425"/>
      <c r="C18" s="1425"/>
      <c r="D18" s="1425"/>
      <c r="E18" s="1425"/>
      <c r="F18" s="1425"/>
      <c r="G18" s="1425"/>
      <c r="H18" s="1425"/>
      <c r="I18" s="1425"/>
      <c r="J18" s="1425"/>
    </row>
    <row r="19" spans="1:10">
      <c r="A19" s="1425"/>
      <c r="B19" s="1425"/>
      <c r="C19" s="1458"/>
      <c r="D19" s="1425"/>
      <c r="E19" s="1425"/>
      <c r="F19" s="1425"/>
      <c r="G19" s="1425"/>
      <c r="H19" s="1425"/>
      <c r="I19" s="1425"/>
      <c r="J19" s="1425"/>
    </row>
    <row r="20" spans="1:10">
      <c r="A20" s="1425"/>
      <c r="B20" s="1425"/>
      <c r="C20" s="1425"/>
      <c r="D20" s="1425"/>
      <c r="E20" s="1425"/>
      <c r="F20" s="1425"/>
      <c r="G20" s="1425"/>
      <c r="H20" s="1425"/>
      <c r="I20" s="1425"/>
      <c r="J20" s="1425"/>
    </row>
    <row r="21" spans="1:10">
      <c r="A21" s="1425"/>
      <c r="B21" s="1425"/>
      <c r="C21" s="1425"/>
      <c r="D21" s="1425"/>
      <c r="E21" s="1425"/>
      <c r="F21" s="1425"/>
      <c r="G21" s="1425"/>
      <c r="H21" s="1425"/>
      <c r="I21" s="1425"/>
      <c r="J21" s="1425"/>
    </row>
    <row r="22" spans="1:10">
      <c r="A22" s="1425"/>
      <c r="B22" s="1425"/>
      <c r="C22" s="1425"/>
      <c r="D22" s="1425"/>
      <c r="E22" s="1425"/>
      <c r="F22" s="1425"/>
      <c r="G22" s="1425"/>
      <c r="H22" s="1425"/>
      <c r="I22" s="1425"/>
      <c r="J22" s="1425"/>
    </row>
    <row r="23" spans="1:10">
      <c r="A23" s="1425"/>
      <c r="B23" s="1425"/>
      <c r="C23" s="1425"/>
      <c r="D23" s="1425"/>
      <c r="E23" s="1425"/>
      <c r="F23" s="1425"/>
      <c r="G23" s="1425"/>
      <c r="H23" s="1425"/>
      <c r="I23" s="1425"/>
      <c r="J23" s="1425"/>
    </row>
    <row r="24" spans="1:10">
      <c r="A24" s="1425"/>
      <c r="B24" s="1425"/>
      <c r="C24" s="1425"/>
      <c r="D24" s="1425"/>
      <c r="E24" s="1425"/>
      <c r="F24" s="1425"/>
      <c r="G24" s="1425"/>
      <c r="H24" s="1425"/>
      <c r="I24" s="1425"/>
      <c r="J24" s="1425"/>
    </row>
  </sheetData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GridLines="0" zoomScaleNormal="100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RowHeight="12.75"/>
  <cols>
    <col min="1" max="1" width="29" style="1426" customWidth="1"/>
    <col min="2" max="2" width="10" style="1426" customWidth="1"/>
    <col min="3" max="6" width="9.140625" style="1426"/>
    <col min="7" max="7" width="10" style="1426" customWidth="1"/>
    <col min="8" max="20" width="9.140625" style="1426"/>
    <col min="21" max="21" width="13.42578125" style="1426" customWidth="1"/>
    <col min="22" max="22" width="23.7109375" style="1426" customWidth="1"/>
    <col min="23" max="16384" width="9.140625" style="1426"/>
  </cols>
  <sheetData>
    <row r="1" spans="1:10">
      <c r="A1" s="1403" t="s">
        <v>1268</v>
      </c>
    </row>
    <row r="2" spans="1:10">
      <c r="A2" s="1415"/>
      <c r="B2" s="1449">
        <v>2010</v>
      </c>
      <c r="C2" s="1449">
        <v>2011</v>
      </c>
      <c r="D2" s="1449">
        <v>2012</v>
      </c>
      <c r="E2" s="1449">
        <v>2013</v>
      </c>
      <c r="F2" s="1449">
        <v>2014</v>
      </c>
      <c r="G2" s="1449">
        <v>2015</v>
      </c>
      <c r="H2" s="1449">
        <v>2016</v>
      </c>
      <c r="I2" s="1449">
        <v>2017</v>
      </c>
      <c r="J2" s="1449">
        <v>2018</v>
      </c>
    </row>
    <row r="3" spans="1:10">
      <c r="A3" s="1426" t="s">
        <v>1264</v>
      </c>
      <c r="B3" s="1441">
        <v>3.499999999999992</v>
      </c>
      <c r="C3" s="1441">
        <v>-0.50000000000000044</v>
      </c>
      <c r="D3" s="1441">
        <v>0.4</v>
      </c>
      <c r="E3" s="1441">
        <v>-0.7</v>
      </c>
      <c r="F3" s="1441">
        <v>-0.36255436662319485</v>
      </c>
      <c r="G3" s="1441">
        <v>0</v>
      </c>
      <c r="H3" s="1441">
        <v>1.5</v>
      </c>
      <c r="I3" s="1441">
        <v>1.9</v>
      </c>
      <c r="J3" s="1441">
        <v>1.6</v>
      </c>
    </row>
    <row r="4" spans="1:10">
      <c r="A4" s="1426" t="s">
        <v>1265</v>
      </c>
      <c r="B4" s="1441">
        <v>2.8977136329066679</v>
      </c>
      <c r="C4" s="1441">
        <v>-2.6965865062921699</v>
      </c>
      <c r="D4" s="1441">
        <v>0</v>
      </c>
      <c r="E4" s="1441">
        <v>-1.5</v>
      </c>
      <c r="F4" s="1441">
        <v>-0.5</v>
      </c>
      <c r="G4" s="1441">
        <v>0</v>
      </c>
      <c r="H4" s="1441">
        <v>1.25</v>
      </c>
      <c r="I4" s="1441">
        <v>1.7</v>
      </c>
      <c r="J4" s="1441">
        <v>1.4</v>
      </c>
    </row>
    <row r="5" spans="1:10">
      <c r="A5" s="1426" t="s">
        <v>1266</v>
      </c>
      <c r="B5" s="1441">
        <v>3.7</v>
      </c>
      <c r="C5" s="1441">
        <v>1</v>
      </c>
      <c r="D5" s="1441">
        <v>1</v>
      </c>
      <c r="E5" s="1441">
        <v>0</v>
      </c>
      <c r="F5" s="1441">
        <v>0.25</v>
      </c>
      <c r="G5" s="1441">
        <v>1</v>
      </c>
      <c r="H5" s="1441">
        <v>2</v>
      </c>
      <c r="I5" s="1441">
        <v>2.1</v>
      </c>
      <c r="J5" s="1441">
        <v>1.85</v>
      </c>
    </row>
    <row r="6" spans="1:10">
      <c r="A6" s="1452" t="s">
        <v>1267</v>
      </c>
      <c r="B6" s="1456">
        <v>2.4</v>
      </c>
      <c r="C6" s="1456">
        <v>-6.3</v>
      </c>
      <c r="D6" s="1456">
        <v>-0.1</v>
      </c>
      <c r="E6" s="1456">
        <v>0.1</v>
      </c>
      <c r="F6" s="1456">
        <v>-1.2117174022520105</v>
      </c>
      <c r="G6" s="1456">
        <v>-3.8462206595765935</v>
      </c>
      <c r="H6" s="1456">
        <v>-0.6714173834616588</v>
      </c>
      <c r="I6" s="1456">
        <v>1.702198713489711</v>
      </c>
      <c r="J6" s="1456">
        <v>1.3413629540656835</v>
      </c>
    </row>
    <row r="7" spans="1:10">
      <c r="A7" s="1455" t="s">
        <v>213</v>
      </c>
      <c r="B7" s="1457">
        <v>1.6504489005967287</v>
      </c>
      <c r="C7" s="1457">
        <v>-1.7588926833691119</v>
      </c>
      <c r="D7" s="1457">
        <v>-2.143384501799602</v>
      </c>
      <c r="E7" s="1457">
        <v>2.163610785831608</v>
      </c>
      <c r="F7" s="1457">
        <v>5.1756234903149476</v>
      </c>
      <c r="G7" s="1457">
        <v>5.4270709907696073</v>
      </c>
      <c r="H7" s="1457">
        <v>1.5762234463237519</v>
      </c>
      <c r="I7" s="1457"/>
      <c r="J7" s="1457"/>
    </row>
    <row r="8" spans="1:10">
      <c r="A8" s="1425"/>
      <c r="B8" s="1425"/>
      <c r="C8" s="1425"/>
      <c r="D8" s="1425"/>
      <c r="E8" s="1425"/>
      <c r="F8" s="1425"/>
      <c r="G8" s="1425"/>
      <c r="H8" s="1425"/>
      <c r="I8" s="1425"/>
      <c r="J8" s="1414" t="s">
        <v>1164</v>
      </c>
    </row>
    <row r="9" spans="1:10">
      <c r="A9" s="1425"/>
      <c r="B9" s="1425"/>
      <c r="C9" s="1425"/>
      <c r="D9" s="1425"/>
      <c r="E9" s="1425"/>
      <c r="F9" s="1425"/>
      <c r="G9" s="1425"/>
      <c r="H9" s="1425"/>
      <c r="I9" s="1425"/>
      <c r="J9" s="1425"/>
    </row>
    <row r="10" spans="1:10">
      <c r="A10" s="1425"/>
      <c r="B10" s="1425"/>
      <c r="C10" s="1425"/>
      <c r="D10" s="1425"/>
      <c r="E10" s="1425"/>
      <c r="F10" s="1425"/>
      <c r="G10" s="1425"/>
      <c r="H10" s="1425"/>
      <c r="I10" s="1425"/>
      <c r="J10" s="1425"/>
    </row>
    <row r="11" spans="1:10">
      <c r="A11" s="1425"/>
      <c r="B11" s="1425"/>
      <c r="C11" s="1425"/>
      <c r="D11" s="1425"/>
      <c r="E11" s="1425"/>
      <c r="F11" s="1425"/>
      <c r="G11" s="1425"/>
      <c r="H11" s="1425"/>
      <c r="I11" s="1425"/>
      <c r="J11" s="1425"/>
    </row>
    <row r="12" spans="1:10">
      <c r="A12" s="1425"/>
      <c r="B12" s="1425"/>
      <c r="C12" s="1425"/>
      <c r="D12" s="1425"/>
      <c r="E12" s="1425"/>
      <c r="F12" s="1425"/>
      <c r="G12" s="1425"/>
      <c r="H12" s="1425"/>
      <c r="I12" s="1425"/>
      <c r="J12" s="1425"/>
    </row>
    <row r="13" spans="1:10">
      <c r="A13" s="1425"/>
      <c r="B13" s="1425"/>
      <c r="C13" s="1425"/>
      <c r="D13" s="1425"/>
      <c r="E13" s="1425"/>
      <c r="F13" s="1425"/>
      <c r="G13" s="1425"/>
      <c r="H13" s="1425"/>
      <c r="I13" s="1425"/>
      <c r="J13" s="1425"/>
    </row>
    <row r="14" spans="1:10">
      <c r="A14" s="1425"/>
      <c r="B14" s="1425"/>
      <c r="C14" s="1425"/>
      <c r="D14" s="1425"/>
      <c r="E14" s="1425"/>
      <c r="F14" s="1425"/>
      <c r="G14" s="1425"/>
      <c r="H14" s="1425"/>
      <c r="I14" s="1425"/>
      <c r="J14" s="1425"/>
    </row>
    <row r="15" spans="1:10">
      <c r="A15" s="1425"/>
      <c r="B15" s="1425"/>
      <c r="C15" s="1425"/>
      <c r="D15" s="1425"/>
      <c r="E15" s="1425"/>
      <c r="F15" s="1425"/>
      <c r="G15" s="1425"/>
      <c r="H15" s="1425"/>
      <c r="I15" s="1425"/>
      <c r="J15" s="1425"/>
    </row>
    <row r="16" spans="1:10">
      <c r="A16" s="1425"/>
      <c r="B16" s="1425"/>
      <c r="C16" s="1425"/>
      <c r="D16" s="1425"/>
      <c r="E16" s="1425"/>
      <c r="F16" s="1425"/>
      <c r="G16" s="1425"/>
      <c r="H16" s="1425"/>
      <c r="I16" s="1425"/>
      <c r="J16" s="1425"/>
    </row>
    <row r="17" spans="1:10">
      <c r="A17" s="1425"/>
      <c r="B17" s="1425"/>
      <c r="C17" s="1425"/>
      <c r="D17" s="1425"/>
      <c r="E17" s="1425"/>
      <c r="F17" s="1425"/>
      <c r="G17" s="1425"/>
      <c r="H17" s="1425"/>
      <c r="I17" s="1425"/>
      <c r="J17" s="1425"/>
    </row>
    <row r="18" spans="1:10">
      <c r="A18" s="1425"/>
      <c r="B18" s="1425"/>
      <c r="C18" s="1425"/>
      <c r="D18" s="1425"/>
      <c r="E18" s="1425"/>
      <c r="F18" s="1425"/>
      <c r="G18" s="1425"/>
      <c r="H18" s="1425"/>
      <c r="I18" s="1425"/>
      <c r="J18" s="1425"/>
    </row>
    <row r="19" spans="1:10">
      <c r="A19" s="1425"/>
      <c r="B19" s="1425"/>
      <c r="C19" s="1458"/>
      <c r="D19" s="1425"/>
      <c r="E19" s="1425"/>
      <c r="F19" s="1425"/>
      <c r="G19" s="1425"/>
      <c r="H19" s="1425"/>
      <c r="I19" s="1425"/>
      <c r="J19" s="1425"/>
    </row>
    <row r="20" spans="1:10">
      <c r="A20" s="1425"/>
      <c r="B20" s="1425"/>
      <c r="C20" s="1425"/>
      <c r="D20" s="1425"/>
      <c r="E20" s="1425"/>
      <c r="F20" s="1425"/>
      <c r="G20" s="1425"/>
      <c r="H20" s="1425"/>
      <c r="I20" s="1425"/>
      <c r="J20" s="1425"/>
    </row>
    <row r="21" spans="1:10">
      <c r="A21" s="1425"/>
      <c r="B21" s="1425"/>
      <c r="C21" s="1425"/>
      <c r="D21" s="1425"/>
      <c r="E21" s="1425"/>
      <c r="F21" s="1425"/>
      <c r="G21" s="1425"/>
      <c r="H21" s="1425"/>
      <c r="I21" s="1425"/>
      <c r="J21" s="1425"/>
    </row>
    <row r="22" spans="1:10">
      <c r="A22" s="1425"/>
      <c r="B22" s="1425"/>
      <c r="C22" s="1425"/>
      <c r="D22" s="1425"/>
      <c r="E22" s="1425"/>
      <c r="F22" s="1425"/>
      <c r="G22" s="1425"/>
      <c r="H22" s="1425"/>
      <c r="I22" s="1425"/>
      <c r="J22" s="1425"/>
    </row>
    <row r="23" spans="1:10">
      <c r="A23" s="1425"/>
      <c r="B23" s="1425"/>
      <c r="C23" s="1425"/>
      <c r="D23" s="1425"/>
      <c r="E23" s="1425"/>
      <c r="F23" s="1425"/>
      <c r="G23" s="1425"/>
      <c r="H23" s="1425"/>
      <c r="I23" s="1425"/>
      <c r="J23" s="1425"/>
    </row>
    <row r="24" spans="1:10">
      <c r="A24" s="1425"/>
      <c r="B24" s="1425"/>
      <c r="C24" s="1425"/>
      <c r="D24" s="1425"/>
      <c r="E24" s="1425"/>
      <c r="F24" s="1425"/>
      <c r="G24" s="1425"/>
      <c r="H24" s="1425"/>
      <c r="I24" s="1425"/>
      <c r="J24" s="1425"/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showGridLines="0" zoomScaleNormal="100" workbookViewId="0"/>
  </sheetViews>
  <sheetFormatPr defaultColWidth="11.42578125" defaultRowHeight="15"/>
  <cols>
    <col min="1" max="1" width="10.5703125" style="491" customWidth="1"/>
    <col min="2" max="2" width="17.42578125" style="491" customWidth="1"/>
    <col min="3" max="3" width="17.28515625" style="491" customWidth="1"/>
    <col min="4" max="5" width="15.5703125" style="491" customWidth="1"/>
    <col min="6" max="6" width="12.42578125" style="492" customWidth="1"/>
    <col min="7" max="7" width="107.28515625" style="492" customWidth="1"/>
    <col min="8" max="9" width="0" style="492" hidden="1" customWidth="1"/>
    <col min="10" max="256" width="11.42578125" style="492"/>
    <col min="257" max="257" width="10.5703125" style="492" customWidth="1"/>
    <col min="258" max="258" width="12.42578125" style="492" customWidth="1"/>
    <col min="259" max="259" width="14.140625" style="492" customWidth="1"/>
    <col min="260" max="260" width="17.28515625" style="492" customWidth="1"/>
    <col min="261" max="261" width="20" style="492" customWidth="1"/>
    <col min="262" max="262" width="12.42578125" style="492" customWidth="1"/>
    <col min="263" max="263" width="107.28515625" style="492" customWidth="1"/>
    <col min="264" max="512" width="11.42578125" style="492"/>
    <col min="513" max="513" width="10.5703125" style="492" customWidth="1"/>
    <col min="514" max="514" width="12.42578125" style="492" customWidth="1"/>
    <col min="515" max="515" width="14.140625" style="492" customWidth="1"/>
    <col min="516" max="516" width="17.28515625" style="492" customWidth="1"/>
    <col min="517" max="517" width="20" style="492" customWidth="1"/>
    <col min="518" max="518" width="12.42578125" style="492" customWidth="1"/>
    <col min="519" max="519" width="107.28515625" style="492" customWidth="1"/>
    <col min="520" max="768" width="11.42578125" style="492"/>
    <col min="769" max="769" width="10.5703125" style="492" customWidth="1"/>
    <col min="770" max="770" width="12.42578125" style="492" customWidth="1"/>
    <col min="771" max="771" width="14.140625" style="492" customWidth="1"/>
    <col min="772" max="772" width="17.28515625" style="492" customWidth="1"/>
    <col min="773" max="773" width="20" style="492" customWidth="1"/>
    <col min="774" max="774" width="12.42578125" style="492" customWidth="1"/>
    <col min="775" max="775" width="107.28515625" style="492" customWidth="1"/>
    <col min="776" max="1024" width="11.42578125" style="492"/>
    <col min="1025" max="1025" width="10.5703125" style="492" customWidth="1"/>
    <col min="1026" max="1026" width="12.42578125" style="492" customWidth="1"/>
    <col min="1027" max="1027" width="14.140625" style="492" customWidth="1"/>
    <col min="1028" max="1028" width="17.28515625" style="492" customWidth="1"/>
    <col min="1029" max="1029" width="20" style="492" customWidth="1"/>
    <col min="1030" max="1030" width="12.42578125" style="492" customWidth="1"/>
    <col min="1031" max="1031" width="107.28515625" style="492" customWidth="1"/>
    <col min="1032" max="1280" width="11.42578125" style="492"/>
    <col min="1281" max="1281" width="10.5703125" style="492" customWidth="1"/>
    <col min="1282" max="1282" width="12.42578125" style="492" customWidth="1"/>
    <col min="1283" max="1283" width="14.140625" style="492" customWidth="1"/>
    <col min="1284" max="1284" width="17.28515625" style="492" customWidth="1"/>
    <col min="1285" max="1285" width="20" style="492" customWidth="1"/>
    <col min="1286" max="1286" width="12.42578125" style="492" customWidth="1"/>
    <col min="1287" max="1287" width="107.28515625" style="492" customWidth="1"/>
    <col min="1288" max="1536" width="11.42578125" style="492"/>
    <col min="1537" max="1537" width="10.5703125" style="492" customWidth="1"/>
    <col min="1538" max="1538" width="12.42578125" style="492" customWidth="1"/>
    <col min="1539" max="1539" width="14.140625" style="492" customWidth="1"/>
    <col min="1540" max="1540" width="17.28515625" style="492" customWidth="1"/>
    <col min="1541" max="1541" width="20" style="492" customWidth="1"/>
    <col min="1542" max="1542" width="12.42578125" style="492" customWidth="1"/>
    <col min="1543" max="1543" width="107.28515625" style="492" customWidth="1"/>
    <col min="1544" max="1792" width="11.42578125" style="492"/>
    <col min="1793" max="1793" width="10.5703125" style="492" customWidth="1"/>
    <col min="1794" max="1794" width="12.42578125" style="492" customWidth="1"/>
    <col min="1795" max="1795" width="14.140625" style="492" customWidth="1"/>
    <col min="1796" max="1796" width="17.28515625" style="492" customWidth="1"/>
    <col min="1797" max="1797" width="20" style="492" customWidth="1"/>
    <col min="1798" max="1798" width="12.42578125" style="492" customWidth="1"/>
    <col min="1799" max="1799" width="107.28515625" style="492" customWidth="1"/>
    <col min="1800" max="2048" width="11.42578125" style="492"/>
    <col min="2049" max="2049" width="10.5703125" style="492" customWidth="1"/>
    <col min="2050" max="2050" width="12.42578125" style="492" customWidth="1"/>
    <col min="2051" max="2051" width="14.140625" style="492" customWidth="1"/>
    <col min="2052" max="2052" width="17.28515625" style="492" customWidth="1"/>
    <col min="2053" max="2053" width="20" style="492" customWidth="1"/>
    <col min="2054" max="2054" width="12.42578125" style="492" customWidth="1"/>
    <col min="2055" max="2055" width="107.28515625" style="492" customWidth="1"/>
    <col min="2056" max="2304" width="11.42578125" style="492"/>
    <col min="2305" max="2305" width="10.5703125" style="492" customWidth="1"/>
    <col min="2306" max="2306" width="12.42578125" style="492" customWidth="1"/>
    <col min="2307" max="2307" width="14.140625" style="492" customWidth="1"/>
    <col min="2308" max="2308" width="17.28515625" style="492" customWidth="1"/>
    <col min="2309" max="2309" width="20" style="492" customWidth="1"/>
    <col min="2310" max="2310" width="12.42578125" style="492" customWidth="1"/>
    <col min="2311" max="2311" width="107.28515625" style="492" customWidth="1"/>
    <col min="2312" max="2560" width="11.42578125" style="492"/>
    <col min="2561" max="2561" width="10.5703125" style="492" customWidth="1"/>
    <col min="2562" max="2562" width="12.42578125" style="492" customWidth="1"/>
    <col min="2563" max="2563" width="14.140625" style="492" customWidth="1"/>
    <col min="2564" max="2564" width="17.28515625" style="492" customWidth="1"/>
    <col min="2565" max="2565" width="20" style="492" customWidth="1"/>
    <col min="2566" max="2566" width="12.42578125" style="492" customWidth="1"/>
    <col min="2567" max="2567" width="107.28515625" style="492" customWidth="1"/>
    <col min="2568" max="2816" width="11.42578125" style="492"/>
    <col min="2817" max="2817" width="10.5703125" style="492" customWidth="1"/>
    <col min="2818" max="2818" width="12.42578125" style="492" customWidth="1"/>
    <col min="2819" max="2819" width="14.140625" style="492" customWidth="1"/>
    <col min="2820" max="2820" width="17.28515625" style="492" customWidth="1"/>
    <col min="2821" max="2821" width="20" style="492" customWidth="1"/>
    <col min="2822" max="2822" width="12.42578125" style="492" customWidth="1"/>
    <col min="2823" max="2823" width="107.28515625" style="492" customWidth="1"/>
    <col min="2824" max="3072" width="11.42578125" style="492"/>
    <col min="3073" max="3073" width="10.5703125" style="492" customWidth="1"/>
    <col min="3074" max="3074" width="12.42578125" style="492" customWidth="1"/>
    <col min="3075" max="3075" width="14.140625" style="492" customWidth="1"/>
    <col min="3076" max="3076" width="17.28515625" style="492" customWidth="1"/>
    <col min="3077" max="3077" width="20" style="492" customWidth="1"/>
    <col min="3078" max="3078" width="12.42578125" style="492" customWidth="1"/>
    <col min="3079" max="3079" width="107.28515625" style="492" customWidth="1"/>
    <col min="3080" max="3328" width="11.42578125" style="492"/>
    <col min="3329" max="3329" width="10.5703125" style="492" customWidth="1"/>
    <col min="3330" max="3330" width="12.42578125" style="492" customWidth="1"/>
    <col min="3331" max="3331" width="14.140625" style="492" customWidth="1"/>
    <col min="3332" max="3332" width="17.28515625" style="492" customWidth="1"/>
    <col min="3333" max="3333" width="20" style="492" customWidth="1"/>
    <col min="3334" max="3334" width="12.42578125" style="492" customWidth="1"/>
    <col min="3335" max="3335" width="107.28515625" style="492" customWidth="1"/>
    <col min="3336" max="3584" width="11.42578125" style="492"/>
    <col min="3585" max="3585" width="10.5703125" style="492" customWidth="1"/>
    <col min="3586" max="3586" width="12.42578125" style="492" customWidth="1"/>
    <col min="3587" max="3587" width="14.140625" style="492" customWidth="1"/>
    <col min="3588" max="3588" width="17.28515625" style="492" customWidth="1"/>
    <col min="3589" max="3589" width="20" style="492" customWidth="1"/>
    <col min="3590" max="3590" width="12.42578125" style="492" customWidth="1"/>
    <col min="3591" max="3591" width="107.28515625" style="492" customWidth="1"/>
    <col min="3592" max="3840" width="11.42578125" style="492"/>
    <col min="3841" max="3841" width="10.5703125" style="492" customWidth="1"/>
    <col min="3842" max="3842" width="12.42578125" style="492" customWidth="1"/>
    <col min="3843" max="3843" width="14.140625" style="492" customWidth="1"/>
    <col min="3844" max="3844" width="17.28515625" style="492" customWidth="1"/>
    <col min="3845" max="3845" width="20" style="492" customWidth="1"/>
    <col min="3846" max="3846" width="12.42578125" style="492" customWidth="1"/>
    <col min="3847" max="3847" width="107.28515625" style="492" customWidth="1"/>
    <col min="3848" max="4096" width="11.42578125" style="492"/>
    <col min="4097" max="4097" width="10.5703125" style="492" customWidth="1"/>
    <col min="4098" max="4098" width="12.42578125" style="492" customWidth="1"/>
    <col min="4099" max="4099" width="14.140625" style="492" customWidth="1"/>
    <col min="4100" max="4100" width="17.28515625" style="492" customWidth="1"/>
    <col min="4101" max="4101" width="20" style="492" customWidth="1"/>
    <col min="4102" max="4102" width="12.42578125" style="492" customWidth="1"/>
    <col min="4103" max="4103" width="107.28515625" style="492" customWidth="1"/>
    <col min="4104" max="4352" width="11.42578125" style="492"/>
    <col min="4353" max="4353" width="10.5703125" style="492" customWidth="1"/>
    <col min="4354" max="4354" width="12.42578125" style="492" customWidth="1"/>
    <col min="4355" max="4355" width="14.140625" style="492" customWidth="1"/>
    <col min="4356" max="4356" width="17.28515625" style="492" customWidth="1"/>
    <col min="4357" max="4357" width="20" style="492" customWidth="1"/>
    <col min="4358" max="4358" width="12.42578125" style="492" customWidth="1"/>
    <col min="4359" max="4359" width="107.28515625" style="492" customWidth="1"/>
    <col min="4360" max="4608" width="11.42578125" style="492"/>
    <col min="4609" max="4609" width="10.5703125" style="492" customWidth="1"/>
    <col min="4610" max="4610" width="12.42578125" style="492" customWidth="1"/>
    <col min="4611" max="4611" width="14.140625" style="492" customWidth="1"/>
    <col min="4612" max="4612" width="17.28515625" style="492" customWidth="1"/>
    <col min="4613" max="4613" width="20" style="492" customWidth="1"/>
    <col min="4614" max="4614" width="12.42578125" style="492" customWidth="1"/>
    <col min="4615" max="4615" width="107.28515625" style="492" customWidth="1"/>
    <col min="4616" max="4864" width="11.42578125" style="492"/>
    <col min="4865" max="4865" width="10.5703125" style="492" customWidth="1"/>
    <col min="4866" max="4866" width="12.42578125" style="492" customWidth="1"/>
    <col min="4867" max="4867" width="14.140625" style="492" customWidth="1"/>
    <col min="4868" max="4868" width="17.28515625" style="492" customWidth="1"/>
    <col min="4869" max="4869" width="20" style="492" customWidth="1"/>
    <col min="4870" max="4870" width="12.42578125" style="492" customWidth="1"/>
    <col min="4871" max="4871" width="107.28515625" style="492" customWidth="1"/>
    <col min="4872" max="5120" width="11.42578125" style="492"/>
    <col min="5121" max="5121" width="10.5703125" style="492" customWidth="1"/>
    <col min="5122" max="5122" width="12.42578125" style="492" customWidth="1"/>
    <col min="5123" max="5123" width="14.140625" style="492" customWidth="1"/>
    <col min="5124" max="5124" width="17.28515625" style="492" customWidth="1"/>
    <col min="5125" max="5125" width="20" style="492" customWidth="1"/>
    <col min="5126" max="5126" width="12.42578125" style="492" customWidth="1"/>
    <col min="5127" max="5127" width="107.28515625" style="492" customWidth="1"/>
    <col min="5128" max="5376" width="11.42578125" style="492"/>
    <col min="5377" max="5377" width="10.5703125" style="492" customWidth="1"/>
    <col min="5378" max="5378" width="12.42578125" style="492" customWidth="1"/>
    <col min="5379" max="5379" width="14.140625" style="492" customWidth="1"/>
    <col min="5380" max="5380" width="17.28515625" style="492" customWidth="1"/>
    <col min="5381" max="5381" width="20" style="492" customWidth="1"/>
    <col min="5382" max="5382" width="12.42578125" style="492" customWidth="1"/>
    <col min="5383" max="5383" width="107.28515625" style="492" customWidth="1"/>
    <col min="5384" max="5632" width="11.42578125" style="492"/>
    <col min="5633" max="5633" width="10.5703125" style="492" customWidth="1"/>
    <col min="5634" max="5634" width="12.42578125" style="492" customWidth="1"/>
    <col min="5635" max="5635" width="14.140625" style="492" customWidth="1"/>
    <col min="5636" max="5636" width="17.28515625" style="492" customWidth="1"/>
    <col min="5637" max="5637" width="20" style="492" customWidth="1"/>
    <col min="5638" max="5638" width="12.42578125" style="492" customWidth="1"/>
    <col min="5639" max="5639" width="107.28515625" style="492" customWidth="1"/>
    <col min="5640" max="5888" width="11.42578125" style="492"/>
    <col min="5889" max="5889" width="10.5703125" style="492" customWidth="1"/>
    <col min="5890" max="5890" width="12.42578125" style="492" customWidth="1"/>
    <col min="5891" max="5891" width="14.140625" style="492" customWidth="1"/>
    <col min="5892" max="5892" width="17.28515625" style="492" customWidth="1"/>
    <col min="5893" max="5893" width="20" style="492" customWidth="1"/>
    <col min="5894" max="5894" width="12.42578125" style="492" customWidth="1"/>
    <col min="5895" max="5895" width="107.28515625" style="492" customWidth="1"/>
    <col min="5896" max="6144" width="11.42578125" style="492"/>
    <col min="6145" max="6145" width="10.5703125" style="492" customWidth="1"/>
    <col min="6146" max="6146" width="12.42578125" style="492" customWidth="1"/>
    <col min="6147" max="6147" width="14.140625" style="492" customWidth="1"/>
    <col min="6148" max="6148" width="17.28515625" style="492" customWidth="1"/>
    <col min="6149" max="6149" width="20" style="492" customWidth="1"/>
    <col min="6150" max="6150" width="12.42578125" style="492" customWidth="1"/>
    <col min="6151" max="6151" width="107.28515625" style="492" customWidth="1"/>
    <col min="6152" max="6400" width="11.42578125" style="492"/>
    <col min="6401" max="6401" width="10.5703125" style="492" customWidth="1"/>
    <col min="6402" max="6402" width="12.42578125" style="492" customWidth="1"/>
    <col min="6403" max="6403" width="14.140625" style="492" customWidth="1"/>
    <col min="6404" max="6404" width="17.28515625" style="492" customWidth="1"/>
    <col min="6405" max="6405" width="20" style="492" customWidth="1"/>
    <col min="6406" max="6406" width="12.42578125" style="492" customWidth="1"/>
    <col min="6407" max="6407" width="107.28515625" style="492" customWidth="1"/>
    <col min="6408" max="6656" width="11.42578125" style="492"/>
    <col min="6657" max="6657" width="10.5703125" style="492" customWidth="1"/>
    <col min="6658" max="6658" width="12.42578125" style="492" customWidth="1"/>
    <col min="6659" max="6659" width="14.140625" style="492" customWidth="1"/>
    <col min="6660" max="6660" width="17.28515625" style="492" customWidth="1"/>
    <col min="6661" max="6661" width="20" style="492" customWidth="1"/>
    <col min="6662" max="6662" width="12.42578125" style="492" customWidth="1"/>
    <col min="6663" max="6663" width="107.28515625" style="492" customWidth="1"/>
    <col min="6664" max="6912" width="11.42578125" style="492"/>
    <col min="6913" max="6913" width="10.5703125" style="492" customWidth="1"/>
    <col min="6914" max="6914" width="12.42578125" style="492" customWidth="1"/>
    <col min="6915" max="6915" width="14.140625" style="492" customWidth="1"/>
    <col min="6916" max="6916" width="17.28515625" style="492" customWidth="1"/>
    <col min="6917" max="6917" width="20" style="492" customWidth="1"/>
    <col min="6918" max="6918" width="12.42578125" style="492" customWidth="1"/>
    <col min="6919" max="6919" width="107.28515625" style="492" customWidth="1"/>
    <col min="6920" max="7168" width="11.42578125" style="492"/>
    <col min="7169" max="7169" width="10.5703125" style="492" customWidth="1"/>
    <col min="7170" max="7170" width="12.42578125" style="492" customWidth="1"/>
    <col min="7171" max="7171" width="14.140625" style="492" customWidth="1"/>
    <col min="7172" max="7172" width="17.28515625" style="492" customWidth="1"/>
    <col min="7173" max="7173" width="20" style="492" customWidth="1"/>
    <col min="7174" max="7174" width="12.42578125" style="492" customWidth="1"/>
    <col min="7175" max="7175" width="107.28515625" style="492" customWidth="1"/>
    <col min="7176" max="7424" width="11.42578125" style="492"/>
    <col min="7425" max="7425" width="10.5703125" style="492" customWidth="1"/>
    <col min="7426" max="7426" width="12.42578125" style="492" customWidth="1"/>
    <col min="7427" max="7427" width="14.140625" style="492" customWidth="1"/>
    <col min="7428" max="7428" width="17.28515625" style="492" customWidth="1"/>
    <col min="7429" max="7429" width="20" style="492" customWidth="1"/>
    <col min="7430" max="7430" width="12.42578125" style="492" customWidth="1"/>
    <col min="7431" max="7431" width="107.28515625" style="492" customWidth="1"/>
    <col min="7432" max="7680" width="11.42578125" style="492"/>
    <col min="7681" max="7681" width="10.5703125" style="492" customWidth="1"/>
    <col min="7682" max="7682" width="12.42578125" style="492" customWidth="1"/>
    <col min="7683" max="7683" width="14.140625" style="492" customWidth="1"/>
    <col min="7684" max="7684" width="17.28515625" style="492" customWidth="1"/>
    <col min="7685" max="7685" width="20" style="492" customWidth="1"/>
    <col min="7686" max="7686" width="12.42578125" style="492" customWidth="1"/>
    <col min="7687" max="7687" width="107.28515625" style="492" customWidth="1"/>
    <col min="7688" max="7936" width="11.42578125" style="492"/>
    <col min="7937" max="7937" width="10.5703125" style="492" customWidth="1"/>
    <col min="7938" max="7938" width="12.42578125" style="492" customWidth="1"/>
    <col min="7939" max="7939" width="14.140625" style="492" customWidth="1"/>
    <col min="7940" max="7940" width="17.28515625" style="492" customWidth="1"/>
    <col min="7941" max="7941" width="20" style="492" customWidth="1"/>
    <col min="7942" max="7942" width="12.42578125" style="492" customWidth="1"/>
    <col min="7943" max="7943" width="107.28515625" style="492" customWidth="1"/>
    <col min="7944" max="8192" width="11.42578125" style="492"/>
    <col min="8193" max="8193" width="10.5703125" style="492" customWidth="1"/>
    <col min="8194" max="8194" width="12.42578125" style="492" customWidth="1"/>
    <col min="8195" max="8195" width="14.140625" style="492" customWidth="1"/>
    <col min="8196" max="8196" width="17.28515625" style="492" customWidth="1"/>
    <col min="8197" max="8197" width="20" style="492" customWidth="1"/>
    <col min="8198" max="8198" width="12.42578125" style="492" customWidth="1"/>
    <col min="8199" max="8199" width="107.28515625" style="492" customWidth="1"/>
    <col min="8200" max="8448" width="11.42578125" style="492"/>
    <col min="8449" max="8449" width="10.5703125" style="492" customWidth="1"/>
    <col min="8450" max="8450" width="12.42578125" style="492" customWidth="1"/>
    <col min="8451" max="8451" width="14.140625" style="492" customWidth="1"/>
    <col min="8452" max="8452" width="17.28515625" style="492" customWidth="1"/>
    <col min="8453" max="8453" width="20" style="492" customWidth="1"/>
    <col min="8454" max="8454" width="12.42578125" style="492" customWidth="1"/>
    <col min="8455" max="8455" width="107.28515625" style="492" customWidth="1"/>
    <col min="8456" max="8704" width="11.42578125" style="492"/>
    <col min="8705" max="8705" width="10.5703125" style="492" customWidth="1"/>
    <col min="8706" max="8706" width="12.42578125" style="492" customWidth="1"/>
    <col min="8707" max="8707" width="14.140625" style="492" customWidth="1"/>
    <col min="8708" max="8708" width="17.28515625" style="492" customWidth="1"/>
    <col min="8709" max="8709" width="20" style="492" customWidth="1"/>
    <col min="8710" max="8710" width="12.42578125" style="492" customWidth="1"/>
    <col min="8711" max="8711" width="107.28515625" style="492" customWidth="1"/>
    <col min="8712" max="8960" width="11.42578125" style="492"/>
    <col min="8961" max="8961" width="10.5703125" style="492" customWidth="1"/>
    <col min="8962" max="8962" width="12.42578125" style="492" customWidth="1"/>
    <col min="8963" max="8963" width="14.140625" style="492" customWidth="1"/>
    <col min="8964" max="8964" width="17.28515625" style="492" customWidth="1"/>
    <col min="8965" max="8965" width="20" style="492" customWidth="1"/>
    <col min="8966" max="8966" width="12.42578125" style="492" customWidth="1"/>
    <col min="8967" max="8967" width="107.28515625" style="492" customWidth="1"/>
    <col min="8968" max="9216" width="11.42578125" style="492"/>
    <col min="9217" max="9217" width="10.5703125" style="492" customWidth="1"/>
    <col min="9218" max="9218" width="12.42578125" style="492" customWidth="1"/>
    <col min="9219" max="9219" width="14.140625" style="492" customWidth="1"/>
    <col min="9220" max="9220" width="17.28515625" style="492" customWidth="1"/>
    <col min="9221" max="9221" width="20" style="492" customWidth="1"/>
    <col min="9222" max="9222" width="12.42578125" style="492" customWidth="1"/>
    <col min="9223" max="9223" width="107.28515625" style="492" customWidth="1"/>
    <col min="9224" max="9472" width="11.42578125" style="492"/>
    <col min="9473" max="9473" width="10.5703125" style="492" customWidth="1"/>
    <col min="9474" max="9474" width="12.42578125" style="492" customWidth="1"/>
    <col min="9475" max="9475" width="14.140625" style="492" customWidth="1"/>
    <col min="9476" max="9476" width="17.28515625" style="492" customWidth="1"/>
    <col min="9477" max="9477" width="20" style="492" customWidth="1"/>
    <col min="9478" max="9478" width="12.42578125" style="492" customWidth="1"/>
    <col min="9479" max="9479" width="107.28515625" style="492" customWidth="1"/>
    <col min="9480" max="9728" width="11.42578125" style="492"/>
    <col min="9729" max="9729" width="10.5703125" style="492" customWidth="1"/>
    <col min="9730" max="9730" width="12.42578125" style="492" customWidth="1"/>
    <col min="9731" max="9731" width="14.140625" style="492" customWidth="1"/>
    <col min="9732" max="9732" width="17.28515625" style="492" customWidth="1"/>
    <col min="9733" max="9733" width="20" style="492" customWidth="1"/>
    <col min="9734" max="9734" width="12.42578125" style="492" customWidth="1"/>
    <col min="9735" max="9735" width="107.28515625" style="492" customWidth="1"/>
    <col min="9736" max="9984" width="11.42578125" style="492"/>
    <col min="9985" max="9985" width="10.5703125" style="492" customWidth="1"/>
    <col min="9986" max="9986" width="12.42578125" style="492" customWidth="1"/>
    <col min="9987" max="9987" width="14.140625" style="492" customWidth="1"/>
    <col min="9988" max="9988" width="17.28515625" style="492" customWidth="1"/>
    <col min="9989" max="9989" width="20" style="492" customWidth="1"/>
    <col min="9990" max="9990" width="12.42578125" style="492" customWidth="1"/>
    <col min="9991" max="9991" width="107.28515625" style="492" customWidth="1"/>
    <col min="9992" max="10240" width="11.42578125" style="492"/>
    <col min="10241" max="10241" width="10.5703125" style="492" customWidth="1"/>
    <col min="10242" max="10242" width="12.42578125" style="492" customWidth="1"/>
    <col min="10243" max="10243" width="14.140625" style="492" customWidth="1"/>
    <col min="10244" max="10244" width="17.28515625" style="492" customWidth="1"/>
    <col min="10245" max="10245" width="20" style="492" customWidth="1"/>
    <col min="10246" max="10246" width="12.42578125" style="492" customWidth="1"/>
    <col min="10247" max="10247" width="107.28515625" style="492" customWidth="1"/>
    <col min="10248" max="10496" width="11.42578125" style="492"/>
    <col min="10497" max="10497" width="10.5703125" style="492" customWidth="1"/>
    <col min="10498" max="10498" width="12.42578125" style="492" customWidth="1"/>
    <col min="10499" max="10499" width="14.140625" style="492" customWidth="1"/>
    <col min="10500" max="10500" width="17.28515625" style="492" customWidth="1"/>
    <col min="10501" max="10501" width="20" style="492" customWidth="1"/>
    <col min="10502" max="10502" width="12.42578125" style="492" customWidth="1"/>
    <col min="10503" max="10503" width="107.28515625" style="492" customWidth="1"/>
    <col min="10504" max="10752" width="11.42578125" style="492"/>
    <col min="10753" max="10753" width="10.5703125" style="492" customWidth="1"/>
    <col min="10754" max="10754" width="12.42578125" style="492" customWidth="1"/>
    <col min="10755" max="10755" width="14.140625" style="492" customWidth="1"/>
    <col min="10756" max="10756" width="17.28515625" style="492" customWidth="1"/>
    <col min="10757" max="10757" width="20" style="492" customWidth="1"/>
    <col min="10758" max="10758" width="12.42578125" style="492" customWidth="1"/>
    <col min="10759" max="10759" width="107.28515625" style="492" customWidth="1"/>
    <col min="10760" max="11008" width="11.42578125" style="492"/>
    <col min="11009" max="11009" width="10.5703125" style="492" customWidth="1"/>
    <col min="11010" max="11010" width="12.42578125" style="492" customWidth="1"/>
    <col min="11011" max="11011" width="14.140625" style="492" customWidth="1"/>
    <col min="11012" max="11012" width="17.28515625" style="492" customWidth="1"/>
    <col min="11013" max="11013" width="20" style="492" customWidth="1"/>
    <col min="11014" max="11014" width="12.42578125" style="492" customWidth="1"/>
    <col min="11015" max="11015" width="107.28515625" style="492" customWidth="1"/>
    <col min="11016" max="11264" width="11.42578125" style="492"/>
    <col min="11265" max="11265" width="10.5703125" style="492" customWidth="1"/>
    <col min="11266" max="11266" width="12.42578125" style="492" customWidth="1"/>
    <col min="11267" max="11267" width="14.140625" style="492" customWidth="1"/>
    <col min="11268" max="11268" width="17.28515625" style="492" customWidth="1"/>
    <col min="11269" max="11269" width="20" style="492" customWidth="1"/>
    <col min="11270" max="11270" width="12.42578125" style="492" customWidth="1"/>
    <col min="11271" max="11271" width="107.28515625" style="492" customWidth="1"/>
    <col min="11272" max="11520" width="11.42578125" style="492"/>
    <col min="11521" max="11521" width="10.5703125" style="492" customWidth="1"/>
    <col min="11522" max="11522" width="12.42578125" style="492" customWidth="1"/>
    <col min="11523" max="11523" width="14.140625" style="492" customWidth="1"/>
    <col min="11524" max="11524" width="17.28515625" style="492" customWidth="1"/>
    <col min="11525" max="11525" width="20" style="492" customWidth="1"/>
    <col min="11526" max="11526" width="12.42578125" style="492" customWidth="1"/>
    <col min="11527" max="11527" width="107.28515625" style="492" customWidth="1"/>
    <col min="11528" max="11776" width="11.42578125" style="492"/>
    <col min="11777" max="11777" width="10.5703125" style="492" customWidth="1"/>
    <col min="11778" max="11778" width="12.42578125" style="492" customWidth="1"/>
    <col min="11779" max="11779" width="14.140625" style="492" customWidth="1"/>
    <col min="11780" max="11780" width="17.28515625" style="492" customWidth="1"/>
    <col min="11781" max="11781" width="20" style="492" customWidth="1"/>
    <col min="11782" max="11782" width="12.42578125" style="492" customWidth="1"/>
    <col min="11783" max="11783" width="107.28515625" style="492" customWidth="1"/>
    <col min="11784" max="12032" width="11.42578125" style="492"/>
    <col min="12033" max="12033" width="10.5703125" style="492" customWidth="1"/>
    <col min="12034" max="12034" width="12.42578125" style="492" customWidth="1"/>
    <col min="12035" max="12035" width="14.140625" style="492" customWidth="1"/>
    <col min="12036" max="12036" width="17.28515625" style="492" customWidth="1"/>
    <col min="12037" max="12037" width="20" style="492" customWidth="1"/>
    <col min="12038" max="12038" width="12.42578125" style="492" customWidth="1"/>
    <col min="12039" max="12039" width="107.28515625" style="492" customWidth="1"/>
    <col min="12040" max="12288" width="11.42578125" style="492"/>
    <col min="12289" max="12289" width="10.5703125" style="492" customWidth="1"/>
    <col min="12290" max="12290" width="12.42578125" style="492" customWidth="1"/>
    <col min="12291" max="12291" width="14.140625" style="492" customWidth="1"/>
    <col min="12292" max="12292" width="17.28515625" style="492" customWidth="1"/>
    <col min="12293" max="12293" width="20" style="492" customWidth="1"/>
    <col min="12294" max="12294" width="12.42578125" style="492" customWidth="1"/>
    <col min="12295" max="12295" width="107.28515625" style="492" customWidth="1"/>
    <col min="12296" max="12544" width="11.42578125" style="492"/>
    <col min="12545" max="12545" width="10.5703125" style="492" customWidth="1"/>
    <col min="12546" max="12546" width="12.42578125" style="492" customWidth="1"/>
    <col min="12547" max="12547" width="14.140625" style="492" customWidth="1"/>
    <col min="12548" max="12548" width="17.28515625" style="492" customWidth="1"/>
    <col min="12549" max="12549" width="20" style="492" customWidth="1"/>
    <col min="12550" max="12550" width="12.42578125" style="492" customWidth="1"/>
    <col min="12551" max="12551" width="107.28515625" style="492" customWidth="1"/>
    <col min="12552" max="12800" width="11.42578125" style="492"/>
    <col min="12801" max="12801" width="10.5703125" style="492" customWidth="1"/>
    <col min="12802" max="12802" width="12.42578125" style="492" customWidth="1"/>
    <col min="12803" max="12803" width="14.140625" style="492" customWidth="1"/>
    <col min="12804" max="12804" width="17.28515625" style="492" customWidth="1"/>
    <col min="12805" max="12805" width="20" style="492" customWidth="1"/>
    <col min="12806" max="12806" width="12.42578125" style="492" customWidth="1"/>
    <col min="12807" max="12807" width="107.28515625" style="492" customWidth="1"/>
    <col min="12808" max="13056" width="11.42578125" style="492"/>
    <col min="13057" max="13057" width="10.5703125" style="492" customWidth="1"/>
    <col min="13058" max="13058" width="12.42578125" style="492" customWidth="1"/>
    <col min="13059" max="13059" width="14.140625" style="492" customWidth="1"/>
    <col min="13060" max="13060" width="17.28515625" style="492" customWidth="1"/>
    <col min="13061" max="13061" width="20" style="492" customWidth="1"/>
    <col min="13062" max="13062" width="12.42578125" style="492" customWidth="1"/>
    <col min="13063" max="13063" width="107.28515625" style="492" customWidth="1"/>
    <col min="13064" max="13312" width="11.42578125" style="492"/>
    <col min="13313" max="13313" width="10.5703125" style="492" customWidth="1"/>
    <col min="13314" max="13314" width="12.42578125" style="492" customWidth="1"/>
    <col min="13315" max="13315" width="14.140625" style="492" customWidth="1"/>
    <col min="13316" max="13316" width="17.28515625" style="492" customWidth="1"/>
    <col min="13317" max="13317" width="20" style="492" customWidth="1"/>
    <col min="13318" max="13318" width="12.42578125" style="492" customWidth="1"/>
    <col min="13319" max="13319" width="107.28515625" style="492" customWidth="1"/>
    <col min="13320" max="13568" width="11.42578125" style="492"/>
    <col min="13569" max="13569" width="10.5703125" style="492" customWidth="1"/>
    <col min="13570" max="13570" width="12.42578125" style="492" customWidth="1"/>
    <col min="13571" max="13571" width="14.140625" style="492" customWidth="1"/>
    <col min="13572" max="13572" width="17.28515625" style="492" customWidth="1"/>
    <col min="13573" max="13573" width="20" style="492" customWidth="1"/>
    <col min="13574" max="13574" width="12.42578125" style="492" customWidth="1"/>
    <col min="13575" max="13575" width="107.28515625" style="492" customWidth="1"/>
    <col min="13576" max="13824" width="11.42578125" style="492"/>
    <col min="13825" max="13825" width="10.5703125" style="492" customWidth="1"/>
    <col min="13826" max="13826" width="12.42578125" style="492" customWidth="1"/>
    <col min="13827" max="13827" width="14.140625" style="492" customWidth="1"/>
    <col min="13828" max="13828" width="17.28515625" style="492" customWidth="1"/>
    <col min="13829" max="13829" width="20" style="492" customWidth="1"/>
    <col min="13830" max="13830" width="12.42578125" style="492" customWidth="1"/>
    <col min="13831" max="13831" width="107.28515625" style="492" customWidth="1"/>
    <col min="13832" max="14080" width="11.42578125" style="492"/>
    <col min="14081" max="14081" width="10.5703125" style="492" customWidth="1"/>
    <col min="14082" max="14082" width="12.42578125" style="492" customWidth="1"/>
    <col min="14083" max="14083" width="14.140625" style="492" customWidth="1"/>
    <col min="14084" max="14084" width="17.28515625" style="492" customWidth="1"/>
    <col min="14085" max="14085" width="20" style="492" customWidth="1"/>
    <col min="14086" max="14086" width="12.42578125" style="492" customWidth="1"/>
    <col min="14087" max="14087" width="107.28515625" style="492" customWidth="1"/>
    <col min="14088" max="14336" width="11.42578125" style="492"/>
    <col min="14337" max="14337" width="10.5703125" style="492" customWidth="1"/>
    <col min="14338" max="14338" width="12.42578125" style="492" customWidth="1"/>
    <col min="14339" max="14339" width="14.140625" style="492" customWidth="1"/>
    <col min="14340" max="14340" width="17.28515625" style="492" customWidth="1"/>
    <col min="14341" max="14341" width="20" style="492" customWidth="1"/>
    <col min="14342" max="14342" width="12.42578125" style="492" customWidth="1"/>
    <col min="14343" max="14343" width="107.28515625" style="492" customWidth="1"/>
    <col min="14344" max="14592" width="11.42578125" style="492"/>
    <col min="14593" max="14593" width="10.5703125" style="492" customWidth="1"/>
    <col min="14594" max="14594" width="12.42578125" style="492" customWidth="1"/>
    <col min="14595" max="14595" width="14.140625" style="492" customWidth="1"/>
    <col min="14596" max="14596" width="17.28515625" style="492" customWidth="1"/>
    <col min="14597" max="14597" width="20" style="492" customWidth="1"/>
    <col min="14598" max="14598" width="12.42578125" style="492" customWidth="1"/>
    <col min="14599" max="14599" width="107.28515625" style="492" customWidth="1"/>
    <col min="14600" max="14848" width="11.42578125" style="492"/>
    <col min="14849" max="14849" width="10.5703125" style="492" customWidth="1"/>
    <col min="14850" max="14850" width="12.42578125" style="492" customWidth="1"/>
    <col min="14851" max="14851" width="14.140625" style="492" customWidth="1"/>
    <col min="14852" max="14852" width="17.28515625" style="492" customWidth="1"/>
    <col min="14853" max="14853" width="20" style="492" customWidth="1"/>
    <col min="14854" max="14854" width="12.42578125" style="492" customWidth="1"/>
    <col min="14855" max="14855" width="107.28515625" style="492" customWidth="1"/>
    <col min="14856" max="15104" width="11.42578125" style="492"/>
    <col min="15105" max="15105" width="10.5703125" style="492" customWidth="1"/>
    <col min="15106" max="15106" width="12.42578125" style="492" customWidth="1"/>
    <col min="15107" max="15107" width="14.140625" style="492" customWidth="1"/>
    <col min="15108" max="15108" width="17.28515625" style="492" customWidth="1"/>
    <col min="15109" max="15109" width="20" style="492" customWidth="1"/>
    <col min="15110" max="15110" width="12.42578125" style="492" customWidth="1"/>
    <col min="15111" max="15111" width="107.28515625" style="492" customWidth="1"/>
    <col min="15112" max="15360" width="11.42578125" style="492"/>
    <col min="15361" max="15361" width="10.5703125" style="492" customWidth="1"/>
    <col min="15362" max="15362" width="12.42578125" style="492" customWidth="1"/>
    <col min="15363" max="15363" width="14.140625" style="492" customWidth="1"/>
    <col min="15364" max="15364" width="17.28515625" style="492" customWidth="1"/>
    <col min="15365" max="15365" width="20" style="492" customWidth="1"/>
    <col min="15366" max="15366" width="12.42578125" style="492" customWidth="1"/>
    <col min="15367" max="15367" width="107.28515625" style="492" customWidth="1"/>
    <col min="15368" max="15616" width="11.42578125" style="492"/>
    <col min="15617" max="15617" width="10.5703125" style="492" customWidth="1"/>
    <col min="15618" max="15618" width="12.42578125" style="492" customWidth="1"/>
    <col min="15619" max="15619" width="14.140625" style="492" customWidth="1"/>
    <col min="15620" max="15620" width="17.28515625" style="492" customWidth="1"/>
    <col min="15621" max="15621" width="20" style="492" customWidth="1"/>
    <col min="15622" max="15622" width="12.42578125" style="492" customWidth="1"/>
    <col min="15623" max="15623" width="107.28515625" style="492" customWidth="1"/>
    <col min="15624" max="15872" width="11.42578125" style="492"/>
    <col min="15873" max="15873" width="10.5703125" style="492" customWidth="1"/>
    <col min="15874" max="15874" width="12.42578125" style="492" customWidth="1"/>
    <col min="15875" max="15875" width="14.140625" style="492" customWidth="1"/>
    <col min="15876" max="15876" width="17.28515625" style="492" customWidth="1"/>
    <col min="15877" max="15877" width="20" style="492" customWidth="1"/>
    <col min="15878" max="15878" width="12.42578125" style="492" customWidth="1"/>
    <col min="15879" max="15879" width="107.28515625" style="492" customWidth="1"/>
    <col min="15880" max="16128" width="11.42578125" style="492"/>
    <col min="16129" max="16129" width="10.5703125" style="492" customWidth="1"/>
    <col min="16130" max="16130" width="12.42578125" style="492" customWidth="1"/>
    <col min="16131" max="16131" width="14.140625" style="492" customWidth="1"/>
    <col min="16132" max="16132" width="17.28515625" style="492" customWidth="1"/>
    <col min="16133" max="16133" width="20" style="492" customWidth="1"/>
    <col min="16134" max="16134" width="12.42578125" style="492" customWidth="1"/>
    <col min="16135" max="16135" width="107.28515625" style="492" customWidth="1"/>
    <col min="16136" max="16384" width="11.42578125" style="492"/>
  </cols>
  <sheetData>
    <row r="1" spans="1:9">
      <c r="A1" s="490" t="s">
        <v>487</v>
      </c>
    </row>
    <row r="2" spans="1:9" s="494" customFormat="1" ht="38.25">
      <c r="A2" s="493" t="s">
        <v>265</v>
      </c>
      <c r="B2" s="493" t="s">
        <v>488</v>
      </c>
      <c r="C2" s="493" t="s">
        <v>489</v>
      </c>
      <c r="D2" s="493" t="s">
        <v>490</v>
      </c>
      <c r="E2" s="493" t="s">
        <v>491</v>
      </c>
    </row>
    <row r="3" spans="1:9">
      <c r="A3" s="491">
        <v>2004</v>
      </c>
      <c r="B3" s="495">
        <v>7462.4908716723094</v>
      </c>
      <c r="C3" s="495">
        <v>7725.2785442705681</v>
      </c>
      <c r="D3" s="496">
        <f>(B3/C3-1)*100</f>
        <v>-3.4016595141822314</v>
      </c>
      <c r="E3" s="496">
        <v>-1.0358869562702955</v>
      </c>
      <c r="G3" s="497"/>
      <c r="H3" s="492">
        <v>-2</v>
      </c>
      <c r="I3" s="492">
        <v>2</v>
      </c>
    </row>
    <row r="4" spans="1:9">
      <c r="A4" s="491">
        <v>2005</v>
      </c>
      <c r="B4" s="495">
        <v>7784.8370178583282</v>
      </c>
      <c r="C4" s="495">
        <v>8564.2942334884301</v>
      </c>
      <c r="D4" s="496">
        <f t="shared" ref="D4:D14" si="0">(B4/C4-1)*100</f>
        <v>-9.1012428389281474</v>
      </c>
      <c r="E4" s="496">
        <v>-0.68234073004500206</v>
      </c>
      <c r="G4" s="497"/>
      <c r="H4" s="492">
        <v>-2</v>
      </c>
      <c r="I4" s="492">
        <v>2</v>
      </c>
    </row>
    <row r="5" spans="1:9">
      <c r="A5" s="491">
        <v>2006</v>
      </c>
      <c r="B5" s="495">
        <v>8507.700989178782</v>
      </c>
      <c r="C5" s="495">
        <v>8973.7881154238839</v>
      </c>
      <c r="D5" s="496">
        <f t="shared" si="0"/>
        <v>-5.1938726460902807</v>
      </c>
      <c r="E5" s="496">
        <v>0.67943427249180699</v>
      </c>
      <c r="G5" s="497"/>
      <c r="H5" s="492">
        <v>-2</v>
      </c>
      <c r="I5" s="492">
        <v>2</v>
      </c>
    </row>
    <row r="6" spans="1:9">
      <c r="A6" s="491">
        <v>2007</v>
      </c>
      <c r="B6" s="495">
        <v>9747.9585739892445</v>
      </c>
      <c r="C6" s="495">
        <v>10100.090779007172</v>
      </c>
      <c r="D6" s="496">
        <f t="shared" si="0"/>
        <v>-3.4864261393553697</v>
      </c>
      <c r="E6" s="496">
        <v>3.4052381703396617</v>
      </c>
      <c r="G6" s="497"/>
      <c r="H6" s="492">
        <v>-2</v>
      </c>
      <c r="I6" s="492">
        <v>2</v>
      </c>
    </row>
    <row r="7" spans="1:9">
      <c r="A7" s="491">
        <v>2008</v>
      </c>
      <c r="B7" s="495">
        <v>10648.808338312421</v>
      </c>
      <c r="C7" s="495">
        <v>10695.752157154291</v>
      </c>
      <c r="D7" s="496">
        <f t="shared" si="0"/>
        <v>-0.43890152045520381</v>
      </c>
      <c r="E7" s="496">
        <v>3.6349073452110212</v>
      </c>
      <c r="G7" s="497"/>
      <c r="H7" s="492">
        <v>-2</v>
      </c>
      <c r="I7" s="492">
        <v>2</v>
      </c>
    </row>
    <row r="8" spans="1:9">
      <c r="A8" s="491">
        <v>2009</v>
      </c>
      <c r="B8" s="495">
        <v>11636.353999999999</v>
      </c>
      <c r="C8" s="495">
        <v>9346.1479999999992</v>
      </c>
      <c r="D8" s="496">
        <f t="shared" si="0"/>
        <v>24.504277056173308</v>
      </c>
      <c r="E8" s="496">
        <v>-3.1077113835223376</v>
      </c>
      <c r="G8" s="498"/>
      <c r="H8" s="492">
        <v>-2</v>
      </c>
      <c r="I8" s="492">
        <v>2</v>
      </c>
    </row>
    <row r="9" spans="1:9">
      <c r="A9" s="491">
        <v>2010</v>
      </c>
      <c r="B9" s="495">
        <v>10209.813</v>
      </c>
      <c r="C9" s="495">
        <v>9551.8506688699999</v>
      </c>
      <c r="D9" s="496">
        <f t="shared" si="0"/>
        <v>6.8883230479548363</v>
      </c>
      <c r="E9" s="496">
        <v>-0.93882694959056023</v>
      </c>
      <c r="G9" s="497"/>
      <c r="H9" s="492">
        <v>-2</v>
      </c>
      <c r="I9" s="492">
        <v>2</v>
      </c>
    </row>
    <row r="10" spans="1:9">
      <c r="A10" s="491">
        <v>2011</v>
      </c>
      <c r="B10" s="495">
        <v>18167.924618086992</v>
      </c>
      <c r="C10" s="495">
        <v>17947.464570870197</v>
      </c>
      <c r="D10" s="496">
        <f t="shared" si="0"/>
        <v>1.2283631838149178</v>
      </c>
      <c r="E10" s="496">
        <v>-0.56513608600844512</v>
      </c>
      <c r="G10" s="497"/>
      <c r="H10" s="492">
        <v>-2</v>
      </c>
      <c r="I10" s="492">
        <v>2</v>
      </c>
    </row>
    <row r="11" spans="1:9">
      <c r="A11" s="491">
        <v>2012</v>
      </c>
      <c r="B11" s="495">
        <v>18641.939373000001</v>
      </c>
      <c r="C11" s="495">
        <v>18200.905595017241</v>
      </c>
      <c r="D11" s="496">
        <f t="shared" si="0"/>
        <v>2.423141945769447</v>
      </c>
      <c r="E11" s="496">
        <v>-1.027275097787437</v>
      </c>
      <c r="G11" s="497"/>
      <c r="H11" s="492">
        <v>-2</v>
      </c>
      <c r="I11" s="492">
        <v>2</v>
      </c>
    </row>
    <row r="12" spans="1:9">
      <c r="A12" s="491">
        <v>2013</v>
      </c>
      <c r="B12" s="495">
        <v>20140.175999999999</v>
      </c>
      <c r="C12" s="495">
        <v>20229.282999999999</v>
      </c>
      <c r="D12" s="496">
        <f t="shared" si="0"/>
        <v>-0.44048521146300423</v>
      </c>
      <c r="E12" s="496">
        <v>-1.571795011257995</v>
      </c>
      <c r="G12" s="497"/>
      <c r="H12" s="492">
        <v>-2</v>
      </c>
      <c r="I12" s="492">
        <v>2</v>
      </c>
    </row>
    <row r="13" spans="1:9">
      <c r="A13" s="491">
        <v>2014</v>
      </c>
      <c r="B13" s="495">
        <v>19974.417000000001</v>
      </c>
      <c r="C13" s="495">
        <v>21433.726972797846</v>
      </c>
      <c r="D13" s="496">
        <f t="shared" si="0"/>
        <v>-6.808475141303683</v>
      </c>
      <c r="E13" s="496">
        <v>-1.0101222626670623</v>
      </c>
      <c r="G13" s="497"/>
      <c r="H13" s="492">
        <v>-2</v>
      </c>
      <c r="I13" s="492">
        <v>2</v>
      </c>
    </row>
    <row r="14" spans="1:9">
      <c r="A14" s="491">
        <v>2015</v>
      </c>
      <c r="B14" s="495">
        <v>21622.181</v>
      </c>
      <c r="C14" s="495">
        <v>22990.383999999998</v>
      </c>
      <c r="D14" s="496">
        <f t="shared" si="0"/>
        <v>-5.9511968134155495</v>
      </c>
      <c r="E14" s="496">
        <v>-0.20198844470225594</v>
      </c>
      <c r="G14" s="497"/>
      <c r="H14" s="492">
        <v>-2</v>
      </c>
      <c r="I14" s="492">
        <v>2</v>
      </c>
    </row>
    <row r="15" spans="1:9">
      <c r="A15" s="499">
        <v>2016</v>
      </c>
      <c r="B15" s="500">
        <v>22995.236000000001</v>
      </c>
      <c r="C15" s="500">
        <v>23726.60144009949</v>
      </c>
      <c r="D15" s="501">
        <f>(B15/C15-1)*100</f>
        <v>-3.0824702895014489</v>
      </c>
      <c r="E15" s="501">
        <v>0.15202482434424647</v>
      </c>
      <c r="F15" s="502"/>
      <c r="G15" s="497"/>
      <c r="H15" s="492">
        <v>-2</v>
      </c>
      <c r="I15" s="492">
        <v>2</v>
      </c>
    </row>
    <row r="16" spans="1:9">
      <c r="B16" s="503"/>
      <c r="F16" s="502"/>
    </row>
    <row r="18" spans="4:7">
      <c r="G18" s="498"/>
    </row>
    <row r="19" spans="4:7">
      <c r="D19" s="496"/>
      <c r="E19" s="49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workbookViewId="0"/>
  </sheetViews>
  <sheetFormatPr defaultRowHeight="12.75"/>
  <cols>
    <col min="1" max="1" width="46.85546875" style="1330" customWidth="1"/>
    <col min="2" max="4" width="15.7109375" style="1330" customWidth="1"/>
    <col min="5" max="9" width="4.7109375" style="1330" customWidth="1"/>
    <col min="10" max="16384" width="9.140625" style="1330"/>
  </cols>
  <sheetData>
    <row r="1" spans="1:4" ht="14.25" customHeight="1">
      <c r="A1" s="1329" t="s">
        <v>1048</v>
      </c>
      <c r="B1" s="1329"/>
      <c r="C1" s="1329"/>
    </row>
    <row r="2" spans="1:4" ht="14.25" customHeight="1">
      <c r="A2" s="1331" t="s">
        <v>1049</v>
      </c>
      <c r="B2" s="1487" t="s">
        <v>1050</v>
      </c>
      <c r="C2" s="1488"/>
      <c r="D2" s="1488"/>
    </row>
    <row r="3" spans="1:4" ht="14.25" customHeight="1">
      <c r="A3" s="1332"/>
      <c r="B3" s="1333" t="s">
        <v>1051</v>
      </c>
      <c r="C3" s="1334" t="s">
        <v>1052</v>
      </c>
      <c r="D3" s="1335" t="s">
        <v>1053</v>
      </c>
    </row>
    <row r="4" spans="1:4" ht="14.25" customHeight="1">
      <c r="A4" s="1336" t="s">
        <v>1054</v>
      </c>
      <c r="B4" s="1337">
        <v>0.89</v>
      </c>
      <c r="C4" s="1337">
        <v>1.01</v>
      </c>
      <c r="D4" s="1337">
        <v>-0.01</v>
      </c>
    </row>
    <row r="5" spans="1:4" ht="14.25" customHeight="1">
      <c r="A5" s="1336" t="s">
        <v>1055</v>
      </c>
      <c r="B5" s="1337">
        <v>0.76</v>
      </c>
      <c r="C5" s="1337">
        <v>0.87</v>
      </c>
      <c r="D5" s="1337">
        <v>0</v>
      </c>
    </row>
    <row r="6" spans="1:4" ht="14.25" customHeight="1">
      <c r="A6" s="1336" t="s">
        <v>1056</v>
      </c>
      <c r="B6" s="1337">
        <v>3.9</v>
      </c>
      <c r="C6" s="1337">
        <v>2.79</v>
      </c>
      <c r="D6" s="1337">
        <v>-1.92</v>
      </c>
    </row>
    <row r="7" spans="1:4" ht="14.25" customHeight="1">
      <c r="A7" s="1336" t="s">
        <v>1057</v>
      </c>
      <c r="B7" s="1337">
        <v>8.1</v>
      </c>
      <c r="C7" s="1337">
        <v>8.1300000000000008</v>
      </c>
      <c r="D7" s="1337">
        <v>0.06</v>
      </c>
    </row>
    <row r="8" spans="1:4" ht="14.25" customHeight="1">
      <c r="A8" s="1336" t="s">
        <v>1058</v>
      </c>
      <c r="B8" s="1337">
        <v>3.96</v>
      </c>
      <c r="C8" s="1337">
        <v>3.87</v>
      </c>
      <c r="D8" s="1337">
        <v>-0.35</v>
      </c>
    </row>
    <row r="9" spans="1:4" ht="14.25" customHeight="1">
      <c r="A9" s="1336" t="s">
        <v>1059</v>
      </c>
      <c r="B9" s="1337">
        <v>4.08</v>
      </c>
      <c r="C9" s="1337">
        <v>3.78</v>
      </c>
      <c r="D9" s="1337">
        <v>-0.44</v>
      </c>
    </row>
    <row r="10" spans="1:4" ht="14.25" customHeight="1">
      <c r="A10" s="1336" t="s">
        <v>1060</v>
      </c>
      <c r="B10" s="1337">
        <v>1.1200000000000001</v>
      </c>
      <c r="C10" s="1337">
        <v>1.1000000000000001</v>
      </c>
      <c r="D10" s="1337">
        <v>0.11</v>
      </c>
    </row>
    <row r="11" spans="1:4" ht="14.25" customHeight="1">
      <c r="A11" s="1336" t="s">
        <v>1061</v>
      </c>
      <c r="B11" s="1337">
        <v>1.73</v>
      </c>
      <c r="C11" s="1337">
        <v>1.95</v>
      </c>
      <c r="D11" s="1337">
        <v>-0.28000000000000003</v>
      </c>
    </row>
    <row r="12" spans="1:4" ht="14.25" customHeight="1">
      <c r="A12" s="1336" t="s">
        <v>1062</v>
      </c>
      <c r="B12" s="1337">
        <v>0.92</v>
      </c>
      <c r="C12" s="1337">
        <v>0.82</v>
      </c>
      <c r="D12" s="1337">
        <v>-0.19</v>
      </c>
    </row>
    <row r="13" spans="1:4">
      <c r="A13" s="1338" t="s">
        <v>1063</v>
      </c>
      <c r="B13" s="1339">
        <v>1.38</v>
      </c>
      <c r="C13" s="1339">
        <v>1.49</v>
      </c>
      <c r="D13" s="1339">
        <v>0.13</v>
      </c>
    </row>
    <row r="14" spans="1:4">
      <c r="A14" s="1340" t="s">
        <v>1064</v>
      </c>
      <c r="B14" s="1341"/>
      <c r="C14" s="1341"/>
      <c r="D14" s="1341"/>
    </row>
    <row r="15" spans="1:4">
      <c r="A15" s="1342"/>
      <c r="D15" s="1343" t="s">
        <v>59</v>
      </c>
    </row>
  </sheetData>
  <mergeCells count="1">
    <mergeCell ref="B2:D2"/>
  </mergeCells>
  <conditionalFormatting sqref="D4:D13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{98F024DA-7358-471F-BE63-31046928CC12}</x14:id>
        </ext>
      </extLst>
    </cfRule>
  </conditionalFormatting>
  <pageMargins left="0.25" right="0.25" top="0.75" bottom="0.75" header="0.3" footer="0.3"/>
  <pageSetup paperSize="9" fitToHeight="0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F024DA-7358-471F-BE63-31046928CC1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D4:D13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8"/>
  <sheetViews>
    <sheetView showGridLines="0" zoomScaleNormal="100" workbookViewId="0"/>
  </sheetViews>
  <sheetFormatPr defaultRowHeight="13.5" customHeight="1"/>
  <cols>
    <col min="1" max="1" width="78.140625" style="14" customWidth="1"/>
    <col min="2" max="4" width="12.5703125" style="14" customWidth="1"/>
    <col min="5" max="16384" width="9.140625" style="14"/>
  </cols>
  <sheetData>
    <row r="1" spans="1:10" ht="15.75" customHeight="1">
      <c r="A1" s="490" t="s">
        <v>492</v>
      </c>
      <c r="B1" s="504"/>
      <c r="C1" s="504"/>
      <c r="D1" s="504"/>
    </row>
    <row r="2" spans="1:10" ht="14.25" customHeight="1">
      <c r="A2" s="505"/>
      <c r="B2" s="505">
        <v>2018</v>
      </c>
      <c r="C2" s="505">
        <v>2019</v>
      </c>
      <c r="D2" s="505">
        <v>2020</v>
      </c>
    </row>
    <row r="3" spans="1:10" ht="14.25" customHeight="1">
      <c r="A3" s="506" t="s">
        <v>493</v>
      </c>
      <c r="B3" s="507">
        <v>26550.9</v>
      </c>
      <c r="C3" s="507">
        <v>28017.043000000001</v>
      </c>
      <c r="D3" s="507">
        <v>29581.368999999999</v>
      </c>
      <c r="E3" s="508"/>
      <c r="F3" s="508"/>
      <c r="G3" s="508"/>
      <c r="H3" s="508"/>
      <c r="I3" s="508"/>
      <c r="J3" s="508"/>
    </row>
    <row r="4" spans="1:10" ht="13.5" customHeight="1">
      <c r="A4" s="509" t="s">
        <v>494</v>
      </c>
      <c r="B4" s="510">
        <v>89.495333808169264</v>
      </c>
      <c r="C4" s="510">
        <v>95.260868620557332</v>
      </c>
      <c r="D4" s="510">
        <v>101.00735417605054</v>
      </c>
    </row>
    <row r="5" spans="1:10" ht="13.5" customHeight="1">
      <c r="A5" s="511" t="s">
        <v>495</v>
      </c>
      <c r="B5" s="512">
        <f>2%*B3</f>
        <v>531.01800000000003</v>
      </c>
      <c r="C5" s="512">
        <f>2%*C3</f>
        <v>560.34086000000002</v>
      </c>
      <c r="D5" s="512">
        <f>2%*D3</f>
        <v>591.62738000000002</v>
      </c>
    </row>
    <row r="6" spans="1:10" ht="13.5" customHeight="1">
      <c r="A6" s="513" t="s">
        <v>496</v>
      </c>
      <c r="B6" s="514">
        <f>B5/(B4*1000)</f>
        <v>5.9334713599507012E-3</v>
      </c>
      <c r="C6" s="514">
        <f>C5/(C4*1000)</f>
        <v>5.8821724818818024E-3</v>
      </c>
      <c r="D6" s="514">
        <f>D5/(D4*1000)</f>
        <v>5.8572703426012368E-3</v>
      </c>
    </row>
    <row r="7" spans="1:10" ht="13.5" customHeight="1">
      <c r="A7" s="515" t="s">
        <v>497</v>
      </c>
      <c r="B7" s="512">
        <v>140</v>
      </c>
      <c r="C7" s="512">
        <v>0</v>
      </c>
      <c r="D7" s="512">
        <v>0</v>
      </c>
    </row>
    <row r="8" spans="1:10" ht="13.5" customHeight="1">
      <c r="A8" s="516" t="s">
        <v>498</v>
      </c>
      <c r="B8" s="514">
        <f>B7/(B4*1000)</f>
        <v>1.5643273681741449E-3</v>
      </c>
      <c r="C8" s="514">
        <f>C7/(C4*1000000)</f>
        <v>0</v>
      </c>
      <c r="D8" s="514">
        <f>D7/(D4*1000000)</f>
        <v>0</v>
      </c>
    </row>
    <row r="9" spans="1:10" ht="13.5" customHeight="1">
      <c r="A9" s="30" t="s">
        <v>499</v>
      </c>
      <c r="B9" s="52">
        <f t="shared" ref="B9:D10" si="0">B5-B7</f>
        <v>391.01800000000003</v>
      </c>
      <c r="C9" s="52">
        <f t="shared" si="0"/>
        <v>560.34086000000002</v>
      </c>
      <c r="D9" s="52">
        <f t="shared" si="0"/>
        <v>591.62738000000002</v>
      </c>
    </row>
    <row r="10" spans="1:10" ht="13.5" customHeight="1">
      <c r="A10" s="517" t="s">
        <v>500</v>
      </c>
      <c r="B10" s="514">
        <f t="shared" si="0"/>
        <v>4.3691439917765565E-3</v>
      </c>
      <c r="C10" s="514">
        <f t="shared" si="0"/>
        <v>5.8821724818818024E-3</v>
      </c>
      <c r="D10" s="514">
        <f t="shared" si="0"/>
        <v>5.8572703426012368E-3</v>
      </c>
    </row>
    <row r="11" spans="1:10" ht="13.5" customHeight="1">
      <c r="B11" s="508"/>
      <c r="C11" s="508"/>
      <c r="D11" s="508"/>
    </row>
    <row r="12" spans="1:10" ht="13.5" customHeight="1">
      <c r="B12" s="508"/>
      <c r="C12" s="508"/>
      <c r="D12" s="508"/>
    </row>
    <row r="13" spans="1:10" ht="13.5" customHeight="1">
      <c r="B13" s="508"/>
      <c r="C13" s="508"/>
      <c r="D13" s="508"/>
    </row>
    <row r="14" spans="1:10" ht="13.5" customHeight="1">
      <c r="B14" s="508"/>
      <c r="C14" s="508"/>
      <c r="D14" s="508"/>
    </row>
    <row r="15" spans="1:10" ht="13.5" customHeight="1">
      <c r="B15" s="508"/>
      <c r="C15" s="508"/>
      <c r="D15" s="508"/>
    </row>
    <row r="16" spans="1:10" ht="13.5" customHeight="1">
      <c r="B16" s="508"/>
      <c r="C16" s="508"/>
      <c r="D16" s="508"/>
    </row>
    <row r="17" spans="2:4" ht="13.5" customHeight="1">
      <c r="B17" s="508"/>
      <c r="C17" s="508"/>
      <c r="D17" s="508"/>
    </row>
    <row r="18" spans="2:4" ht="13.5" customHeight="1">
      <c r="B18" s="508"/>
      <c r="C18" s="508"/>
      <c r="D18" s="508"/>
    </row>
    <row r="19" spans="2:4" ht="13.5" customHeight="1">
      <c r="B19" s="508"/>
      <c r="C19" s="508"/>
      <c r="D19" s="508"/>
    </row>
    <row r="20" spans="2:4" ht="13.5" customHeight="1">
      <c r="B20" s="508"/>
      <c r="C20" s="508"/>
      <c r="D20" s="508"/>
    </row>
    <row r="21" spans="2:4" ht="13.5" customHeight="1">
      <c r="B21" s="508"/>
      <c r="C21" s="508"/>
      <c r="D21" s="508"/>
    </row>
    <row r="22" spans="2:4" ht="13.5" customHeight="1">
      <c r="B22" s="508"/>
      <c r="C22" s="508"/>
      <c r="D22" s="508"/>
    </row>
    <row r="23" spans="2:4" ht="13.5" customHeight="1">
      <c r="B23" s="508"/>
      <c r="C23" s="508"/>
      <c r="D23" s="508"/>
    </row>
    <row r="24" spans="2:4" ht="13.5" customHeight="1">
      <c r="B24" s="508"/>
      <c r="C24" s="508"/>
      <c r="D24" s="508"/>
    </row>
    <row r="25" spans="2:4" ht="13.5" customHeight="1">
      <c r="B25" s="508"/>
      <c r="C25" s="508"/>
      <c r="D25" s="508"/>
    </row>
    <row r="26" spans="2:4" ht="13.5" customHeight="1">
      <c r="B26" s="508"/>
      <c r="C26" s="508"/>
      <c r="D26" s="508"/>
    </row>
    <row r="27" spans="2:4" ht="13.5" customHeight="1">
      <c r="B27" s="508"/>
      <c r="C27" s="508"/>
      <c r="D27" s="508"/>
    </row>
    <row r="28" spans="2:4" ht="13.5" customHeight="1">
      <c r="B28" s="508"/>
      <c r="C28" s="508"/>
      <c r="D28" s="508"/>
    </row>
    <row r="29" spans="2:4" ht="13.5" customHeight="1">
      <c r="B29" s="508"/>
      <c r="C29" s="508"/>
      <c r="D29" s="508"/>
    </row>
    <row r="30" spans="2:4" ht="13.5" customHeight="1">
      <c r="B30" s="508"/>
      <c r="C30" s="508"/>
      <c r="D30" s="508"/>
    </row>
    <row r="31" spans="2:4" ht="13.5" customHeight="1">
      <c r="B31" s="508"/>
      <c r="C31" s="508"/>
      <c r="D31" s="508"/>
    </row>
    <row r="32" spans="2:4" ht="13.5" customHeight="1">
      <c r="B32" s="508"/>
      <c r="C32" s="508"/>
      <c r="D32" s="508"/>
    </row>
    <row r="33" spans="2:4" ht="13.5" customHeight="1">
      <c r="B33" s="508"/>
      <c r="C33" s="508"/>
      <c r="D33" s="508"/>
    </row>
    <row r="34" spans="2:4" ht="13.5" customHeight="1">
      <c r="B34" s="508"/>
      <c r="C34" s="508"/>
      <c r="D34" s="508"/>
    </row>
    <row r="35" spans="2:4" ht="13.5" customHeight="1">
      <c r="B35" s="508"/>
      <c r="C35" s="508"/>
      <c r="D35" s="508"/>
    </row>
    <row r="36" spans="2:4" ht="13.5" customHeight="1">
      <c r="B36" s="508"/>
      <c r="C36" s="508"/>
      <c r="D36" s="508"/>
    </row>
    <row r="37" spans="2:4" ht="13.5" customHeight="1">
      <c r="B37" s="508"/>
      <c r="C37" s="508"/>
      <c r="D37" s="508"/>
    </row>
    <row r="38" spans="2:4" ht="13.5" customHeight="1">
      <c r="B38" s="508"/>
      <c r="C38" s="508"/>
      <c r="D38" s="508"/>
    </row>
    <row r="39" spans="2:4" ht="13.5" customHeight="1">
      <c r="B39" s="508"/>
      <c r="C39" s="508"/>
      <c r="D39" s="508"/>
    </row>
    <row r="40" spans="2:4" ht="13.5" customHeight="1">
      <c r="B40" s="508"/>
      <c r="C40" s="508"/>
      <c r="D40" s="508"/>
    </row>
    <row r="41" spans="2:4" ht="13.5" customHeight="1">
      <c r="B41" s="508"/>
      <c r="C41" s="508"/>
      <c r="D41" s="508"/>
    </row>
    <row r="42" spans="2:4" ht="13.5" customHeight="1">
      <c r="B42" s="508"/>
      <c r="C42" s="508"/>
      <c r="D42" s="508"/>
    </row>
    <row r="43" spans="2:4" ht="13.5" customHeight="1">
      <c r="B43" s="508"/>
      <c r="C43" s="508"/>
      <c r="D43" s="508"/>
    </row>
    <row r="44" spans="2:4" ht="13.5" customHeight="1">
      <c r="B44" s="508"/>
      <c r="C44" s="508"/>
      <c r="D44" s="508"/>
    </row>
    <row r="45" spans="2:4" ht="13.5" customHeight="1">
      <c r="B45" s="508"/>
      <c r="C45" s="508"/>
      <c r="D45" s="508"/>
    </row>
    <row r="46" spans="2:4" ht="13.5" customHeight="1">
      <c r="B46" s="508"/>
      <c r="C46" s="508"/>
      <c r="D46" s="508"/>
    </row>
    <row r="47" spans="2:4" ht="13.5" customHeight="1">
      <c r="B47" s="508"/>
      <c r="C47" s="508"/>
      <c r="D47" s="508"/>
    </row>
    <row r="48" spans="2:4" ht="13.5" customHeight="1">
      <c r="B48" s="508"/>
      <c r="C48" s="508"/>
      <c r="D48" s="508"/>
    </row>
    <row r="49" spans="2:4" ht="13.5" customHeight="1">
      <c r="B49" s="508"/>
      <c r="C49" s="508"/>
      <c r="D49" s="508"/>
    </row>
    <row r="50" spans="2:4" ht="13.5" customHeight="1">
      <c r="B50" s="508"/>
      <c r="C50" s="508"/>
      <c r="D50" s="508"/>
    </row>
    <row r="51" spans="2:4" ht="13.5" customHeight="1">
      <c r="B51" s="508"/>
      <c r="C51" s="508"/>
      <c r="D51" s="508"/>
    </row>
    <row r="52" spans="2:4" ht="13.5" customHeight="1">
      <c r="B52" s="508"/>
      <c r="C52" s="508"/>
      <c r="D52" s="508"/>
    </row>
    <row r="53" spans="2:4" ht="13.5" customHeight="1">
      <c r="B53" s="508"/>
      <c r="C53" s="508"/>
      <c r="D53" s="508"/>
    </row>
    <row r="54" spans="2:4" ht="13.5" customHeight="1">
      <c r="B54" s="508"/>
      <c r="C54" s="508"/>
      <c r="D54" s="508"/>
    </row>
    <row r="55" spans="2:4" ht="13.5" customHeight="1">
      <c r="B55" s="508"/>
      <c r="C55" s="508"/>
      <c r="D55" s="508"/>
    </row>
    <row r="56" spans="2:4" ht="13.5" customHeight="1">
      <c r="B56" s="508"/>
      <c r="C56" s="508"/>
      <c r="D56" s="508"/>
    </row>
    <row r="57" spans="2:4" ht="13.5" customHeight="1">
      <c r="B57" s="508"/>
      <c r="C57" s="508"/>
      <c r="D57" s="508"/>
    </row>
    <row r="58" spans="2:4" ht="13.5" customHeight="1">
      <c r="B58" s="508"/>
      <c r="C58" s="508"/>
      <c r="D58" s="508"/>
    </row>
    <row r="59" spans="2:4" ht="13.5" customHeight="1">
      <c r="B59" s="508"/>
      <c r="C59" s="508"/>
      <c r="D59" s="508"/>
    </row>
    <row r="60" spans="2:4" ht="13.5" customHeight="1">
      <c r="B60" s="508"/>
      <c r="C60" s="508"/>
      <c r="D60" s="508"/>
    </row>
    <row r="61" spans="2:4" ht="13.5" customHeight="1">
      <c r="B61" s="508"/>
      <c r="C61" s="508"/>
      <c r="D61" s="508"/>
    </row>
    <row r="62" spans="2:4" ht="13.5" customHeight="1">
      <c r="B62" s="508"/>
      <c r="C62" s="508"/>
      <c r="D62" s="508"/>
    </row>
    <row r="63" spans="2:4" ht="13.5" customHeight="1">
      <c r="B63" s="508"/>
      <c r="C63" s="508"/>
      <c r="D63" s="508"/>
    </row>
    <row r="64" spans="2:4" ht="13.5" customHeight="1">
      <c r="B64" s="508"/>
      <c r="C64" s="508"/>
      <c r="D64" s="508"/>
    </row>
    <row r="65" spans="2:4" ht="13.5" customHeight="1">
      <c r="B65" s="508"/>
      <c r="C65" s="508"/>
      <c r="D65" s="508"/>
    </row>
    <row r="66" spans="2:4" ht="13.5" customHeight="1">
      <c r="B66" s="508"/>
      <c r="C66" s="508"/>
      <c r="D66" s="508"/>
    </row>
    <row r="67" spans="2:4" ht="13.5" customHeight="1">
      <c r="B67" s="508"/>
      <c r="C67" s="508"/>
      <c r="D67" s="508"/>
    </row>
    <row r="68" spans="2:4" ht="13.5" customHeight="1">
      <c r="B68" s="508"/>
      <c r="C68" s="508"/>
      <c r="D68" s="508"/>
    </row>
    <row r="69" spans="2:4" ht="13.5" customHeight="1">
      <c r="B69" s="508"/>
      <c r="C69" s="508"/>
      <c r="D69" s="508"/>
    </row>
    <row r="70" spans="2:4" ht="13.5" customHeight="1">
      <c r="B70" s="508"/>
      <c r="C70" s="508"/>
      <c r="D70" s="508"/>
    </row>
    <row r="71" spans="2:4" ht="13.5" customHeight="1">
      <c r="B71" s="508"/>
      <c r="C71" s="508"/>
      <c r="D71" s="508"/>
    </row>
    <row r="72" spans="2:4" ht="13.5" customHeight="1">
      <c r="B72" s="508"/>
      <c r="C72" s="508"/>
      <c r="D72" s="508"/>
    </row>
    <row r="73" spans="2:4" ht="13.5" customHeight="1">
      <c r="B73" s="508"/>
      <c r="C73" s="508"/>
      <c r="D73" s="508"/>
    </row>
    <row r="74" spans="2:4" ht="13.5" customHeight="1">
      <c r="B74" s="508"/>
      <c r="C74" s="508"/>
      <c r="D74" s="508"/>
    </row>
    <row r="75" spans="2:4" ht="13.5" customHeight="1">
      <c r="B75" s="508"/>
      <c r="C75" s="508"/>
      <c r="D75" s="508"/>
    </row>
    <row r="76" spans="2:4" ht="13.5" customHeight="1">
      <c r="B76" s="508"/>
      <c r="C76" s="508"/>
      <c r="D76" s="508"/>
    </row>
    <row r="77" spans="2:4" ht="13.5" customHeight="1">
      <c r="B77" s="508"/>
      <c r="C77" s="508"/>
      <c r="D77" s="508"/>
    </row>
    <row r="78" spans="2:4" ht="13.5" customHeight="1">
      <c r="B78" s="508"/>
      <c r="C78" s="508"/>
      <c r="D78" s="508"/>
    </row>
    <row r="79" spans="2:4" ht="13.5" customHeight="1">
      <c r="B79" s="508"/>
      <c r="C79" s="508"/>
      <c r="D79" s="508"/>
    </row>
    <row r="80" spans="2:4" ht="13.5" customHeight="1">
      <c r="B80" s="508"/>
      <c r="C80" s="508"/>
      <c r="D80" s="508"/>
    </row>
    <row r="81" spans="2:4" ht="13.5" customHeight="1">
      <c r="B81" s="508"/>
      <c r="C81" s="508"/>
      <c r="D81" s="508"/>
    </row>
    <row r="82" spans="2:4" ht="13.5" customHeight="1">
      <c r="B82" s="508"/>
      <c r="C82" s="508"/>
      <c r="D82" s="508"/>
    </row>
    <row r="83" spans="2:4" ht="13.5" customHeight="1">
      <c r="B83" s="508"/>
      <c r="C83" s="508"/>
      <c r="D83" s="508"/>
    </row>
    <row r="84" spans="2:4" ht="13.5" customHeight="1">
      <c r="B84" s="508"/>
      <c r="C84" s="508"/>
      <c r="D84" s="508"/>
    </row>
    <row r="85" spans="2:4" ht="13.5" customHeight="1">
      <c r="B85" s="508"/>
      <c r="C85" s="508"/>
      <c r="D85" s="508"/>
    </row>
    <row r="86" spans="2:4" ht="13.5" customHeight="1">
      <c r="B86" s="508"/>
      <c r="C86" s="508"/>
      <c r="D86" s="508"/>
    </row>
    <row r="87" spans="2:4" ht="13.5" customHeight="1">
      <c r="B87" s="508"/>
      <c r="C87" s="508"/>
      <c r="D87" s="508"/>
    </row>
    <row r="88" spans="2:4" ht="13.5" customHeight="1">
      <c r="B88" s="508"/>
      <c r="C88" s="508"/>
      <c r="D88" s="508"/>
    </row>
  </sheetData>
  <pageMargins left="0.70866141732283472" right="0.70866141732283472" top="0.74803149606299213" bottom="0.74803149606299213" header="0.31496062992125984" footer="0.31496062992125984"/>
  <pageSetup paperSize="9" fitToWidth="3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workbookViewId="0"/>
  </sheetViews>
  <sheetFormatPr defaultRowHeight="15"/>
  <cols>
    <col min="1" max="1" width="31.28515625" style="530" customWidth="1"/>
    <col min="2" max="16384" width="9.140625" style="530"/>
  </cols>
  <sheetData>
    <row r="1" spans="1:8">
      <c r="A1" s="867" t="s">
        <v>831</v>
      </c>
      <c r="B1" s="868"/>
      <c r="C1" s="868"/>
      <c r="D1" s="868"/>
      <c r="E1" s="868"/>
      <c r="F1" s="868"/>
      <c r="H1" s="867" t="s">
        <v>832</v>
      </c>
    </row>
    <row r="2" spans="1:8">
      <c r="A2" s="629"/>
      <c r="B2" s="629">
        <v>2017</v>
      </c>
      <c r="C2" s="629">
        <v>2018</v>
      </c>
      <c r="D2" s="629">
        <v>2019</v>
      </c>
      <c r="E2" s="629">
        <v>2020</v>
      </c>
      <c r="F2" s="629" t="s">
        <v>774</v>
      </c>
      <c r="G2" s="628"/>
    </row>
    <row r="3" spans="1:8">
      <c r="A3" s="631" t="s">
        <v>775</v>
      </c>
      <c r="C3" s="632">
        <f>C11-B11</f>
        <v>0.33080210061426274</v>
      </c>
      <c r="D3" s="632">
        <f>D11-C11</f>
        <v>0.60074958038975235</v>
      </c>
      <c r="E3" s="632">
        <f>E11-D11</f>
        <v>0.30507204318252179</v>
      </c>
      <c r="F3" s="632">
        <f>SUM(C3:E3)</f>
        <v>1.2366237241865368</v>
      </c>
      <c r="G3" s="628"/>
    </row>
    <row r="4" spans="1:8">
      <c r="A4" s="628" t="s">
        <v>43</v>
      </c>
      <c r="C4" s="626">
        <v>-0.27284551385364608</v>
      </c>
      <c r="D4" s="626">
        <v>-0.36236195272423899</v>
      </c>
      <c r="E4" s="626">
        <v>-0.24164053408644648</v>
      </c>
      <c r="F4" s="626">
        <v>-0.87684800066433155</v>
      </c>
      <c r="G4" s="628"/>
    </row>
    <row r="5" spans="1:8">
      <c r="A5" s="628" t="s">
        <v>776</v>
      </c>
      <c r="C5" s="626">
        <v>-9.6354815890217438E-2</v>
      </c>
      <c r="D5" s="626">
        <v>-7.5101273846788885E-2</v>
      </c>
      <c r="E5" s="626">
        <v>-8.7036438228738966E-2</v>
      </c>
      <c r="F5" s="626">
        <v>-0.25849252796574529</v>
      </c>
      <c r="G5" s="628"/>
    </row>
    <row r="6" spans="1:8">
      <c r="A6" s="628" t="s">
        <v>722</v>
      </c>
      <c r="C6" s="626">
        <v>0.37207441717288958</v>
      </c>
      <c r="D6" s="626">
        <v>0.41310685073600162</v>
      </c>
      <c r="E6" s="626">
        <v>0.29396819261827822</v>
      </c>
      <c r="F6" s="626">
        <v>1.0791494605271694</v>
      </c>
      <c r="G6" s="628"/>
    </row>
    <row r="7" spans="1:8">
      <c r="A7" s="628" t="s">
        <v>777</v>
      </c>
      <c r="C7" s="626">
        <v>0.27158973489298699</v>
      </c>
      <c r="D7" s="626">
        <v>0.3387276533508663</v>
      </c>
      <c r="E7" s="626">
        <v>0.20500127212830677</v>
      </c>
      <c r="F7" s="626">
        <v>0.81531866037216005</v>
      </c>
      <c r="G7" s="628"/>
    </row>
    <row r="8" spans="1:8">
      <c r="A8" s="628" t="s">
        <v>778</v>
      </c>
      <c r="C8" s="626">
        <v>5.0876315499828628E-2</v>
      </c>
      <c r="D8" s="626">
        <v>5.3063946810927742E-2</v>
      </c>
      <c r="E8" s="626">
        <v>1.3884693283470861E-2</v>
      </c>
      <c r="F8" s="626">
        <v>0.11782495559422723</v>
      </c>
      <c r="G8" s="628"/>
    </row>
    <row r="9" spans="1:8">
      <c r="A9" s="628" t="s">
        <v>779</v>
      </c>
      <c r="C9" s="626">
        <v>4.2568761501874608E-2</v>
      </c>
      <c r="D9" s="626">
        <v>7.5114509771063265E-2</v>
      </c>
      <c r="E9" s="626">
        <v>0.11931574988703209</v>
      </c>
      <c r="F9" s="626">
        <v>0.23699902115996996</v>
      </c>
      <c r="G9" s="628"/>
    </row>
    <row r="10" spans="1:8">
      <c r="A10" s="869" t="s">
        <v>780</v>
      </c>
      <c r="B10" s="870"/>
      <c r="C10" s="871">
        <v>-3.7106798709453548E-2</v>
      </c>
      <c r="D10" s="871">
        <v>0.1581998462919213</v>
      </c>
      <c r="E10" s="871">
        <v>1.5791075806192989E-3</v>
      </c>
      <c r="F10" s="871">
        <v>0.12267215516308705</v>
      </c>
      <c r="G10" s="628"/>
    </row>
    <row r="11" spans="1:8">
      <c r="A11" s="633" t="s">
        <v>781</v>
      </c>
      <c r="B11" s="634">
        <v>-1.6811341688917056</v>
      </c>
      <c r="C11" s="634">
        <v>-1.3503320682774429</v>
      </c>
      <c r="D11" s="634">
        <v>-0.74958248788769055</v>
      </c>
      <c r="E11" s="634">
        <v>-0.44451044470516876</v>
      </c>
      <c r="F11" s="634"/>
      <c r="G11" s="628"/>
    </row>
    <row r="12" spans="1:8">
      <c r="A12" s="628"/>
      <c r="B12" s="626"/>
      <c r="C12" s="626"/>
      <c r="D12" s="626"/>
      <c r="F12" s="872" t="s">
        <v>3</v>
      </c>
      <c r="G12" s="628"/>
    </row>
    <row r="13" spans="1:8">
      <c r="G13" s="628"/>
    </row>
    <row r="14" spans="1:8">
      <c r="G14" s="628"/>
    </row>
    <row r="15" spans="1:8">
      <c r="G15" s="628"/>
    </row>
    <row r="16" spans="1:8">
      <c r="G16" s="628"/>
    </row>
    <row r="17" spans="7:7">
      <c r="G17" s="628"/>
    </row>
    <row r="18" spans="7:7">
      <c r="G18" s="628"/>
    </row>
    <row r="19" spans="7:7">
      <c r="G19" s="628"/>
    </row>
    <row r="20" spans="7:7">
      <c r="G20" s="628"/>
    </row>
    <row r="21" spans="7:7">
      <c r="G21" s="628"/>
    </row>
    <row r="22" spans="7:7">
      <c r="G22" s="628"/>
    </row>
    <row r="23" spans="7:7">
      <c r="G23" s="628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workbookViewId="0"/>
  </sheetViews>
  <sheetFormatPr defaultRowHeight="15"/>
  <cols>
    <col min="1" max="1" width="32.140625" style="530" customWidth="1"/>
    <col min="2" max="2" width="9.140625" style="530"/>
    <col min="3" max="3" width="2.140625" style="530" customWidth="1"/>
    <col min="4" max="16384" width="9.140625" style="530"/>
  </cols>
  <sheetData>
    <row r="1" spans="1:7">
      <c r="A1" s="911" t="s">
        <v>833</v>
      </c>
      <c r="G1" s="911" t="s">
        <v>834</v>
      </c>
    </row>
    <row r="2" spans="1:7">
      <c r="A2" s="810"/>
      <c r="B2" s="930" t="s">
        <v>635</v>
      </c>
      <c r="C2" s="930"/>
      <c r="D2" s="930" t="s">
        <v>835</v>
      </c>
      <c r="E2" s="599"/>
    </row>
    <row r="3" spans="1:7">
      <c r="A3" s="931" t="s">
        <v>836</v>
      </c>
      <c r="B3" s="932">
        <v>474.33706253139098</v>
      </c>
      <c r="C3" s="701"/>
      <c r="D3" s="933">
        <v>0.52624050595334648</v>
      </c>
      <c r="E3" s="599"/>
    </row>
    <row r="4" spans="1:7">
      <c r="A4" s="599" t="s">
        <v>780</v>
      </c>
      <c r="B4" s="934">
        <v>-52.512326545491305</v>
      </c>
      <c r="C4" s="701"/>
      <c r="D4" s="935">
        <v>-5.8258389387942672E-2</v>
      </c>
      <c r="E4" s="936"/>
    </row>
    <row r="5" spans="1:7">
      <c r="A5" s="599" t="s">
        <v>96</v>
      </c>
      <c r="B5" s="934">
        <v>-193.31832301259635</v>
      </c>
      <c r="C5" s="701"/>
      <c r="D5" s="937">
        <v>-0.21447181792898315</v>
      </c>
      <c r="E5" s="599"/>
    </row>
    <row r="6" spans="1:7">
      <c r="A6" s="599" t="s">
        <v>837</v>
      </c>
      <c r="B6" s="934">
        <v>-122.1509911527628</v>
      </c>
      <c r="C6" s="701"/>
      <c r="D6" s="937">
        <v>-0.13551713425867631</v>
      </c>
      <c r="E6" s="599"/>
    </row>
    <row r="7" spans="1:7">
      <c r="A7" s="599" t="s">
        <v>42</v>
      </c>
      <c r="B7" s="934">
        <v>-46.41625092186348</v>
      </c>
      <c r="C7" s="701"/>
      <c r="D7" s="935">
        <v>-5.1495262122728258E-2</v>
      </c>
      <c r="E7" s="599"/>
    </row>
    <row r="8" spans="1:7">
      <c r="A8" s="599" t="s">
        <v>838</v>
      </c>
      <c r="B8" s="934">
        <v>133.32616645311202</v>
      </c>
      <c r="C8" s="938"/>
      <c r="D8" s="935">
        <v>0.14791513215660343</v>
      </c>
      <c r="E8" s="936"/>
    </row>
    <row r="9" spans="1:7">
      <c r="A9" s="599" t="s">
        <v>93</v>
      </c>
      <c r="B9" s="934">
        <v>213.90969074303169</v>
      </c>
      <c r="C9" s="939"/>
      <c r="D9" s="937">
        <v>0.23731635745306598</v>
      </c>
      <c r="E9" s="599"/>
    </row>
    <row r="10" spans="1:7">
      <c r="A10" s="599" t="s">
        <v>839</v>
      </c>
      <c r="B10" s="934">
        <v>250.5017266777775</v>
      </c>
      <c r="C10" s="939"/>
      <c r="D10" s="937">
        <v>0.27791240828957281</v>
      </c>
      <c r="E10" s="599"/>
    </row>
    <row r="11" spans="1:7">
      <c r="A11" s="599" t="s">
        <v>840</v>
      </c>
      <c r="B11" s="934">
        <v>51.786560479263585</v>
      </c>
      <c r="C11" s="937"/>
      <c r="D11" s="935">
        <v>5.7453207731132619E-2</v>
      </c>
      <c r="E11" s="599"/>
    </row>
    <row r="12" spans="1:7">
      <c r="A12" s="599" t="s">
        <v>841</v>
      </c>
      <c r="B12" s="934">
        <v>57.848587703456779</v>
      </c>
      <c r="C12" s="939"/>
      <c r="D12" s="937">
        <v>6.4178560914663951E-2</v>
      </c>
      <c r="E12" s="599"/>
    </row>
    <row r="13" spans="1:7">
      <c r="A13" s="816" t="s">
        <v>43</v>
      </c>
      <c r="B13" s="940">
        <v>181.36222210746334</v>
      </c>
      <c r="C13" s="941"/>
      <c r="D13" s="942">
        <v>0.20120744310663813</v>
      </c>
      <c r="E13" s="599"/>
    </row>
    <row r="14" spans="1:7">
      <c r="A14" s="943" t="s">
        <v>842</v>
      </c>
      <c r="D14" s="943" t="s">
        <v>843</v>
      </c>
    </row>
    <row r="15" spans="1:7">
      <c r="A15" s="599"/>
      <c r="B15" s="936"/>
      <c r="C15" s="936"/>
      <c r="D15" s="599"/>
      <c r="E15" s="599"/>
    </row>
    <row r="16" spans="1:7">
      <c r="A16" s="599"/>
      <c r="B16" s="599"/>
      <c r="C16" s="599"/>
      <c r="D16" s="599"/>
      <c r="E16" s="599"/>
    </row>
    <row r="18" spans="1:9">
      <c r="A18" s="944"/>
      <c r="B18" s="945"/>
      <c r="C18" s="945"/>
      <c r="D18" s="946"/>
      <c r="E18" s="944"/>
      <c r="F18" s="945"/>
    </row>
    <row r="19" spans="1:9">
      <c r="A19" s="813"/>
      <c r="B19" s="814"/>
      <c r="C19" s="814"/>
      <c r="D19" s="814"/>
      <c r="E19" s="814"/>
      <c r="F19" s="814"/>
    </row>
    <row r="20" spans="1:9">
      <c r="A20" s="813"/>
      <c r="B20" s="814"/>
      <c r="C20" s="814"/>
      <c r="D20" s="814"/>
      <c r="E20" s="814"/>
      <c r="F20" s="814"/>
    </row>
    <row r="21" spans="1:9">
      <c r="A21" s="813"/>
      <c r="B21" s="814"/>
      <c r="C21" s="814"/>
      <c r="D21" s="814"/>
      <c r="E21" s="814"/>
      <c r="F21" s="814"/>
    </row>
    <row r="22" spans="1:9">
      <c r="A22" s="813"/>
      <c r="B22" s="814"/>
      <c r="C22" s="814"/>
      <c r="D22" s="814"/>
      <c r="E22" s="814"/>
      <c r="F22" s="814"/>
    </row>
    <row r="23" spans="1:9">
      <c r="A23" s="813"/>
      <c r="B23" s="814"/>
      <c r="C23" s="814"/>
      <c r="D23" s="814"/>
      <c r="E23" s="814"/>
      <c r="F23" s="814"/>
    </row>
    <row r="24" spans="1:9">
      <c r="A24" s="813"/>
      <c r="B24" s="814"/>
      <c r="C24" s="814"/>
      <c r="D24" s="814"/>
      <c r="E24" s="814"/>
      <c r="F24" s="814"/>
    </row>
    <row r="25" spans="1:9">
      <c r="A25" s="813"/>
      <c r="B25" s="814"/>
      <c r="C25" s="814"/>
      <c r="D25" s="814"/>
      <c r="E25" s="814"/>
      <c r="F25" s="814"/>
    </row>
    <row r="26" spans="1:9">
      <c r="A26" s="813"/>
      <c r="B26" s="814"/>
      <c r="C26" s="814"/>
      <c r="D26" s="814"/>
      <c r="E26" s="814"/>
      <c r="F26" s="814"/>
      <c r="I26" s="755"/>
    </row>
    <row r="27" spans="1:9">
      <c r="A27" s="813"/>
      <c r="B27" s="814"/>
      <c r="C27" s="814"/>
      <c r="D27" s="814"/>
      <c r="E27" s="814"/>
      <c r="F27" s="814"/>
    </row>
    <row r="28" spans="1:9">
      <c r="A28" s="813"/>
      <c r="B28" s="814"/>
      <c r="C28" s="814"/>
      <c r="D28" s="814"/>
      <c r="E28" s="814"/>
      <c r="F28" s="814"/>
    </row>
    <row r="29" spans="1:9">
      <c r="A29" s="813"/>
      <c r="B29" s="814"/>
      <c r="C29" s="814"/>
      <c r="D29" s="814"/>
      <c r="E29" s="814"/>
      <c r="F29" s="814"/>
    </row>
    <row r="30" spans="1:9">
      <c r="A30" s="813"/>
      <c r="B30" s="814"/>
      <c r="C30" s="814"/>
      <c r="D30" s="814"/>
      <c r="E30" s="814"/>
      <c r="F30" s="814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showGridLines="0" workbookViewId="0"/>
  </sheetViews>
  <sheetFormatPr defaultColWidth="9.140625" defaultRowHeight="12.75"/>
  <cols>
    <col min="1" max="1" width="39.28515625" style="947" customWidth="1"/>
    <col min="2" max="16384" width="9.140625" style="947"/>
  </cols>
  <sheetData>
    <row r="1" spans="1:8">
      <c r="A1" s="911" t="s">
        <v>844</v>
      </c>
      <c r="H1" s="911" t="s">
        <v>845</v>
      </c>
    </row>
    <row r="2" spans="1:8">
      <c r="A2" s="810"/>
      <c r="B2" s="810">
        <v>2016</v>
      </c>
      <c r="C2" s="810">
        <f>B2+1</f>
        <v>2017</v>
      </c>
      <c r="D2" s="810">
        <f t="shared" ref="D2:F2" si="0">C2+1</f>
        <v>2018</v>
      </c>
      <c r="E2" s="810">
        <f t="shared" si="0"/>
        <v>2019</v>
      </c>
      <c r="F2" s="810">
        <f t="shared" si="0"/>
        <v>2020</v>
      </c>
    </row>
    <row r="3" spans="1:8">
      <c r="A3" s="609" t="s">
        <v>846</v>
      </c>
      <c r="B3" s="948">
        <v>42053</v>
      </c>
      <c r="C3" s="948">
        <v>43244</v>
      </c>
      <c r="D3" s="948">
        <v>44699</v>
      </c>
      <c r="E3" s="948">
        <v>45561</v>
      </c>
      <c r="F3" s="948">
        <v>45968</v>
      </c>
    </row>
    <row r="4" spans="1:8">
      <c r="A4" s="949" t="s">
        <v>509</v>
      </c>
      <c r="B4" s="950">
        <v>51.818786034437302</v>
      </c>
      <c r="C4" s="950">
        <v>51.116099441165019</v>
      </c>
      <c r="D4" s="950">
        <v>49.945620735725768</v>
      </c>
      <c r="E4" s="950">
        <v>47.827613436403134</v>
      </c>
      <c r="F4" s="950">
        <v>45.509557571303141</v>
      </c>
    </row>
    <row r="5" spans="1:8">
      <c r="A5" s="599" t="s">
        <v>847</v>
      </c>
      <c r="B5" s="919">
        <v>42053</v>
      </c>
      <c r="C5" s="919">
        <v>43236.700290866276</v>
      </c>
      <c r="D5" s="919">
        <v>43905.896785537188</v>
      </c>
      <c r="E5" s="919">
        <v>48122.855933720617</v>
      </c>
      <c r="F5" s="919">
        <v>47120.138002846783</v>
      </c>
    </row>
    <row r="6" spans="1:8">
      <c r="A6" s="949" t="s">
        <v>509</v>
      </c>
      <c r="B6" s="950">
        <v>51.818764324617398</v>
      </c>
      <c r="C6" s="950">
        <v>50.785308657820302</v>
      </c>
      <c r="D6" s="950">
        <v>48.710217193343261</v>
      </c>
      <c r="E6" s="950">
        <v>50.10075968634284</v>
      </c>
      <c r="F6" s="950">
        <v>46.222704413930998</v>
      </c>
    </row>
    <row r="7" spans="1:8">
      <c r="A7" s="951"/>
      <c r="B7" s="952"/>
      <c r="C7" s="952"/>
      <c r="D7" s="952"/>
      <c r="E7" s="1577" t="s">
        <v>848</v>
      </c>
      <c r="F7" s="1577"/>
    </row>
    <row r="8" spans="1:8">
      <c r="A8" s="951"/>
      <c r="B8" s="952"/>
      <c r="C8" s="952"/>
      <c r="D8" s="952"/>
      <c r="E8" s="952"/>
      <c r="F8" s="952"/>
    </row>
    <row r="9" spans="1:8">
      <c r="A9" s="953" t="s">
        <v>849</v>
      </c>
      <c r="B9" s="954">
        <v>80958.004000000001</v>
      </c>
      <c r="C9" s="954">
        <v>84599.569358327397</v>
      </c>
      <c r="D9" s="954">
        <v>89495.333808169293</v>
      </c>
      <c r="E9" s="954">
        <v>95260.868620557303</v>
      </c>
      <c r="F9" s="954">
        <v>101007.354176051</v>
      </c>
    </row>
    <row r="10" spans="1:8">
      <c r="A10" s="953" t="s">
        <v>850</v>
      </c>
      <c r="B10" s="954">
        <v>81154</v>
      </c>
      <c r="C10" s="954">
        <v>85136.236115419102</v>
      </c>
      <c r="D10" s="954">
        <v>90136.934949937699</v>
      </c>
      <c r="E10" s="954">
        <v>96052.148180975797</v>
      </c>
      <c r="F10" s="954">
        <v>101941.54279870588</v>
      </c>
      <c r="G10" s="955"/>
    </row>
    <row r="11" spans="1:8">
      <c r="G11" s="956"/>
    </row>
    <row r="12" spans="1:8">
      <c r="A12" s="957"/>
      <c r="B12" s="958"/>
      <c r="C12" s="958"/>
      <c r="D12" s="958"/>
      <c r="E12" s="958"/>
      <c r="F12" s="958"/>
    </row>
    <row r="13" spans="1:8">
      <c r="A13" s="957"/>
      <c r="B13" s="958"/>
      <c r="C13" s="958"/>
      <c r="D13" s="958"/>
      <c r="E13" s="958"/>
      <c r="F13" s="958"/>
    </row>
    <row r="14" spans="1:8">
      <c r="A14" s="951"/>
      <c r="B14" s="959"/>
      <c r="C14" s="959"/>
      <c r="D14" s="959"/>
      <c r="E14" s="959"/>
      <c r="F14" s="959"/>
    </row>
    <row r="15" spans="1:8">
      <c r="A15" s="951"/>
      <c r="B15" s="959"/>
      <c r="C15" s="959"/>
      <c r="D15" s="959"/>
      <c r="E15" s="959"/>
      <c r="F15" s="959"/>
    </row>
    <row r="16" spans="1:8">
      <c r="A16" s="951"/>
      <c r="B16" s="959"/>
      <c r="C16" s="959"/>
      <c r="D16" s="959"/>
      <c r="E16" s="959"/>
      <c r="F16" s="959"/>
    </row>
    <row r="17" spans="1:12" ht="15">
      <c r="A17" s="530"/>
      <c r="B17" s="530"/>
      <c r="C17" s="530"/>
      <c r="D17" s="530"/>
      <c r="E17" s="530"/>
      <c r="F17" s="530"/>
    </row>
    <row r="18" spans="1:12" ht="15">
      <c r="A18" s="530"/>
      <c r="B18" s="530"/>
      <c r="C18" s="530"/>
      <c r="D18" s="530"/>
      <c r="E18" s="530"/>
      <c r="F18" s="530"/>
      <c r="I18" s="955"/>
      <c r="J18" s="955"/>
      <c r="K18" s="955"/>
      <c r="L18" s="955"/>
    </row>
    <row r="19" spans="1:12" ht="15">
      <c r="A19" s="530"/>
      <c r="B19" s="530"/>
      <c r="C19" s="530"/>
      <c r="D19" s="530"/>
      <c r="E19" s="530"/>
      <c r="F19" s="530"/>
      <c r="I19" s="955"/>
      <c r="J19" s="955"/>
      <c r="K19" s="955"/>
      <c r="L19" s="955"/>
    </row>
    <row r="20" spans="1:12" ht="15">
      <c r="A20" s="530"/>
      <c r="B20" s="530"/>
      <c r="C20" s="530"/>
      <c r="D20" s="530"/>
      <c r="E20" s="530"/>
      <c r="F20" s="530"/>
    </row>
    <row r="22" spans="1:12">
      <c r="B22" s="952"/>
      <c r="C22" s="960"/>
      <c r="D22" s="960"/>
      <c r="E22" s="960"/>
      <c r="F22" s="960"/>
    </row>
  </sheetData>
  <mergeCells count="1">
    <mergeCell ref="E7:F7"/>
  </mergeCells>
  <pageMargins left="0.7" right="0.7" top="0.75" bottom="0.75" header="0.3" footer="0.3"/>
  <pageSetup paperSize="9" scale="52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showGridLines="0" workbookViewId="0"/>
  </sheetViews>
  <sheetFormatPr defaultColWidth="9.140625" defaultRowHeight="12.75"/>
  <cols>
    <col min="1" max="1" width="39.28515625" style="947" customWidth="1"/>
    <col min="2" max="16384" width="9.140625" style="947"/>
  </cols>
  <sheetData>
    <row r="1" spans="1:8">
      <c r="A1" s="911" t="s">
        <v>851</v>
      </c>
      <c r="B1" s="955"/>
      <c r="C1" s="955"/>
      <c r="D1" s="955"/>
      <c r="E1" s="955"/>
      <c r="H1" s="911" t="s">
        <v>852</v>
      </c>
    </row>
    <row r="2" spans="1:8">
      <c r="A2" s="961"/>
      <c r="B2" s="810">
        <v>2017</v>
      </c>
      <c r="C2" s="810">
        <v>2018</v>
      </c>
      <c r="D2" s="810">
        <v>2019</v>
      </c>
      <c r="E2" s="810">
        <v>2020</v>
      </c>
      <c r="F2" s="810" t="s">
        <v>853</v>
      </c>
    </row>
    <row r="3" spans="1:8">
      <c r="A3" s="599" t="s">
        <v>854</v>
      </c>
      <c r="B3" s="854">
        <v>-1.0334556667970958</v>
      </c>
      <c r="C3" s="854">
        <v>-2.0750914644770404</v>
      </c>
      <c r="D3" s="854">
        <v>1.3905424929995789</v>
      </c>
      <c r="E3" s="854">
        <v>-3.8780552724118422</v>
      </c>
      <c r="F3" s="854">
        <f>SUM(B3:E3)</f>
        <v>-5.5960599106863995</v>
      </c>
    </row>
    <row r="4" spans="1:8">
      <c r="A4" s="599" t="s">
        <v>855</v>
      </c>
      <c r="B4" s="854">
        <v>0</v>
      </c>
      <c r="C4" s="854">
        <v>-0.42833992974146073</v>
      </c>
      <c r="D4" s="854">
        <v>-0.51963738625136335</v>
      </c>
      <c r="E4" s="854">
        <v>-0.2978914225535968</v>
      </c>
      <c r="F4" s="854">
        <f t="shared" ref="F4:F6" si="0">SUM(B4:E4)</f>
        <v>-1.2458687385464209</v>
      </c>
    </row>
    <row r="5" spans="1:8">
      <c r="A5" s="599" t="s">
        <v>856</v>
      </c>
      <c r="B5" s="854">
        <v>0.330769073524813</v>
      </c>
      <c r="C5" s="854">
        <v>1.33295268877925</v>
      </c>
      <c r="D5" s="854">
        <v>-2.9889124060708503</v>
      </c>
      <c r="E5" s="854">
        <v>1.8578908298654464</v>
      </c>
      <c r="F5" s="854">
        <f t="shared" si="0"/>
        <v>0.5327001860986591</v>
      </c>
    </row>
    <row r="6" spans="1:8">
      <c r="A6" s="920" t="s">
        <v>857</v>
      </c>
      <c r="B6" s="962">
        <v>-0.70268659327228278</v>
      </c>
      <c r="C6" s="962">
        <v>-1.1704787054392511</v>
      </c>
      <c r="D6" s="962">
        <v>-2.1180072993226347</v>
      </c>
      <c r="E6" s="962">
        <v>-2.3180558650999927</v>
      </c>
      <c r="F6" s="962">
        <f t="shared" si="0"/>
        <v>-6.3092284631341613</v>
      </c>
    </row>
    <row r="7" spans="1:8">
      <c r="E7" s="1577" t="s">
        <v>848</v>
      </c>
      <c r="F7" s="1577"/>
    </row>
    <row r="8" spans="1:8" ht="15">
      <c r="A8" s="530"/>
      <c r="B8" s="530"/>
      <c r="C8" s="530"/>
      <c r="D8" s="530"/>
      <c r="E8" s="530"/>
    </row>
    <row r="9" spans="1:8">
      <c r="B9" s="955"/>
      <c r="C9" s="955"/>
      <c r="D9" s="955"/>
      <c r="E9" s="955"/>
    </row>
    <row r="11" spans="1:8">
      <c r="E11" s="963"/>
    </row>
    <row r="14" spans="1:8">
      <c r="E14" s="963"/>
    </row>
  </sheetData>
  <mergeCells count="1">
    <mergeCell ref="E7:F7"/>
  </mergeCells>
  <pageMargins left="0.7" right="0.7" top="0.75" bottom="0.75" header="0.3" footer="0.3"/>
  <pageSetup paperSize="9" scale="5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U36"/>
  <sheetViews>
    <sheetView showGridLines="0" workbookViewId="0"/>
  </sheetViews>
  <sheetFormatPr defaultRowHeight="12.75"/>
  <cols>
    <col min="1" max="1" width="31.7109375" style="6" customWidth="1"/>
    <col min="2" max="3" width="7.7109375" style="6" customWidth="1"/>
    <col min="4" max="11" width="9.140625" style="6"/>
    <col min="12" max="12" width="9.85546875" style="6" customWidth="1"/>
    <col min="13" max="15" width="9.140625" style="6"/>
    <col min="16" max="16" width="26.7109375" style="6" customWidth="1"/>
    <col min="17" max="16384" width="9.140625" style="6"/>
  </cols>
  <sheetData>
    <row r="1" spans="1:21">
      <c r="A1" s="27"/>
      <c r="B1" s="27"/>
      <c r="C1" s="27"/>
      <c r="D1" s="27"/>
      <c r="E1" s="27"/>
      <c r="F1" s="27"/>
      <c r="G1" s="27"/>
      <c r="H1" s="27"/>
      <c r="I1" s="310"/>
      <c r="J1" s="27"/>
      <c r="K1" s="27"/>
      <c r="L1" s="311"/>
      <c r="P1" s="92" t="s">
        <v>216</v>
      </c>
    </row>
    <row r="2" spans="1:21">
      <c r="P2" s="16"/>
      <c r="Q2" s="91"/>
      <c r="R2" s="91"/>
      <c r="S2" s="91"/>
      <c r="T2" s="91"/>
      <c r="U2" s="5"/>
    </row>
    <row r="3" spans="1:21">
      <c r="A3" s="287"/>
      <c r="B3" s="287">
        <v>2008</v>
      </c>
      <c r="C3" s="287">
        <v>2009</v>
      </c>
      <c r="D3" s="287">
        <v>2010</v>
      </c>
      <c r="E3" s="287">
        <v>2011</v>
      </c>
      <c r="F3" s="287">
        <v>2012</v>
      </c>
      <c r="G3" s="287">
        <v>2013</v>
      </c>
      <c r="H3" s="287">
        <v>2014</v>
      </c>
      <c r="I3" s="287">
        <v>2015</v>
      </c>
      <c r="J3" s="287">
        <v>2016</v>
      </c>
      <c r="K3" s="287">
        <v>2017</v>
      </c>
      <c r="L3" s="287">
        <v>2018</v>
      </c>
      <c r="M3" s="287">
        <v>2019</v>
      </c>
      <c r="N3" s="287">
        <v>2020</v>
      </c>
      <c r="P3" s="16"/>
      <c r="Q3" s="91"/>
      <c r="R3" s="91"/>
      <c r="S3" s="91"/>
      <c r="T3" s="91"/>
      <c r="U3" s="91"/>
    </row>
    <row r="4" spans="1:21">
      <c r="A4" s="6" t="s">
        <v>210</v>
      </c>
      <c r="D4" s="166">
        <v>-0.8</v>
      </c>
      <c r="E4" s="166">
        <v>0</v>
      </c>
      <c r="F4" s="166">
        <v>-3</v>
      </c>
      <c r="G4" s="166">
        <v>-2.9</v>
      </c>
      <c r="H4" s="166">
        <v>-2.8</v>
      </c>
      <c r="I4" s="166">
        <v>-1.9</v>
      </c>
      <c r="J4" s="166">
        <v>-1.5</v>
      </c>
      <c r="K4" s="166">
        <v>-0.39</v>
      </c>
      <c r="L4" s="166">
        <v>0</v>
      </c>
      <c r="M4" s="166">
        <v>0.15999958902343381</v>
      </c>
      <c r="N4" s="6">
        <v>0</v>
      </c>
      <c r="P4" s="105"/>
      <c r="Q4" s="132"/>
      <c r="R4" s="132"/>
      <c r="S4" s="132"/>
      <c r="T4" s="132"/>
      <c r="U4" s="132"/>
    </row>
    <row r="5" spans="1:21">
      <c r="A5" s="6" t="s">
        <v>211</v>
      </c>
      <c r="D5" s="166">
        <v>-5.5</v>
      </c>
      <c r="E5" s="166">
        <v>-4.9000000000000004</v>
      </c>
      <c r="F5" s="166">
        <v>-4.5999999999999996</v>
      </c>
      <c r="G5" s="166">
        <v>-2.9</v>
      </c>
      <c r="H5" s="166">
        <v>-2.64</v>
      </c>
      <c r="I5" s="166">
        <v>-2.4900000000000002</v>
      </c>
      <c r="J5" s="166">
        <v>-1.93</v>
      </c>
      <c r="K5" s="166">
        <v>-1.2900001435861632</v>
      </c>
      <c r="L5" s="166">
        <v>-0.82999969762914805</v>
      </c>
    </row>
    <row r="6" spans="1:21">
      <c r="A6" s="6" t="s">
        <v>212</v>
      </c>
      <c r="D6" s="166">
        <f t="shared" ref="D6:L6" si="0">D5-D4</f>
        <v>-4.7</v>
      </c>
      <c r="E6" s="166">
        <f t="shared" si="0"/>
        <v>-4.9000000000000004</v>
      </c>
      <c r="F6" s="166">
        <f t="shared" si="0"/>
        <v>-1.5999999999999996</v>
      </c>
      <c r="G6" s="166">
        <f t="shared" si="0"/>
        <v>0</v>
      </c>
      <c r="H6" s="166">
        <f t="shared" si="0"/>
        <v>0.1599999999999997</v>
      </c>
      <c r="I6" s="166">
        <f t="shared" si="0"/>
        <v>-0.5900000000000003</v>
      </c>
      <c r="J6" s="166">
        <f t="shared" si="0"/>
        <v>-0.42999999999999994</v>
      </c>
      <c r="K6" s="166">
        <f t="shared" si="0"/>
        <v>-0.9000001435861632</v>
      </c>
      <c r="L6" s="166">
        <f t="shared" si="0"/>
        <v>-0.82999969762914805</v>
      </c>
    </row>
    <row r="7" spans="1:21">
      <c r="A7" s="312" t="s">
        <v>213</v>
      </c>
      <c r="B7" s="312">
        <v>-2.4</v>
      </c>
      <c r="C7" s="312">
        <v>-7.8</v>
      </c>
      <c r="D7" s="312">
        <v>-7.5</v>
      </c>
      <c r="E7" s="312">
        <v>-4.3</v>
      </c>
      <c r="F7" s="312">
        <v>-4.3</v>
      </c>
      <c r="G7" s="312">
        <v>-2.7</v>
      </c>
      <c r="H7" s="312">
        <v>-2.7</v>
      </c>
      <c r="I7" s="312">
        <v>-2.7</v>
      </c>
      <c r="J7" s="313">
        <v>-2.1911520941153646</v>
      </c>
      <c r="K7" s="313">
        <v>-1.6259539031147603</v>
      </c>
      <c r="L7" s="312"/>
    </row>
    <row r="8" spans="1:21">
      <c r="B8" s="314" t="s">
        <v>214</v>
      </c>
      <c r="C8" s="314" t="s">
        <v>214</v>
      </c>
      <c r="D8" s="314" t="s">
        <v>214</v>
      </c>
      <c r="E8" s="314" t="s">
        <v>214</v>
      </c>
      <c r="F8" s="314" t="s">
        <v>214</v>
      </c>
      <c r="G8" s="314" t="s">
        <v>214</v>
      </c>
      <c r="H8" s="314" t="s">
        <v>214</v>
      </c>
      <c r="I8" s="314" t="s">
        <v>214</v>
      </c>
      <c r="J8" s="314" t="s">
        <v>214</v>
      </c>
      <c r="K8" s="6" t="s">
        <v>215</v>
      </c>
    </row>
    <row r="16" spans="1:21">
      <c r="H16" s="315"/>
    </row>
    <row r="17" spans="1:9">
      <c r="H17" s="315"/>
    </row>
    <row r="18" spans="1:9">
      <c r="H18" s="315"/>
      <c r="I18" s="315"/>
    </row>
    <row r="19" spans="1:9">
      <c r="H19" s="315"/>
      <c r="I19" s="315"/>
    </row>
    <row r="20" spans="1:9">
      <c r="H20" s="315"/>
      <c r="I20" s="315"/>
    </row>
    <row r="32" spans="1:9">
      <c r="A32" s="315"/>
      <c r="B32" s="315"/>
      <c r="C32" s="315"/>
      <c r="D32" s="315"/>
      <c r="E32" s="315"/>
      <c r="F32" s="315"/>
      <c r="G32" s="315"/>
    </row>
    <row r="33" spans="1:7">
      <c r="A33" s="315"/>
      <c r="B33" s="315"/>
      <c r="C33" s="315"/>
      <c r="D33" s="315"/>
      <c r="E33" s="315"/>
      <c r="F33" s="315"/>
      <c r="G33" s="315"/>
    </row>
    <row r="34" spans="1:7">
      <c r="A34" s="315"/>
      <c r="B34" s="315"/>
      <c r="C34" s="315"/>
      <c r="D34" s="315"/>
      <c r="E34" s="315"/>
      <c r="F34" s="315"/>
      <c r="G34" s="315"/>
    </row>
    <row r="35" spans="1:7">
      <c r="A35" s="315"/>
      <c r="B35" s="315"/>
      <c r="C35" s="315"/>
      <c r="D35" s="315"/>
      <c r="E35" s="315"/>
      <c r="F35" s="315"/>
      <c r="G35" s="315"/>
    </row>
    <row r="36" spans="1:7">
      <c r="A36" s="315"/>
      <c r="B36" s="315"/>
      <c r="C36" s="315"/>
      <c r="D36" s="315"/>
      <c r="E36" s="315"/>
      <c r="F36" s="315"/>
      <c r="G36" s="315"/>
    </row>
  </sheetData>
  <pageMargins left="0.7" right="0.7" top="0.75" bottom="0.75" header="0.3" footer="0.3"/>
  <pageSetup paperSize="9" scale="55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GridLines="0" workbookViewId="0"/>
  </sheetViews>
  <sheetFormatPr defaultRowHeight="15"/>
  <cols>
    <col min="1" max="1" width="9.140625" style="530"/>
    <col min="2" max="7" width="9.140625" style="628"/>
    <col min="8" max="8" width="10.85546875" style="628" customWidth="1"/>
    <col min="9" max="9" width="15.42578125" style="530" customWidth="1"/>
    <col min="10" max="10" width="16" style="530" customWidth="1"/>
    <col min="11" max="11" width="9.140625" style="628"/>
    <col min="12" max="16384" width="9.140625" style="530"/>
  </cols>
  <sheetData>
    <row r="1" spans="1:12">
      <c r="A1" s="911" t="s">
        <v>858</v>
      </c>
      <c r="L1" s="911" t="s">
        <v>859</v>
      </c>
    </row>
    <row r="2" spans="1:12" ht="24.75">
      <c r="A2" s="724"/>
      <c r="B2" s="629" t="s">
        <v>860</v>
      </c>
      <c r="C2" s="629" t="s">
        <v>861</v>
      </c>
      <c r="D2" s="629" t="s">
        <v>862</v>
      </c>
      <c r="E2" s="629" t="s">
        <v>863</v>
      </c>
      <c r="F2" s="629" t="s">
        <v>864</v>
      </c>
      <c r="G2" s="629" t="s">
        <v>865</v>
      </c>
      <c r="H2" s="629" t="s">
        <v>213</v>
      </c>
      <c r="I2" s="964" t="s">
        <v>866</v>
      </c>
      <c r="J2" s="965" t="s">
        <v>867</v>
      </c>
    </row>
    <row r="3" spans="1:12">
      <c r="A3" s="966">
        <v>2015</v>
      </c>
      <c r="B3" s="967">
        <v>-1.6799292661361629</v>
      </c>
      <c r="C3" s="967">
        <v>-1.9400482509047043</v>
      </c>
      <c r="D3" s="967">
        <v>-1.9999293646560254</v>
      </c>
      <c r="E3" s="967">
        <v>-2.5700265701893268</v>
      </c>
      <c r="F3" s="967">
        <v>-2.4900000000000002</v>
      </c>
      <c r="G3" s="967">
        <v>-2.489990749572732</v>
      </c>
      <c r="H3" s="967">
        <v>-2.7445933950208534</v>
      </c>
      <c r="I3" s="968">
        <f>G3-B3</f>
        <v>-0.81006148343656914</v>
      </c>
      <c r="J3" s="969">
        <f>H3-B3</f>
        <v>-1.0646641288846905</v>
      </c>
      <c r="K3" s="970"/>
    </row>
    <row r="4" spans="1:12">
      <c r="A4" s="966">
        <v>2016</v>
      </c>
      <c r="B4" s="967">
        <v>-1.2999671586613673</v>
      </c>
      <c r="C4" s="967">
        <v>-1.5000267991260328</v>
      </c>
      <c r="D4" s="967">
        <v>-1.6099999999999999</v>
      </c>
      <c r="E4" s="967">
        <v>-1.2128924746058471</v>
      </c>
      <c r="F4" s="967">
        <v>-1.9299999999999997</v>
      </c>
      <c r="G4" s="967">
        <v>-1.9299975356063475</v>
      </c>
      <c r="H4" s="967">
        <v>-2.17</v>
      </c>
      <c r="I4" s="968">
        <f t="shared" ref="I4:I6" si="0">G4-B4</f>
        <v>-0.63003037694498021</v>
      </c>
      <c r="J4" s="969">
        <f>H4-B4</f>
        <v>-0.87003284133863268</v>
      </c>
      <c r="K4" s="970"/>
    </row>
    <row r="5" spans="1:12">
      <c r="A5" s="966">
        <v>2017</v>
      </c>
      <c r="B5" s="967">
        <v>-0.54</v>
      </c>
      <c r="C5" s="967">
        <v>-0.6112619805921754</v>
      </c>
      <c r="D5" s="967">
        <v>-0.88</v>
      </c>
      <c r="E5" s="967">
        <v>-0.42003956237186713</v>
      </c>
      <c r="F5" s="967">
        <v>-1.29</v>
      </c>
      <c r="G5" s="967">
        <v>-1.2900132475468424</v>
      </c>
      <c r="H5" s="967">
        <v>-1.6260130050704511</v>
      </c>
      <c r="I5" s="968">
        <f t="shared" si="0"/>
        <v>-0.7500132475468424</v>
      </c>
      <c r="J5" s="969">
        <f>H5-B5</f>
        <v>-1.0860130050704511</v>
      </c>
      <c r="K5" s="970"/>
    </row>
    <row r="6" spans="1:12">
      <c r="A6" s="966">
        <v>2018</v>
      </c>
      <c r="B6" s="967">
        <v>-0.53</v>
      </c>
      <c r="C6" s="967">
        <v>0</v>
      </c>
      <c r="D6" s="967">
        <v>-0.44</v>
      </c>
      <c r="E6" s="967">
        <v>-0.44000716010765212</v>
      </c>
      <c r="F6" s="967">
        <v>-0.5</v>
      </c>
      <c r="G6" s="967">
        <v>-0.82998740648553904</v>
      </c>
      <c r="H6" s="967"/>
      <c r="I6" s="968">
        <f t="shared" si="0"/>
        <v>-0.29998740648553901</v>
      </c>
      <c r="J6" s="971"/>
      <c r="K6" s="970"/>
    </row>
    <row r="7" spans="1:12">
      <c r="A7" s="966">
        <v>2019</v>
      </c>
      <c r="B7" s="967">
        <v>0.15999999999999998</v>
      </c>
      <c r="C7" s="967">
        <v>0.15995394846493752</v>
      </c>
      <c r="D7" s="967">
        <v>0</v>
      </c>
      <c r="E7" s="967">
        <v>-0.10004107812579216</v>
      </c>
      <c r="F7" s="972"/>
      <c r="G7" s="972"/>
      <c r="H7" s="972"/>
      <c r="I7" s="968">
        <f>E7-B7</f>
        <v>-0.26004107812579214</v>
      </c>
      <c r="J7" s="971"/>
      <c r="K7" s="970"/>
    </row>
    <row r="8" spans="1:12">
      <c r="A8" s="973">
        <v>2020</v>
      </c>
      <c r="B8" s="974">
        <v>0</v>
      </c>
      <c r="C8" s="974">
        <v>0</v>
      </c>
      <c r="D8" s="975"/>
      <c r="E8" s="975"/>
      <c r="F8" s="975"/>
      <c r="G8" s="975"/>
      <c r="H8" s="975"/>
      <c r="I8" s="976">
        <f>C8-B8</f>
        <v>0</v>
      </c>
      <c r="J8" s="977"/>
      <c r="K8" s="970"/>
    </row>
    <row r="9" spans="1:12">
      <c r="A9" s="911" t="s">
        <v>868</v>
      </c>
      <c r="K9" s="978"/>
    </row>
    <row r="10" spans="1:12" ht="24.75">
      <c r="A10" s="724"/>
      <c r="B10" s="629" t="s">
        <v>860</v>
      </c>
      <c r="C10" s="629" t="s">
        <v>861</v>
      </c>
      <c r="D10" s="629" t="s">
        <v>862</v>
      </c>
      <c r="E10" s="629" t="s">
        <v>863</v>
      </c>
      <c r="F10" s="629" t="s">
        <v>864</v>
      </c>
      <c r="G10" s="629" t="s">
        <v>865</v>
      </c>
      <c r="H10" s="629" t="s">
        <v>213</v>
      </c>
      <c r="I10" s="964" t="s">
        <v>866</v>
      </c>
      <c r="J10" s="965" t="s">
        <v>867</v>
      </c>
      <c r="K10" s="978"/>
    </row>
    <row r="11" spans="1:12">
      <c r="A11" s="966">
        <v>2015</v>
      </c>
      <c r="B11" s="967">
        <v>25.137418142569672</v>
      </c>
      <c r="C11" s="967">
        <v>26.35424607961399</v>
      </c>
      <c r="D11" s="967">
        <v>25.446374867862431</v>
      </c>
      <c r="E11" s="967">
        <v>25.704561076826852</v>
      </c>
      <c r="F11" s="967">
        <v>26.418032698317273</v>
      </c>
      <c r="G11" s="967">
        <v>27.952438517850659</v>
      </c>
      <c r="H11" s="967">
        <v>28.813654207259859</v>
      </c>
      <c r="I11" s="979">
        <f>G11-B11</f>
        <v>2.8150203752809873</v>
      </c>
      <c r="J11" s="967">
        <f>H11-B11</f>
        <v>3.6762360646901868</v>
      </c>
      <c r="K11" s="970"/>
    </row>
    <row r="12" spans="1:12">
      <c r="A12" s="966">
        <v>2016</v>
      </c>
      <c r="B12" s="967">
        <v>25.397617215917883</v>
      </c>
      <c r="C12" s="967">
        <v>25.433651183586786</v>
      </c>
      <c r="D12" s="967">
        <v>26.215801086775976</v>
      </c>
      <c r="E12" s="967">
        <v>27.338377831958521</v>
      </c>
      <c r="F12" s="967">
        <v>27.46248653775854</v>
      </c>
      <c r="G12" s="967">
        <v>28.513317366137553</v>
      </c>
      <c r="H12" s="967">
        <v>28.905850989112825</v>
      </c>
      <c r="I12" s="979">
        <f t="shared" ref="I12:I14" si="1">G12-B12</f>
        <v>3.11570015021967</v>
      </c>
      <c r="J12" s="967">
        <f>H12-B12</f>
        <v>3.5082337731949416</v>
      </c>
      <c r="K12" s="970"/>
    </row>
    <row r="13" spans="1:12">
      <c r="A13" s="966">
        <v>2017</v>
      </c>
      <c r="B13" s="967">
        <v>25.952726558789742</v>
      </c>
      <c r="C13" s="967">
        <v>26.916777420027056</v>
      </c>
      <c r="D13" s="967">
        <v>27.076845310783881</v>
      </c>
      <c r="E13" s="967">
        <v>28.179947842182042</v>
      </c>
      <c r="F13" s="967">
        <v>28.337563469666442</v>
      </c>
      <c r="G13" s="967">
        <v>29.700943549980117</v>
      </c>
      <c r="H13" s="967">
        <v>29.485724560067883</v>
      </c>
      <c r="I13" s="979">
        <f t="shared" si="1"/>
        <v>3.7482169911903753</v>
      </c>
      <c r="J13" s="967">
        <f>H13-B13</f>
        <v>3.5329980012781412</v>
      </c>
      <c r="K13" s="970"/>
    </row>
    <row r="14" spans="1:12">
      <c r="A14" s="966">
        <v>2018</v>
      </c>
      <c r="B14" s="967">
        <v>26.975031992575094</v>
      </c>
      <c r="C14" s="967">
        <v>28.004019574048478</v>
      </c>
      <c r="D14" s="967">
        <v>28.069544797514666</v>
      </c>
      <c r="E14" s="967">
        <v>29.624277908019934</v>
      </c>
      <c r="F14" s="967">
        <v>29.39602580193414</v>
      </c>
      <c r="G14" s="967">
        <v>29.315884844048828</v>
      </c>
      <c r="H14" s="967"/>
      <c r="I14" s="979">
        <f t="shared" si="1"/>
        <v>2.3408528514737341</v>
      </c>
      <c r="J14" s="980"/>
      <c r="K14" s="970"/>
    </row>
    <row r="15" spans="1:12">
      <c r="A15" s="966">
        <v>2019</v>
      </c>
      <c r="B15" s="967">
        <v>27.817794386422868</v>
      </c>
      <c r="C15" s="967">
        <v>29.376986148325742</v>
      </c>
      <c r="D15" s="967">
        <v>29.113481054607153</v>
      </c>
      <c r="E15" s="967">
        <v>29.074054647054894</v>
      </c>
      <c r="F15" s="972"/>
      <c r="G15" s="972"/>
      <c r="H15" s="972"/>
      <c r="I15" s="979">
        <f>E15-B15</f>
        <v>1.2562602606320254</v>
      </c>
      <c r="J15" s="980"/>
      <c r="K15" s="970"/>
    </row>
    <row r="16" spans="1:12">
      <c r="A16" s="973">
        <v>2020</v>
      </c>
      <c r="B16" s="974">
        <v>28.992842561525507</v>
      </c>
      <c r="C16" s="974">
        <v>28.959838853927451</v>
      </c>
      <c r="D16" s="975"/>
      <c r="E16" s="975"/>
      <c r="F16" s="975"/>
      <c r="G16" s="975"/>
      <c r="H16" s="975"/>
      <c r="I16" s="981">
        <f>C16-B16</f>
        <v>-3.3003707598055598E-2</v>
      </c>
      <c r="J16" s="982"/>
      <c r="K16" s="970"/>
    </row>
    <row r="17" spans="11:11">
      <c r="K17" s="978"/>
    </row>
    <row r="18" spans="11:11">
      <c r="K18" s="978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0"/>
  <sheetViews>
    <sheetView showGridLines="0" workbookViewId="0"/>
  </sheetViews>
  <sheetFormatPr defaultRowHeight="15"/>
  <cols>
    <col min="1" max="1" width="52.7109375" style="439" customWidth="1"/>
    <col min="2" max="4" width="9.140625" style="439"/>
    <col min="5" max="5" width="9.140625" style="439" customWidth="1"/>
    <col min="6" max="16384" width="9.140625" style="439"/>
  </cols>
  <sheetData>
    <row r="1" spans="1:9">
      <c r="A1" s="475" t="s">
        <v>478</v>
      </c>
      <c r="B1" s="476"/>
      <c r="C1" s="476"/>
      <c r="D1" s="476"/>
      <c r="E1" s="476"/>
    </row>
    <row r="2" spans="1:9">
      <c r="A2" s="477"/>
      <c r="B2" s="478">
        <v>2012</v>
      </c>
      <c r="C2" s="478">
        <v>2013</v>
      </c>
      <c r="D2" s="478">
        <v>2014</v>
      </c>
      <c r="E2" s="478">
        <v>2015</v>
      </c>
      <c r="F2" s="478">
        <v>2016</v>
      </c>
      <c r="G2" s="478">
        <v>2017</v>
      </c>
      <c r="H2" s="478">
        <v>2018</v>
      </c>
    </row>
    <row r="3" spans="1:9">
      <c r="A3" s="479" t="s">
        <v>479</v>
      </c>
      <c r="B3" s="480">
        <v>0.32581778532360944</v>
      </c>
      <c r="C3" s="480">
        <v>0.71527633932094015</v>
      </c>
      <c r="D3" s="480">
        <v>1.9017611377206038</v>
      </c>
      <c r="E3" s="480">
        <v>1.2372488287279007</v>
      </c>
      <c r="F3" s="480">
        <v>1.0207928066166754</v>
      </c>
      <c r="G3" s="480">
        <v>0.2007492655450108</v>
      </c>
      <c r="H3" s="480">
        <v>0.26938812374229382</v>
      </c>
    </row>
    <row r="4" spans="1:9">
      <c r="A4" s="479" t="s">
        <v>480</v>
      </c>
      <c r="B4" s="480">
        <v>-9.9090048694698937E-2</v>
      </c>
      <c r="C4" s="480">
        <v>-0.4872579652905048</v>
      </c>
      <c r="D4" s="480">
        <v>-1.9751234037397962</v>
      </c>
      <c r="E4" s="480">
        <v>-1.5161944045384683</v>
      </c>
      <c r="F4" s="480">
        <v>-1.2886888984529712</v>
      </c>
      <c r="G4" s="480">
        <v>-0.54514303388574969</v>
      </c>
      <c r="H4" s="480">
        <v>-0.66322382764477372</v>
      </c>
      <c r="I4" s="479"/>
    </row>
    <row r="5" spans="1:9">
      <c r="A5" s="481" t="s">
        <v>481</v>
      </c>
      <c r="B5" s="482">
        <v>0.25511366692830872</v>
      </c>
      <c r="C5" s="482">
        <v>0.18001152165920509</v>
      </c>
      <c r="D5" s="482">
        <v>-6.7326627732081423E-2</v>
      </c>
      <c r="E5" s="482">
        <v>-0.2545806862164679</v>
      </c>
      <c r="F5" s="482">
        <v>-0.25596741996698014</v>
      </c>
      <c r="G5" s="482">
        <v>-0.33999999999999986</v>
      </c>
      <c r="H5" s="482">
        <v>-0.38999999999999996</v>
      </c>
    </row>
    <row r="6" spans="1:9">
      <c r="A6" s="479"/>
      <c r="B6" s="480"/>
      <c r="C6" s="480"/>
      <c r="D6" s="480"/>
      <c r="E6" s="480"/>
      <c r="F6" s="480"/>
      <c r="G6" s="480"/>
      <c r="H6" s="483" t="s">
        <v>482</v>
      </c>
    </row>
    <row r="7" spans="1:9">
      <c r="A7" s="479"/>
      <c r="B7" s="484"/>
      <c r="C7" s="484"/>
      <c r="D7" s="484"/>
      <c r="E7" s="484"/>
      <c r="F7" s="484"/>
      <c r="G7" s="484"/>
      <c r="H7" s="484"/>
    </row>
    <row r="8" spans="1:9">
      <c r="A8" s="479"/>
      <c r="B8" s="484"/>
      <c r="C8" s="484"/>
      <c r="D8" s="484"/>
      <c r="E8" s="484"/>
    </row>
    <row r="9" spans="1:9">
      <c r="A9" s="479"/>
      <c r="B9" s="484"/>
      <c r="C9" s="484"/>
      <c r="D9" s="484"/>
      <c r="E9" s="484"/>
    </row>
    <row r="10" spans="1:9">
      <c r="A10" s="479"/>
      <c r="B10" s="484"/>
      <c r="C10" s="484"/>
      <c r="D10" s="484"/>
      <c r="E10" s="484"/>
    </row>
    <row r="11" spans="1:9">
      <c r="A11" s="479"/>
      <c r="B11" s="484"/>
      <c r="C11" s="484"/>
      <c r="D11" s="484"/>
      <c r="E11" s="484"/>
    </row>
    <row r="12" spans="1:9">
      <c r="A12" s="479"/>
      <c r="B12" s="484"/>
      <c r="C12" s="484"/>
      <c r="D12" s="484"/>
      <c r="E12" s="484"/>
    </row>
    <row r="13" spans="1:9">
      <c r="A13" s="479"/>
      <c r="B13" s="484"/>
      <c r="C13" s="484"/>
      <c r="D13" s="484"/>
      <c r="E13" s="484"/>
    </row>
    <row r="14" spans="1:9">
      <c r="A14" s="479"/>
      <c r="B14" s="484"/>
      <c r="C14" s="484"/>
      <c r="D14" s="484"/>
      <c r="E14" s="484"/>
    </row>
    <row r="15" spans="1:9">
      <c r="A15" s="479"/>
      <c r="B15" s="484"/>
      <c r="C15" s="484"/>
      <c r="D15" s="484"/>
      <c r="E15" s="484"/>
    </row>
    <row r="16" spans="1:9">
      <c r="A16" s="479"/>
      <c r="B16" s="484"/>
      <c r="C16" s="484"/>
      <c r="D16" s="484"/>
      <c r="E16" s="484"/>
    </row>
    <row r="17" spans="1:21">
      <c r="A17" s="479"/>
      <c r="B17" s="484"/>
      <c r="C17" s="484"/>
      <c r="D17" s="484"/>
      <c r="E17" s="484"/>
    </row>
    <row r="18" spans="1:21">
      <c r="A18" s="479"/>
      <c r="B18" s="484"/>
      <c r="C18" s="484"/>
      <c r="D18" s="484"/>
      <c r="E18" s="484"/>
    </row>
    <row r="19" spans="1:21">
      <c r="A19" s="479"/>
      <c r="B19" s="484"/>
      <c r="C19" s="484"/>
      <c r="D19" s="484"/>
      <c r="E19" s="484"/>
    </row>
    <row r="20" spans="1:21">
      <c r="A20" s="484"/>
      <c r="B20" s="484"/>
      <c r="C20" s="484"/>
      <c r="D20" s="484"/>
      <c r="E20" s="484"/>
    </row>
    <row r="21" spans="1:21">
      <c r="A21" s="484"/>
      <c r="B21" s="484"/>
      <c r="C21" s="484"/>
      <c r="D21" s="484"/>
      <c r="E21" s="484"/>
    </row>
    <row r="22" spans="1:21">
      <c r="A22" s="484"/>
      <c r="B22" s="484"/>
      <c r="C22" s="484"/>
      <c r="D22" s="484"/>
      <c r="E22" s="484"/>
      <c r="U22" s="479"/>
    </row>
    <row r="23" spans="1:21">
      <c r="A23" s="479"/>
      <c r="B23" s="484"/>
      <c r="C23" s="484"/>
      <c r="D23" s="484"/>
      <c r="E23" s="484"/>
    </row>
    <row r="24" spans="1:21">
      <c r="A24" s="479"/>
      <c r="B24" s="484"/>
      <c r="C24" s="484"/>
      <c r="D24" s="484"/>
      <c r="E24" s="484"/>
      <c r="I24" s="479"/>
    </row>
    <row r="25" spans="1:21">
      <c r="A25" s="479"/>
      <c r="B25" s="484"/>
      <c r="C25" s="484"/>
      <c r="D25" s="484"/>
      <c r="E25" s="484"/>
    </row>
    <row r="26" spans="1:21">
      <c r="A26" s="479"/>
      <c r="B26" s="484"/>
      <c r="C26" s="484"/>
      <c r="D26" s="484"/>
      <c r="E26" s="484"/>
    </row>
    <row r="27" spans="1:21">
      <c r="A27" s="479"/>
      <c r="B27" s="484"/>
      <c r="C27" s="484"/>
      <c r="D27" s="484"/>
      <c r="E27" s="484"/>
    </row>
    <row r="28" spans="1:21">
      <c r="A28" s="479"/>
      <c r="B28" s="484"/>
      <c r="C28" s="484"/>
      <c r="D28" s="484"/>
      <c r="E28" s="484"/>
    </row>
    <row r="29" spans="1:21">
      <c r="A29" s="479"/>
      <c r="B29" s="484"/>
      <c r="C29" s="484"/>
      <c r="D29" s="484"/>
      <c r="E29" s="484"/>
    </row>
    <row r="30" spans="1:21">
      <c r="A30" s="479"/>
      <c r="B30" s="484"/>
      <c r="C30" s="484"/>
      <c r="D30" s="484"/>
      <c r="E30" s="484"/>
    </row>
    <row r="31" spans="1:21">
      <c r="A31" s="479"/>
      <c r="B31" s="484"/>
      <c r="C31" s="484"/>
      <c r="D31" s="484"/>
      <c r="E31" s="484"/>
    </row>
    <row r="32" spans="1:21">
      <c r="A32" s="479"/>
      <c r="B32" s="484"/>
      <c r="C32" s="484"/>
      <c r="D32" s="484"/>
      <c r="E32" s="484"/>
    </row>
    <row r="33" spans="1:5">
      <c r="A33" s="479"/>
      <c r="B33" s="484"/>
      <c r="C33" s="484"/>
      <c r="D33" s="484"/>
      <c r="E33" s="484"/>
    </row>
    <row r="34" spans="1:5">
      <c r="A34" s="479"/>
      <c r="B34" s="484"/>
      <c r="C34" s="484"/>
      <c r="D34" s="484"/>
      <c r="E34" s="484"/>
    </row>
    <row r="35" spans="1:5">
      <c r="A35" s="479"/>
      <c r="B35" s="484"/>
      <c r="C35" s="484"/>
      <c r="D35" s="484"/>
      <c r="E35" s="484"/>
    </row>
    <row r="36" spans="1:5">
      <c r="A36" s="479"/>
      <c r="B36" s="484"/>
      <c r="C36" s="484"/>
      <c r="D36" s="484"/>
      <c r="E36" s="484"/>
    </row>
    <row r="37" spans="1:5">
      <c r="A37" s="479"/>
      <c r="B37" s="484"/>
      <c r="C37" s="484"/>
      <c r="D37" s="484"/>
      <c r="E37" s="484"/>
    </row>
    <row r="38" spans="1:5">
      <c r="A38" s="479"/>
      <c r="B38" s="484"/>
      <c r="C38" s="484"/>
      <c r="D38" s="484"/>
      <c r="E38" s="484"/>
    </row>
    <row r="39" spans="1:5">
      <c r="A39" s="479"/>
      <c r="B39" s="484"/>
      <c r="C39" s="484"/>
      <c r="D39" s="484"/>
      <c r="E39" s="484"/>
    </row>
    <row r="40" spans="1:5">
      <c r="A40" s="479"/>
      <c r="B40" s="484"/>
      <c r="C40" s="484"/>
      <c r="D40" s="484"/>
      <c r="E40" s="484"/>
    </row>
    <row r="41" spans="1:5">
      <c r="A41" s="479"/>
      <c r="B41" s="484"/>
      <c r="C41" s="484"/>
      <c r="D41" s="484"/>
      <c r="E41" s="484"/>
    </row>
    <row r="42" spans="1:5">
      <c r="A42" s="479"/>
      <c r="B42" s="484"/>
      <c r="C42" s="484"/>
      <c r="D42" s="484"/>
      <c r="E42" s="484"/>
    </row>
    <row r="43" spans="1:5">
      <c r="A43" s="479"/>
      <c r="B43" s="484"/>
      <c r="C43" s="484"/>
      <c r="D43" s="484"/>
      <c r="E43" s="484"/>
    </row>
    <row r="44" spans="1:5">
      <c r="A44" s="479"/>
      <c r="B44" s="484"/>
      <c r="C44" s="484"/>
      <c r="D44" s="484"/>
      <c r="E44" s="484"/>
    </row>
    <row r="45" spans="1:5">
      <c r="A45" s="479"/>
      <c r="B45" s="484"/>
      <c r="C45" s="484"/>
      <c r="D45" s="484"/>
      <c r="E45" s="484"/>
    </row>
    <row r="46" spans="1:5">
      <c r="A46" s="479"/>
      <c r="B46" s="484"/>
      <c r="C46" s="484"/>
      <c r="D46" s="484"/>
      <c r="E46" s="484"/>
    </row>
    <row r="47" spans="1:5">
      <c r="A47" s="479"/>
      <c r="B47" s="484"/>
      <c r="C47" s="484"/>
      <c r="D47" s="484"/>
      <c r="E47" s="484"/>
    </row>
    <row r="48" spans="1:5">
      <c r="A48" s="479"/>
      <c r="B48" s="484"/>
      <c r="C48" s="484"/>
      <c r="D48" s="484"/>
      <c r="E48" s="484"/>
    </row>
    <row r="49" spans="1:5">
      <c r="A49" s="479"/>
      <c r="B49" s="484"/>
      <c r="C49" s="484"/>
      <c r="D49" s="484"/>
      <c r="E49" s="484"/>
    </row>
    <row r="50" spans="1:5">
      <c r="A50" s="479"/>
      <c r="B50" s="484"/>
      <c r="C50" s="484"/>
      <c r="D50" s="484"/>
      <c r="E50" s="484"/>
    </row>
    <row r="51" spans="1:5">
      <c r="A51" s="479"/>
      <c r="B51" s="484"/>
      <c r="C51" s="484"/>
      <c r="D51" s="484"/>
      <c r="E51" s="484"/>
    </row>
    <row r="52" spans="1:5">
      <c r="A52" s="479"/>
      <c r="B52" s="484"/>
      <c r="C52" s="484"/>
      <c r="D52" s="484"/>
      <c r="E52" s="484"/>
    </row>
    <row r="53" spans="1:5">
      <c r="A53" s="479"/>
      <c r="B53" s="484"/>
      <c r="C53" s="484"/>
      <c r="D53" s="484"/>
      <c r="E53" s="484"/>
    </row>
    <row r="54" spans="1:5">
      <c r="A54" s="479"/>
      <c r="B54" s="484"/>
      <c r="C54" s="484"/>
      <c r="D54" s="484"/>
      <c r="E54" s="484"/>
    </row>
    <row r="55" spans="1:5">
      <c r="A55" s="479"/>
      <c r="B55" s="484"/>
      <c r="C55" s="484"/>
      <c r="D55" s="484"/>
      <c r="E55" s="484"/>
    </row>
    <row r="56" spans="1:5">
      <c r="A56" s="479"/>
      <c r="B56" s="484"/>
      <c r="C56" s="484"/>
      <c r="D56" s="484"/>
      <c r="E56" s="484"/>
    </row>
    <row r="57" spans="1:5">
      <c r="A57" s="479"/>
    </row>
    <row r="58" spans="1:5">
      <c r="A58" s="479"/>
    </row>
    <row r="59" spans="1:5">
      <c r="A59" s="479"/>
    </row>
    <row r="60" spans="1:5">
      <c r="A60" s="479"/>
    </row>
    <row r="61" spans="1:5">
      <c r="A61" s="479"/>
    </row>
    <row r="62" spans="1:5">
      <c r="A62" s="479"/>
    </row>
    <row r="63" spans="1:5">
      <c r="A63" s="479"/>
    </row>
    <row r="64" spans="1:5">
      <c r="A64" s="479"/>
    </row>
    <row r="65" spans="1:1">
      <c r="A65" s="479"/>
    </row>
    <row r="66" spans="1:1">
      <c r="A66" s="479"/>
    </row>
    <row r="67" spans="1:1">
      <c r="A67" s="479"/>
    </row>
    <row r="68" spans="1:1">
      <c r="A68" s="479"/>
    </row>
    <row r="69" spans="1:1">
      <c r="A69" s="479"/>
    </row>
    <row r="70" spans="1:1">
      <c r="A70" s="479"/>
    </row>
  </sheetData>
  <pageMargins left="0.7" right="0.7" top="0.75" bottom="0.75" header="0.3" footer="0.3"/>
  <pageSetup paperSize="9" scale="4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7"/>
  <sheetViews>
    <sheetView showGridLines="0" workbookViewId="0"/>
  </sheetViews>
  <sheetFormatPr defaultRowHeight="15"/>
  <cols>
    <col min="1" max="1" width="52.7109375" style="439" customWidth="1"/>
    <col min="2" max="6" width="9.140625" style="439"/>
    <col min="7" max="7" width="9.140625" style="439" customWidth="1"/>
    <col min="8" max="16384" width="9.140625" style="439"/>
  </cols>
  <sheetData>
    <row r="1" spans="1:19">
      <c r="A1" s="475" t="s">
        <v>483</v>
      </c>
      <c r="B1" s="476"/>
      <c r="C1" s="476"/>
      <c r="D1" s="476"/>
      <c r="E1" s="476"/>
      <c r="F1" s="476"/>
      <c r="G1" s="476"/>
      <c r="L1" s="475"/>
    </row>
    <row r="2" spans="1:19">
      <c r="A2" s="477"/>
      <c r="B2" s="478">
        <v>2012</v>
      </c>
      <c r="C2" s="478">
        <v>2013</v>
      </c>
      <c r="D2" s="478">
        <v>2014</v>
      </c>
      <c r="E2" s="478">
        <v>2015</v>
      </c>
      <c r="F2" s="478">
        <v>2016</v>
      </c>
      <c r="G2" s="478">
        <v>2017</v>
      </c>
      <c r="H2" s="478">
        <v>2018</v>
      </c>
    </row>
    <row r="3" spans="1:19">
      <c r="A3" s="479" t="s">
        <v>484</v>
      </c>
      <c r="B3" s="485">
        <v>-4.2457970612793741</v>
      </c>
      <c r="C3" s="485">
        <v>-2.2327295228954038</v>
      </c>
      <c r="D3" s="485">
        <v>-0.73220176243002899</v>
      </c>
      <c r="E3" s="485">
        <v>-1.2283865607207403</v>
      </c>
      <c r="F3" s="485">
        <v>-0.8971721259676454</v>
      </c>
      <c r="G3" s="485">
        <v>-1.0768840359424829</v>
      </c>
      <c r="H3" s="485">
        <v>-0.16477226273027454</v>
      </c>
    </row>
    <row r="4" spans="1:19">
      <c r="A4" s="479" t="s">
        <v>485</v>
      </c>
      <c r="B4" s="486">
        <v>-4.3448863330716909</v>
      </c>
      <c r="C4" s="486">
        <v>-2.7199884783407948</v>
      </c>
      <c r="D4" s="486">
        <v>-2.7073266277320815</v>
      </c>
      <c r="E4" s="486">
        <v>-2.7445806862164681</v>
      </c>
      <c r="F4" s="486">
        <v>-2.1859674199669801</v>
      </c>
      <c r="G4" s="486">
        <v>-1.63</v>
      </c>
      <c r="H4" s="486">
        <v>-0.83</v>
      </c>
      <c r="S4" s="479"/>
    </row>
    <row r="5" spans="1:19">
      <c r="A5" s="481" t="s">
        <v>486</v>
      </c>
      <c r="B5" s="487">
        <v>-4.5999999999999996</v>
      </c>
      <c r="C5" s="487">
        <v>-2.9</v>
      </c>
      <c r="D5" s="487">
        <v>-2.64</v>
      </c>
      <c r="E5" s="487">
        <v>-2.4900000000000002</v>
      </c>
      <c r="F5" s="487">
        <v>-1.93</v>
      </c>
      <c r="G5" s="487">
        <v>-1.29</v>
      </c>
      <c r="H5" s="487">
        <v>-0.44</v>
      </c>
    </row>
    <row r="6" spans="1:19">
      <c r="A6" s="479"/>
      <c r="B6" s="485"/>
      <c r="C6" s="485"/>
      <c r="D6" s="485"/>
      <c r="E6" s="485"/>
      <c r="F6" s="485"/>
      <c r="G6" s="485"/>
      <c r="H6" s="483" t="s">
        <v>482</v>
      </c>
      <c r="I6" s="485"/>
    </row>
    <row r="7" spans="1:19">
      <c r="A7" s="484"/>
      <c r="B7" s="480"/>
      <c r="C7" s="480"/>
      <c r="D7" s="480"/>
      <c r="E7" s="480"/>
      <c r="F7" s="480"/>
      <c r="G7" s="480"/>
      <c r="H7" s="480"/>
      <c r="I7" s="480"/>
      <c r="J7" s="480"/>
    </row>
    <row r="8" spans="1:19">
      <c r="A8" s="484"/>
      <c r="B8" s="484"/>
      <c r="C8" s="484"/>
      <c r="D8" s="484"/>
      <c r="E8" s="484"/>
      <c r="F8" s="484"/>
      <c r="G8" s="484"/>
      <c r="H8" s="484"/>
      <c r="I8" s="484"/>
      <c r="J8" s="484"/>
    </row>
    <row r="9" spans="1:19">
      <c r="A9" s="484"/>
      <c r="B9" s="484"/>
      <c r="C9" s="484"/>
      <c r="D9" s="484"/>
      <c r="E9" s="484"/>
      <c r="F9" s="484"/>
      <c r="G9" s="484"/>
    </row>
    <row r="10" spans="1:19">
      <c r="A10" s="479"/>
      <c r="B10" s="484"/>
      <c r="C10" s="484"/>
      <c r="D10" s="484"/>
      <c r="E10" s="484"/>
      <c r="F10" s="484"/>
      <c r="G10" s="484"/>
    </row>
    <row r="11" spans="1:19">
      <c r="A11" s="479"/>
      <c r="B11" s="484"/>
      <c r="C11" s="484"/>
      <c r="D11" s="484"/>
      <c r="E11" s="484"/>
      <c r="F11" s="484"/>
      <c r="G11" s="484"/>
    </row>
    <row r="12" spans="1:19">
      <c r="A12" s="479"/>
      <c r="B12" s="484"/>
      <c r="C12" s="484"/>
      <c r="D12" s="484"/>
      <c r="E12" s="484"/>
      <c r="F12" s="484"/>
      <c r="G12" s="484"/>
    </row>
    <row r="13" spans="1:19">
      <c r="A13" s="479"/>
      <c r="B13" s="484"/>
      <c r="C13" s="484"/>
      <c r="D13" s="484"/>
      <c r="E13" s="484"/>
      <c r="F13" s="484"/>
      <c r="G13" s="484"/>
    </row>
    <row r="14" spans="1:19">
      <c r="A14" s="479"/>
      <c r="B14" s="484"/>
      <c r="C14" s="484"/>
      <c r="D14" s="484"/>
      <c r="E14" s="484"/>
      <c r="F14" s="484"/>
      <c r="G14" s="484"/>
    </row>
    <row r="15" spans="1:19">
      <c r="A15" s="479"/>
      <c r="B15" s="484"/>
      <c r="C15" s="484"/>
      <c r="D15" s="484"/>
      <c r="E15" s="484"/>
      <c r="F15" s="484"/>
      <c r="G15" s="484"/>
    </row>
    <row r="16" spans="1:19">
      <c r="A16" s="479"/>
      <c r="B16" s="484"/>
      <c r="C16" s="484"/>
      <c r="D16" s="484"/>
      <c r="E16" s="484"/>
      <c r="F16" s="484"/>
      <c r="G16" s="484"/>
      <c r="L16" s="462"/>
      <c r="M16" s="462"/>
      <c r="N16" s="462"/>
      <c r="O16" s="462"/>
      <c r="P16" s="462"/>
    </row>
    <row r="17" spans="1:33">
      <c r="A17" s="479"/>
      <c r="B17" s="484"/>
      <c r="C17" s="484"/>
      <c r="D17" s="484"/>
      <c r="E17" s="484"/>
      <c r="F17" s="484"/>
      <c r="G17" s="484"/>
      <c r="L17" s="488"/>
      <c r="M17" s="488"/>
      <c r="N17" s="488"/>
      <c r="O17" s="488"/>
      <c r="P17" s="488"/>
    </row>
    <row r="18" spans="1:33">
      <c r="A18" s="479"/>
      <c r="B18" s="484"/>
      <c r="C18" s="484"/>
      <c r="D18" s="484"/>
      <c r="E18" s="484"/>
      <c r="F18" s="484"/>
      <c r="G18" s="484"/>
      <c r="L18" s="480"/>
      <c r="M18" s="480"/>
      <c r="N18" s="480"/>
      <c r="O18" s="480"/>
      <c r="P18" s="480"/>
    </row>
    <row r="19" spans="1:33">
      <c r="A19" s="479"/>
      <c r="B19" s="484"/>
      <c r="C19" s="484"/>
      <c r="D19" s="484"/>
      <c r="E19" s="484"/>
      <c r="F19" s="484"/>
      <c r="G19" s="484"/>
      <c r="L19" s="486"/>
      <c r="M19" s="480"/>
      <c r="N19" s="480"/>
      <c r="O19" s="480"/>
      <c r="P19" s="480"/>
    </row>
    <row r="20" spans="1:33">
      <c r="A20" s="479"/>
      <c r="B20" s="484"/>
      <c r="C20" s="484"/>
      <c r="D20" s="484"/>
      <c r="E20" s="484"/>
      <c r="F20" s="484"/>
      <c r="G20" s="484"/>
      <c r="L20" s="475"/>
    </row>
    <row r="21" spans="1:33">
      <c r="A21" s="479"/>
      <c r="B21" s="484"/>
      <c r="C21" s="484"/>
      <c r="D21" s="484"/>
      <c r="E21" s="484"/>
      <c r="F21" s="484"/>
      <c r="G21" s="484"/>
      <c r="K21" s="489"/>
    </row>
    <row r="22" spans="1:33">
      <c r="A22" s="479"/>
      <c r="B22" s="484"/>
      <c r="C22" s="484"/>
      <c r="D22" s="484"/>
      <c r="E22" s="484"/>
      <c r="F22" s="484"/>
      <c r="G22" s="484"/>
      <c r="K22" s="484"/>
      <c r="AG22" s="479"/>
    </row>
    <row r="23" spans="1:33">
      <c r="A23" s="479"/>
      <c r="B23" s="484"/>
      <c r="C23" s="484"/>
      <c r="D23" s="484"/>
      <c r="E23" s="484"/>
      <c r="F23" s="484"/>
      <c r="G23" s="484"/>
    </row>
    <row r="24" spans="1:33">
      <c r="A24" s="479"/>
      <c r="B24" s="484"/>
      <c r="C24" s="484"/>
      <c r="D24" s="484"/>
      <c r="E24" s="484"/>
      <c r="F24" s="484"/>
      <c r="G24" s="484"/>
      <c r="U24" s="479"/>
    </row>
    <row r="25" spans="1:33">
      <c r="A25" s="479"/>
      <c r="B25" s="484"/>
      <c r="C25" s="484"/>
      <c r="D25" s="484"/>
      <c r="E25" s="484"/>
      <c r="F25" s="484"/>
      <c r="G25" s="484"/>
    </row>
    <row r="26" spans="1:33">
      <c r="A26" s="479"/>
      <c r="B26" s="484"/>
      <c r="C26" s="484"/>
      <c r="D26" s="484"/>
      <c r="E26" s="484"/>
      <c r="F26" s="484"/>
      <c r="G26" s="484"/>
    </row>
    <row r="27" spans="1:33">
      <c r="A27" s="479"/>
      <c r="B27" s="484"/>
      <c r="C27" s="484"/>
      <c r="D27" s="484"/>
      <c r="E27" s="484"/>
      <c r="F27" s="484"/>
      <c r="G27" s="484"/>
    </row>
    <row r="28" spans="1:33">
      <c r="A28" s="479"/>
      <c r="B28" s="484"/>
      <c r="C28" s="484"/>
      <c r="D28" s="484"/>
      <c r="E28" s="484"/>
      <c r="F28" s="484"/>
      <c r="G28" s="484"/>
    </row>
    <row r="29" spans="1:33">
      <c r="A29" s="479"/>
      <c r="B29" s="484"/>
      <c r="C29" s="484"/>
      <c r="D29" s="484"/>
      <c r="E29" s="484"/>
      <c r="F29" s="484"/>
      <c r="G29" s="484"/>
    </row>
    <row r="30" spans="1:33">
      <c r="A30" s="479"/>
      <c r="B30" s="484"/>
      <c r="C30" s="484"/>
      <c r="D30" s="484"/>
      <c r="E30" s="484"/>
      <c r="F30" s="484"/>
      <c r="G30" s="484"/>
    </row>
    <row r="31" spans="1:33">
      <c r="A31" s="479"/>
      <c r="B31" s="484"/>
      <c r="C31" s="484"/>
      <c r="D31" s="484"/>
      <c r="E31" s="484"/>
      <c r="F31" s="484"/>
      <c r="G31" s="484"/>
    </row>
    <row r="32" spans="1:33">
      <c r="A32" s="479"/>
      <c r="B32" s="484"/>
      <c r="C32" s="484"/>
      <c r="D32" s="484"/>
      <c r="E32" s="484"/>
      <c r="F32" s="484"/>
      <c r="G32" s="484"/>
    </row>
    <row r="33" spans="1:7">
      <c r="A33" s="479"/>
      <c r="B33" s="484"/>
      <c r="C33" s="484"/>
      <c r="D33" s="484"/>
      <c r="E33" s="484"/>
      <c r="F33" s="484"/>
      <c r="G33" s="484"/>
    </row>
    <row r="34" spans="1:7">
      <c r="A34" s="479"/>
      <c r="B34" s="484"/>
      <c r="C34" s="484"/>
      <c r="D34" s="484"/>
      <c r="E34" s="484"/>
      <c r="F34" s="484"/>
      <c r="G34" s="484"/>
    </row>
    <row r="35" spans="1:7">
      <c r="A35" s="479"/>
      <c r="B35" s="484"/>
      <c r="C35" s="484"/>
      <c r="D35" s="484"/>
      <c r="E35" s="484"/>
      <c r="F35" s="484"/>
      <c r="G35" s="484"/>
    </row>
    <row r="36" spans="1:7">
      <c r="A36" s="479"/>
      <c r="B36" s="484"/>
      <c r="C36" s="484"/>
      <c r="D36" s="484"/>
      <c r="E36" s="484"/>
      <c r="F36" s="484"/>
      <c r="G36" s="484"/>
    </row>
    <row r="37" spans="1:7">
      <c r="A37" s="479"/>
      <c r="B37" s="484"/>
      <c r="C37" s="484"/>
      <c r="D37" s="484"/>
      <c r="E37" s="484"/>
      <c r="F37" s="484"/>
      <c r="G37" s="484"/>
    </row>
    <row r="38" spans="1:7">
      <c r="A38" s="479"/>
      <c r="B38" s="484"/>
      <c r="C38" s="484"/>
      <c r="D38" s="484"/>
      <c r="E38" s="484"/>
      <c r="F38" s="484"/>
      <c r="G38" s="484"/>
    </row>
    <row r="39" spans="1:7">
      <c r="A39" s="479"/>
      <c r="B39" s="484"/>
      <c r="C39" s="484"/>
      <c r="D39" s="484"/>
      <c r="E39" s="484"/>
      <c r="F39" s="484"/>
      <c r="G39" s="484"/>
    </row>
    <row r="40" spans="1:7">
      <c r="A40" s="479"/>
      <c r="B40" s="484"/>
      <c r="C40" s="484"/>
      <c r="D40" s="484"/>
      <c r="E40" s="484"/>
      <c r="F40" s="484"/>
      <c r="G40" s="484"/>
    </row>
    <row r="41" spans="1:7">
      <c r="A41" s="479"/>
      <c r="B41" s="484"/>
      <c r="C41" s="484"/>
      <c r="D41" s="484"/>
      <c r="E41" s="484"/>
      <c r="F41" s="484"/>
      <c r="G41" s="484"/>
    </row>
    <row r="42" spans="1:7">
      <c r="A42" s="479"/>
      <c r="B42" s="484"/>
      <c r="C42" s="484"/>
      <c r="D42" s="484"/>
      <c r="E42" s="484"/>
      <c r="F42" s="484"/>
      <c r="G42" s="484"/>
    </row>
    <row r="43" spans="1:7">
      <c r="A43" s="479"/>
      <c r="B43" s="484"/>
      <c r="C43" s="484"/>
      <c r="D43" s="484"/>
      <c r="E43" s="484"/>
      <c r="F43" s="484"/>
      <c r="G43" s="484"/>
    </row>
    <row r="44" spans="1:7">
      <c r="A44" s="479"/>
      <c r="B44" s="484"/>
      <c r="C44" s="484"/>
      <c r="D44" s="484"/>
      <c r="E44" s="484"/>
      <c r="F44" s="484"/>
      <c r="G44" s="484"/>
    </row>
    <row r="45" spans="1:7">
      <c r="A45" s="479"/>
      <c r="B45" s="484"/>
      <c r="C45" s="484"/>
      <c r="D45" s="484"/>
      <c r="E45" s="484"/>
      <c r="F45" s="484"/>
      <c r="G45" s="484"/>
    </row>
    <row r="46" spans="1:7">
      <c r="A46" s="479"/>
      <c r="B46" s="484"/>
      <c r="C46" s="484"/>
      <c r="D46" s="484"/>
      <c r="E46" s="484"/>
      <c r="F46" s="484"/>
      <c r="G46" s="484"/>
    </row>
    <row r="47" spans="1:7">
      <c r="A47" s="479"/>
      <c r="B47" s="484"/>
      <c r="C47" s="484"/>
      <c r="D47" s="484"/>
      <c r="E47" s="484"/>
      <c r="F47" s="484"/>
      <c r="G47" s="484"/>
    </row>
    <row r="48" spans="1:7">
      <c r="A48" s="479"/>
      <c r="B48" s="484"/>
      <c r="C48" s="484"/>
      <c r="D48" s="484"/>
      <c r="E48" s="484"/>
      <c r="F48" s="484"/>
      <c r="G48" s="484"/>
    </row>
    <row r="49" spans="1:7">
      <c r="A49" s="479"/>
      <c r="B49" s="484"/>
      <c r="C49" s="484"/>
      <c r="D49" s="484"/>
      <c r="E49" s="484"/>
      <c r="F49" s="484"/>
      <c r="G49" s="484"/>
    </row>
    <row r="50" spans="1:7">
      <c r="A50" s="479"/>
      <c r="B50" s="484"/>
      <c r="C50" s="484"/>
      <c r="D50" s="484"/>
      <c r="E50" s="484"/>
      <c r="F50" s="484"/>
      <c r="G50" s="484"/>
    </row>
    <row r="51" spans="1:7">
      <c r="A51" s="479"/>
      <c r="B51" s="484"/>
      <c r="C51" s="484"/>
      <c r="D51" s="484"/>
      <c r="E51" s="484"/>
      <c r="F51" s="484"/>
      <c r="G51" s="484"/>
    </row>
    <row r="52" spans="1:7">
      <c r="A52" s="479"/>
      <c r="B52" s="484"/>
      <c r="C52" s="484"/>
      <c r="D52" s="484"/>
      <c r="E52" s="484"/>
      <c r="F52" s="484"/>
      <c r="G52" s="484"/>
    </row>
    <row r="53" spans="1:7">
      <c r="A53" s="479"/>
      <c r="B53" s="484"/>
      <c r="C53" s="484"/>
      <c r="D53" s="484"/>
      <c r="E53" s="484"/>
      <c r="F53" s="484"/>
      <c r="G53" s="484"/>
    </row>
    <row r="54" spans="1:7">
      <c r="A54" s="479"/>
      <c r="B54" s="484"/>
      <c r="C54" s="484"/>
      <c r="D54" s="484"/>
      <c r="E54" s="484"/>
      <c r="F54" s="484"/>
      <c r="G54" s="484"/>
    </row>
    <row r="55" spans="1:7">
      <c r="A55" s="479"/>
      <c r="B55" s="484"/>
      <c r="C55" s="484"/>
      <c r="D55" s="484"/>
      <c r="E55" s="484"/>
      <c r="F55" s="484"/>
      <c r="G55" s="484"/>
    </row>
    <row r="56" spans="1:7">
      <c r="A56" s="479"/>
      <c r="B56" s="484"/>
      <c r="C56" s="484"/>
      <c r="D56" s="484"/>
      <c r="E56" s="484"/>
      <c r="F56" s="484"/>
      <c r="G56" s="484"/>
    </row>
    <row r="57" spans="1:7">
      <c r="A57" s="479"/>
      <c r="B57" s="484"/>
      <c r="C57" s="484"/>
      <c r="D57" s="484"/>
      <c r="E57" s="484"/>
      <c r="F57" s="484"/>
      <c r="G57" s="484"/>
    </row>
  </sheetData>
  <pageMargins left="0.7" right="0.7" top="0.75" bottom="0.75" header="0.3" footer="0.3"/>
  <pageSetup paperSize="9" scale="51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Normal="100" workbookViewId="0"/>
  </sheetViews>
  <sheetFormatPr defaultRowHeight="15"/>
  <cols>
    <col min="1" max="1" width="47" style="984" customWidth="1"/>
    <col min="2" max="3" width="8.42578125" style="984" customWidth="1"/>
    <col min="4" max="4" width="5.28515625" style="984" customWidth="1"/>
    <col min="5" max="7" width="9.140625" style="984"/>
    <col min="8" max="8" width="44.28515625" style="984" customWidth="1"/>
    <col min="9" max="16384" width="9.140625" style="984"/>
  </cols>
  <sheetData>
    <row r="1" spans="1:20">
      <c r="A1" s="983" t="s">
        <v>869</v>
      </c>
      <c r="E1" s="985" t="s">
        <v>870</v>
      </c>
    </row>
    <row r="2" spans="1:20">
      <c r="A2" s="986"/>
      <c r="B2" s="987" t="s">
        <v>635</v>
      </c>
      <c r="C2" s="987" t="s">
        <v>835</v>
      </c>
      <c r="D2" s="988"/>
      <c r="F2" s="985" t="s">
        <v>871</v>
      </c>
      <c r="G2" s="988"/>
      <c r="H2" s="988"/>
      <c r="I2" s="988"/>
      <c r="J2" s="988"/>
      <c r="K2" s="988"/>
      <c r="L2" s="988"/>
      <c r="M2" s="988"/>
      <c r="N2" s="988"/>
      <c r="O2" s="988"/>
      <c r="P2" s="988"/>
      <c r="Q2" s="988"/>
      <c r="R2" s="988"/>
      <c r="S2" s="988"/>
      <c r="T2" s="989"/>
    </row>
    <row r="3" spans="1:20">
      <c r="A3" s="990" t="s">
        <v>872</v>
      </c>
      <c r="B3" s="991">
        <f>SUM(B4:B7)</f>
        <v>-506.00199999999995</v>
      </c>
      <c r="C3" s="992">
        <f t="shared" ref="C3:C18" si="0">B3/$B$19*100</f>
        <v>-0.5640297703160907</v>
      </c>
      <c r="D3" s="988"/>
      <c r="G3" s="988"/>
      <c r="H3" s="988"/>
      <c r="I3" s="988"/>
      <c r="J3" s="988"/>
      <c r="K3" s="988"/>
      <c r="L3" s="988"/>
      <c r="M3" s="988"/>
      <c r="N3" s="988"/>
      <c r="O3" s="988"/>
      <c r="P3" s="988"/>
      <c r="Q3" s="988"/>
      <c r="R3" s="988"/>
      <c r="S3" s="988"/>
      <c r="T3" s="989"/>
    </row>
    <row r="4" spans="1:20">
      <c r="A4" s="993" t="s">
        <v>873</v>
      </c>
      <c r="B4" s="994">
        <v>-302.38499999999999</v>
      </c>
      <c r="C4" s="995">
        <f t="shared" si="0"/>
        <v>-0.33706218966927221</v>
      </c>
      <c r="D4" s="996"/>
      <c r="E4" s="988"/>
      <c r="F4" s="989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9"/>
    </row>
    <row r="5" spans="1:20">
      <c r="A5" s="993" t="s">
        <v>874</v>
      </c>
      <c r="B5" s="994">
        <v>-92.7</v>
      </c>
      <c r="C5" s="995">
        <f t="shared" si="0"/>
        <v>-0.10333073724669391</v>
      </c>
      <c r="D5" s="996"/>
      <c r="E5" s="988"/>
      <c r="F5" s="988"/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8"/>
      <c r="T5" s="989"/>
    </row>
    <row r="6" spans="1:20">
      <c r="A6" s="993" t="s">
        <v>875</v>
      </c>
      <c r="B6" s="994">
        <v>-73.417000000000002</v>
      </c>
      <c r="C6" s="995">
        <f t="shared" si="0"/>
        <v>-8.1836383348872999E-2</v>
      </c>
      <c r="D6" s="996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988"/>
      <c r="R6" s="988"/>
      <c r="S6" s="988"/>
      <c r="T6" s="989"/>
    </row>
    <row r="7" spans="1:20">
      <c r="A7" s="993" t="s">
        <v>876</v>
      </c>
      <c r="B7" s="994">
        <v>-37.5</v>
      </c>
      <c r="C7" s="995">
        <f t="shared" si="0"/>
        <v>-4.1800460051251577E-2</v>
      </c>
      <c r="D7" s="996"/>
      <c r="E7" s="988"/>
      <c r="F7" s="988"/>
      <c r="G7" s="988"/>
      <c r="H7" s="988"/>
      <c r="I7" s="988"/>
      <c r="J7" s="988"/>
      <c r="K7" s="988"/>
      <c r="L7" s="988"/>
      <c r="M7" s="988"/>
      <c r="N7" s="988"/>
      <c r="O7" s="988"/>
      <c r="P7" s="988"/>
      <c r="Q7" s="988"/>
      <c r="R7" s="988"/>
      <c r="S7" s="988"/>
      <c r="T7" s="989"/>
    </row>
    <row r="8" spans="1:20">
      <c r="A8" s="990" t="s">
        <v>780</v>
      </c>
      <c r="B8" s="991">
        <f>-(B18+B17+B14+B9+B3)</f>
        <v>-197.85721699999999</v>
      </c>
      <c r="C8" s="992">
        <f t="shared" si="0"/>
        <v>-0.22054727186827505</v>
      </c>
      <c r="D8" s="996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988"/>
      <c r="S8" s="988"/>
      <c r="T8" s="989"/>
    </row>
    <row r="9" spans="1:20">
      <c r="A9" s="990" t="s">
        <v>877</v>
      </c>
      <c r="B9" s="991">
        <f>SUM(B10:B13)</f>
        <v>-162.90155000000004</v>
      </c>
      <c r="C9" s="992">
        <f t="shared" si="0"/>
        <v>-0.18158292621498567</v>
      </c>
      <c r="D9" s="996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988"/>
      <c r="S9" s="988"/>
      <c r="T9" s="989"/>
    </row>
    <row r="10" spans="1:20">
      <c r="A10" s="993" t="s">
        <v>878</v>
      </c>
      <c r="B10" s="994">
        <v>-111.673754</v>
      </c>
      <c r="C10" s="995">
        <f t="shared" si="0"/>
        <v>-0.12448038114267457</v>
      </c>
      <c r="D10" s="996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988"/>
      <c r="S10" s="988"/>
      <c r="T10" s="989"/>
    </row>
    <row r="11" spans="1:20">
      <c r="A11" s="993" t="s">
        <v>839</v>
      </c>
      <c r="B11" s="994">
        <v>-27.071961000000002</v>
      </c>
      <c r="C11" s="995">
        <f t="shared" si="0"/>
        <v>-3.0176544647721088E-2</v>
      </c>
      <c r="D11" s="996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988"/>
      <c r="S11" s="988"/>
      <c r="T11" s="989"/>
    </row>
    <row r="12" spans="1:20">
      <c r="A12" s="993" t="s">
        <v>15</v>
      </c>
      <c r="B12" s="994">
        <v>-13.966999000000008</v>
      </c>
      <c r="C12" s="995">
        <f t="shared" si="0"/>
        <v>-1.5568719566276564E-2</v>
      </c>
      <c r="D12" s="996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988"/>
      <c r="S12" s="988"/>
      <c r="T12" s="989"/>
    </row>
    <row r="13" spans="1:20">
      <c r="A13" s="993" t="s">
        <v>879</v>
      </c>
      <c r="B13" s="994">
        <v>-10.188836</v>
      </c>
      <c r="C13" s="995">
        <f t="shared" si="0"/>
        <v>-1.1357280858313439E-2</v>
      </c>
      <c r="D13" s="996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988"/>
      <c r="S13" s="988"/>
      <c r="T13" s="989"/>
    </row>
    <row r="14" spans="1:20">
      <c r="A14" s="990" t="s">
        <v>880</v>
      </c>
      <c r="B14" s="991">
        <f>SUM(B15:B16)</f>
        <v>430.06615599999998</v>
      </c>
      <c r="C14" s="992">
        <f t="shared" si="0"/>
        <v>0.47938568462062214</v>
      </c>
      <c r="D14" s="996"/>
      <c r="E14" s="988"/>
      <c r="F14" s="988"/>
      <c r="G14" s="988"/>
      <c r="H14" s="988"/>
      <c r="I14" s="988"/>
      <c r="J14" s="988"/>
      <c r="K14" s="988"/>
      <c r="L14" s="988"/>
      <c r="M14" s="988"/>
      <c r="N14" s="988"/>
      <c r="O14" s="988"/>
      <c r="P14" s="988"/>
      <c r="Q14" s="988"/>
      <c r="R14" s="988"/>
      <c r="S14" s="988"/>
      <c r="T14" s="989"/>
    </row>
    <row r="15" spans="1:20">
      <c r="A15" s="993" t="s">
        <v>881</v>
      </c>
      <c r="B15" s="994">
        <v>381.081795</v>
      </c>
      <c r="C15" s="995">
        <f t="shared" si="0"/>
        <v>0.42478384928417978</v>
      </c>
      <c r="D15" s="996"/>
      <c r="E15" s="988"/>
      <c r="F15" s="988"/>
      <c r="G15" s="988"/>
      <c r="H15" s="988"/>
      <c r="I15" s="988"/>
      <c r="J15" s="988"/>
      <c r="K15" s="988"/>
      <c r="L15" s="988"/>
      <c r="M15" s="988"/>
      <c r="N15" s="988"/>
      <c r="O15" s="988"/>
      <c r="P15" s="988"/>
      <c r="Q15" s="988"/>
      <c r="R15" s="988"/>
      <c r="S15" s="988"/>
      <c r="T15" s="989"/>
    </row>
    <row r="16" spans="1:20">
      <c r="A16" s="993" t="s">
        <v>882</v>
      </c>
      <c r="B16" s="994">
        <v>48.984361</v>
      </c>
      <c r="C16" s="995">
        <f t="shared" si="0"/>
        <v>5.4601835336442292E-2</v>
      </c>
      <c r="D16" s="996"/>
      <c r="E16" s="988"/>
      <c r="F16" s="988"/>
      <c r="G16" s="988"/>
      <c r="H16" s="988"/>
      <c r="I16" s="988"/>
      <c r="J16" s="988"/>
      <c r="K16" s="988"/>
      <c r="L16" s="988"/>
      <c r="M16" s="988"/>
      <c r="N16" s="988"/>
      <c r="O16" s="988"/>
      <c r="P16" s="988"/>
      <c r="Q16" s="988"/>
      <c r="R16" s="988"/>
      <c r="S16" s="988"/>
      <c r="T16" s="989"/>
    </row>
    <row r="17" spans="1:20">
      <c r="A17" s="990" t="s">
        <v>883</v>
      </c>
      <c r="B17" s="991">
        <v>83.37700000000001</v>
      </c>
      <c r="C17" s="992">
        <f t="shared" si="0"/>
        <v>9.2938585538485427E-2</v>
      </c>
      <c r="D17" s="996"/>
      <c r="E17" s="988"/>
      <c r="F17" s="988"/>
      <c r="G17" s="988"/>
      <c r="H17" s="988"/>
      <c r="I17" s="988"/>
      <c r="J17" s="988"/>
      <c r="K17" s="988"/>
      <c r="L17" s="988"/>
      <c r="M17" s="988"/>
      <c r="N17" s="988"/>
      <c r="O17" s="988"/>
      <c r="P17" s="988"/>
      <c r="Q17" s="988"/>
      <c r="R17" s="988"/>
      <c r="S17" s="988"/>
      <c r="T17" s="989"/>
    </row>
    <row r="18" spans="1:20">
      <c r="A18" s="997" t="s">
        <v>884</v>
      </c>
      <c r="B18" s="998">
        <v>353.317611</v>
      </c>
      <c r="C18" s="999">
        <f t="shared" si="0"/>
        <v>0.39383569824024384</v>
      </c>
      <c r="D18" s="996"/>
      <c r="E18" s="988"/>
      <c r="F18" s="988"/>
      <c r="G18" s="988"/>
      <c r="H18" s="988"/>
      <c r="I18" s="988"/>
      <c r="J18" s="988"/>
      <c r="K18" s="988"/>
      <c r="L18" s="988"/>
      <c r="M18" s="988"/>
      <c r="N18" s="988"/>
      <c r="O18" s="988"/>
      <c r="P18" s="988"/>
      <c r="Q18" s="988"/>
      <c r="R18" s="988"/>
      <c r="S18" s="988"/>
      <c r="T18" s="989"/>
    </row>
    <row r="19" spans="1:20">
      <c r="A19" s="1000" t="s">
        <v>12</v>
      </c>
      <c r="B19" s="1000">
        <v>89711.931289802116</v>
      </c>
      <c r="C19" s="1001"/>
      <c r="D19" s="996"/>
      <c r="E19" s="988"/>
      <c r="F19" s="988"/>
      <c r="G19" s="988"/>
      <c r="H19" s="988"/>
      <c r="I19" s="988"/>
      <c r="J19" s="988"/>
      <c r="K19" s="988"/>
      <c r="L19" s="988"/>
      <c r="M19" s="988"/>
      <c r="N19" s="988"/>
      <c r="O19" s="988"/>
      <c r="P19" s="988"/>
      <c r="Q19" s="988"/>
      <c r="R19" s="988"/>
      <c r="S19" s="988"/>
      <c r="T19" s="989"/>
    </row>
    <row r="20" spans="1:20">
      <c r="A20" s="596" t="s">
        <v>885</v>
      </c>
      <c r="D20" s="996"/>
      <c r="E20" s="988"/>
      <c r="F20" s="988"/>
      <c r="G20" s="988"/>
      <c r="H20" s="988"/>
      <c r="I20" s="988"/>
      <c r="J20" s="988"/>
      <c r="K20" s="988"/>
      <c r="L20" s="988"/>
      <c r="M20" s="988"/>
      <c r="N20" s="988"/>
      <c r="O20" s="988"/>
      <c r="P20" s="988"/>
      <c r="Q20" s="988"/>
      <c r="R20" s="988"/>
      <c r="S20" s="988"/>
      <c r="T20" s="989"/>
    </row>
    <row r="21" spans="1:20">
      <c r="B21" s="1578" t="s">
        <v>886</v>
      </c>
      <c r="C21" s="1578"/>
      <c r="D21" s="996"/>
      <c r="E21" s="988"/>
      <c r="F21" s="988"/>
      <c r="G21" s="988"/>
      <c r="H21" s="988"/>
      <c r="I21" s="988"/>
      <c r="J21" s="988"/>
      <c r="K21" s="988"/>
      <c r="L21" s="988"/>
      <c r="M21" s="988"/>
      <c r="N21" s="988"/>
      <c r="O21" s="988"/>
      <c r="P21" s="988"/>
      <c r="Q21" s="988"/>
      <c r="R21" s="988"/>
      <c r="S21" s="988"/>
      <c r="T21" s="989"/>
    </row>
    <row r="22" spans="1:20">
      <c r="D22" s="996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9"/>
    </row>
    <row r="23" spans="1:20">
      <c r="D23" s="996"/>
      <c r="E23" s="988"/>
      <c r="F23" s="988"/>
      <c r="G23" s="988"/>
      <c r="H23" s="988"/>
      <c r="I23" s="988"/>
      <c r="J23" s="988"/>
      <c r="K23" s="988"/>
      <c r="L23" s="988"/>
      <c r="M23" s="988"/>
      <c r="N23" s="988"/>
      <c r="O23" s="988"/>
      <c r="P23" s="988"/>
      <c r="Q23" s="988"/>
      <c r="R23" s="988"/>
      <c r="S23" s="988"/>
      <c r="T23" s="989"/>
    </row>
    <row r="24" spans="1:20">
      <c r="D24" s="996"/>
      <c r="E24" s="988"/>
      <c r="F24" s="988"/>
      <c r="G24" s="988"/>
      <c r="H24" s="988"/>
      <c r="I24" s="988"/>
      <c r="J24" s="988"/>
      <c r="K24" s="988"/>
      <c r="L24" s="988"/>
      <c r="M24" s="988"/>
      <c r="N24" s="988"/>
      <c r="O24" s="988"/>
      <c r="P24" s="988"/>
      <c r="Q24" s="988"/>
      <c r="R24" s="988"/>
      <c r="S24" s="988"/>
      <c r="T24" s="989"/>
    </row>
    <row r="25" spans="1:20">
      <c r="D25" s="996"/>
      <c r="E25" s="988"/>
      <c r="F25" s="988"/>
      <c r="G25" s="988"/>
      <c r="H25" s="988"/>
      <c r="I25" s="988"/>
      <c r="J25" s="988"/>
      <c r="K25" s="988"/>
      <c r="L25" s="988"/>
      <c r="M25" s="988"/>
      <c r="N25" s="988"/>
      <c r="O25" s="988"/>
      <c r="P25" s="988"/>
      <c r="Q25" s="988"/>
      <c r="R25" s="988"/>
      <c r="S25" s="988"/>
      <c r="T25" s="989"/>
    </row>
    <row r="26" spans="1:20" ht="15" customHeight="1">
      <c r="D26" s="996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  <c r="Q26" s="988"/>
      <c r="R26" s="988"/>
      <c r="S26" s="988"/>
      <c r="T26" s="989"/>
    </row>
    <row r="27" spans="1:20" ht="15" customHeight="1">
      <c r="D27" s="988"/>
      <c r="E27" s="988"/>
      <c r="F27" s="988"/>
      <c r="G27" s="988"/>
      <c r="H27" s="988"/>
      <c r="I27" s="988"/>
      <c r="J27" s="988"/>
      <c r="K27" s="988"/>
      <c r="L27" s="988"/>
      <c r="M27" s="988"/>
      <c r="N27" s="988"/>
      <c r="O27" s="988"/>
      <c r="P27" s="988"/>
      <c r="Q27" s="988"/>
      <c r="R27" s="988"/>
      <c r="S27" s="988"/>
      <c r="T27" s="989"/>
    </row>
    <row r="28" spans="1:20" ht="15" customHeight="1">
      <c r="D28" s="988"/>
      <c r="E28" s="988"/>
      <c r="F28" s="988"/>
      <c r="G28" s="988"/>
      <c r="H28" s="988"/>
      <c r="I28" s="988"/>
      <c r="J28" s="988"/>
      <c r="K28" s="988"/>
      <c r="L28" s="988"/>
      <c r="M28" s="988"/>
      <c r="N28" s="988"/>
      <c r="O28" s="988"/>
      <c r="P28" s="988"/>
      <c r="Q28" s="988"/>
      <c r="R28" s="988"/>
      <c r="S28" s="988"/>
      <c r="T28" s="989"/>
    </row>
    <row r="29" spans="1:20" ht="15" customHeight="1">
      <c r="D29" s="988"/>
      <c r="E29" s="988"/>
      <c r="F29" s="988"/>
      <c r="G29" s="988"/>
      <c r="H29" s="988"/>
      <c r="I29" s="988"/>
      <c r="J29" s="988"/>
      <c r="K29" s="988"/>
      <c r="L29" s="988"/>
      <c r="M29" s="988"/>
      <c r="N29" s="988"/>
      <c r="O29" s="988"/>
      <c r="P29" s="988"/>
      <c r="Q29" s="988"/>
      <c r="R29" s="988"/>
      <c r="S29" s="988"/>
      <c r="T29" s="989"/>
    </row>
    <row r="30" spans="1:20">
      <c r="D30" s="988"/>
      <c r="E30" s="988"/>
      <c r="F30" s="988"/>
      <c r="G30" s="988"/>
      <c r="H30" s="988"/>
      <c r="I30" s="988"/>
      <c r="J30" s="988"/>
      <c r="K30" s="988"/>
      <c r="L30" s="988"/>
      <c r="M30" s="988"/>
      <c r="N30" s="988"/>
      <c r="O30" s="988"/>
      <c r="P30" s="988"/>
      <c r="Q30" s="988"/>
      <c r="R30" s="988"/>
      <c r="S30" s="988"/>
      <c r="T30" s="989"/>
    </row>
    <row r="31" spans="1:20">
      <c r="D31" s="988"/>
      <c r="E31" s="1002"/>
      <c r="F31" s="988"/>
      <c r="G31" s="988"/>
      <c r="H31" s="988"/>
      <c r="I31" s="988"/>
      <c r="J31" s="988"/>
      <c r="K31" s="988"/>
      <c r="L31" s="988"/>
      <c r="M31" s="988"/>
      <c r="N31" s="988"/>
      <c r="O31" s="988"/>
      <c r="P31" s="988"/>
      <c r="Q31" s="988"/>
      <c r="R31" s="988"/>
      <c r="S31" s="988"/>
      <c r="T31" s="989"/>
    </row>
    <row r="32" spans="1:20">
      <c r="E32" s="1003"/>
    </row>
    <row r="33" spans="4:5">
      <c r="E33" s="1004"/>
    </row>
    <row r="34" spans="4:5">
      <c r="D34" s="1005"/>
    </row>
    <row r="35" spans="4:5">
      <c r="D35" s="1005"/>
    </row>
    <row r="36" spans="4:5">
      <c r="D36" s="1005"/>
    </row>
  </sheetData>
  <mergeCells count="1">
    <mergeCell ref="B21:C21"/>
  </mergeCells>
  <pageMargins left="0.7" right="0.7" top="0.75" bottom="0.75" header="0.3" footer="0.3"/>
  <pageSetup paperSize="9" scale="3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4"/>
  <sheetViews>
    <sheetView showGridLines="0" workbookViewId="0">
      <selection sqref="A1:E1"/>
    </sheetView>
  </sheetViews>
  <sheetFormatPr defaultRowHeight="15"/>
  <cols>
    <col min="1" max="1" width="56.7109375" style="530" customWidth="1"/>
    <col min="2" max="2" width="9.140625" style="530" customWidth="1"/>
    <col min="3" max="3" width="9.140625" style="530"/>
    <col min="4" max="4" width="9" style="530" customWidth="1"/>
    <col min="5" max="16384" width="9.140625" style="530"/>
  </cols>
  <sheetData>
    <row r="1" spans="1:5">
      <c r="A1" s="1489" t="s">
        <v>507</v>
      </c>
      <c r="B1" s="1489"/>
      <c r="C1" s="1489"/>
      <c r="D1" s="1489"/>
      <c r="E1" s="1489"/>
    </row>
    <row r="2" spans="1:5">
      <c r="A2" s="531"/>
      <c r="B2" s="532" t="s">
        <v>541</v>
      </c>
      <c r="C2" s="532">
        <v>2018</v>
      </c>
      <c r="D2" s="533">
        <v>2019</v>
      </c>
      <c r="E2" s="534">
        <v>2020</v>
      </c>
    </row>
    <row r="3" spans="1:5">
      <c r="A3" s="535" t="s">
        <v>508</v>
      </c>
      <c r="B3" s="536">
        <f>B5+B19+B22+B11+B10+B23+B28+B29</f>
        <v>-393.08619162247982</v>
      </c>
      <c r="C3" s="537">
        <f>C5+C19+C22+C11+C10+C23+C28+C29</f>
        <v>-1078.0333274018212</v>
      </c>
      <c r="D3" s="537">
        <f>D5+D19+D22+D11+D10+D23+D28+D29</f>
        <v>-1341.864669538666</v>
      </c>
      <c r="E3" s="536">
        <f>E5+E19+E22+E11+E10+E23+E28+E29</f>
        <v>-1507.7902108902276</v>
      </c>
    </row>
    <row r="4" spans="1:5">
      <c r="A4" s="535" t="s">
        <v>509</v>
      </c>
      <c r="B4" s="538">
        <v>-0.46352109153465121</v>
      </c>
      <c r="C4" s="539">
        <v>-1.2016610409594037</v>
      </c>
      <c r="D4" s="539">
        <v>-1.4052191515582413</v>
      </c>
      <c r="E4" s="540">
        <v>-1.4891476114622981</v>
      </c>
    </row>
    <row r="5" spans="1:5">
      <c r="A5" s="541" t="s">
        <v>510</v>
      </c>
      <c r="B5" s="542">
        <f>SUM(B6:B9)</f>
        <v>-92.813513686461221</v>
      </c>
      <c r="C5" s="543">
        <f>SUM(C6:C9)</f>
        <v>-183.1953377034568</v>
      </c>
      <c r="D5" s="544">
        <f>SUM(D6:D9)</f>
        <v>-176.84674568999429</v>
      </c>
      <c r="E5" s="542">
        <f>SUM(E6:E9)</f>
        <v>-171.7370561699712</v>
      </c>
    </row>
    <row r="6" spans="1:5">
      <c r="A6" s="545" t="s">
        <v>511</v>
      </c>
      <c r="B6" s="546">
        <v>-65</v>
      </c>
      <c r="C6" s="547">
        <v>-64</v>
      </c>
      <c r="D6" s="546">
        <v>-68</v>
      </c>
      <c r="E6" s="548">
        <v>-68</v>
      </c>
    </row>
    <row r="7" spans="1:5">
      <c r="A7" s="545" t="s">
        <v>512</v>
      </c>
      <c r="B7" s="546">
        <v>0</v>
      </c>
      <c r="C7" s="547">
        <f>-30</f>
        <v>-30</v>
      </c>
      <c r="D7" s="546">
        <v>-30</v>
      </c>
      <c r="E7" s="548">
        <v>-30</v>
      </c>
    </row>
    <row r="8" spans="1:5">
      <c r="A8" s="545" t="s">
        <v>513</v>
      </c>
      <c r="B8" s="549">
        <v>-27.813513686461214</v>
      </c>
      <c r="C8" s="550">
        <v>-57.848587703456779</v>
      </c>
      <c r="D8" s="551">
        <v>-46.086745689994288</v>
      </c>
      <c r="E8" s="549">
        <v>-40.977056169971192</v>
      </c>
    </row>
    <row r="9" spans="1:5">
      <c r="A9" s="545" t="s">
        <v>514</v>
      </c>
      <c r="B9" s="548">
        <v>0</v>
      </c>
      <c r="C9" s="546">
        <f>-125.387/4</f>
        <v>-31.34675</v>
      </c>
      <c r="D9" s="546">
        <f>-131.04/4</f>
        <v>-32.76</v>
      </c>
      <c r="E9" s="548">
        <f>-131.04/4</f>
        <v>-32.76</v>
      </c>
    </row>
    <row r="10" spans="1:5" ht="15" customHeight="1">
      <c r="A10" s="556" t="s">
        <v>515</v>
      </c>
      <c r="B10" s="557">
        <v>0</v>
      </c>
      <c r="C10" s="558">
        <v>-80</v>
      </c>
      <c r="D10" s="559">
        <v>-80</v>
      </c>
      <c r="E10" s="557">
        <v>-80</v>
      </c>
    </row>
    <row r="11" spans="1:5">
      <c r="A11" s="560" t="s">
        <v>516</v>
      </c>
      <c r="B11" s="561">
        <f>SUM(B12:B18)-B15</f>
        <v>-33.412879826017758</v>
      </c>
      <c r="C11" s="562">
        <f>SUM(C12:C18)-C15</f>
        <v>-442.81212927396905</v>
      </c>
      <c r="D11" s="563">
        <f t="shared" ref="D11:E11" si="0">SUM(D12:D18)-D15</f>
        <v>-790.47280327991621</v>
      </c>
      <c r="E11" s="564">
        <f t="shared" si="0"/>
        <v>-1045.4677466163623</v>
      </c>
    </row>
    <row r="12" spans="1:5">
      <c r="A12" s="565" t="s">
        <v>517</v>
      </c>
      <c r="B12" s="566">
        <v>-13.095402336017742</v>
      </c>
      <c r="C12" s="567">
        <v>-88.874604516233831</v>
      </c>
      <c r="D12" s="566">
        <v>-290.83186292342668</v>
      </c>
      <c r="E12" s="568">
        <v>-521.2045579346202</v>
      </c>
    </row>
    <row r="13" spans="1:5">
      <c r="A13" s="565" t="s">
        <v>1362</v>
      </c>
      <c r="B13" s="566">
        <v>42.059683740000082</v>
      </c>
      <c r="C13" s="567">
        <v>-28.928979512607839</v>
      </c>
      <c r="D13" s="566">
        <v>-116.8589777257921</v>
      </c>
      <c r="E13" s="568">
        <v>-119.47989036145873</v>
      </c>
    </row>
    <row r="14" spans="1:5">
      <c r="A14" s="565" t="s">
        <v>518</v>
      </c>
      <c r="B14" s="566">
        <v>0</v>
      </c>
      <c r="C14" s="567">
        <v>-106.65300000000001</v>
      </c>
      <c r="D14" s="566">
        <v>-195.357</v>
      </c>
      <c r="E14" s="568">
        <v>-196.357</v>
      </c>
    </row>
    <row r="15" spans="1:5" hidden="1">
      <c r="A15" s="565" t="s">
        <v>519</v>
      </c>
      <c r="B15" s="566">
        <v>0</v>
      </c>
      <c r="C15" s="567">
        <v>-20</v>
      </c>
      <c r="D15" s="566">
        <v>-20</v>
      </c>
      <c r="E15" s="568">
        <v>-20</v>
      </c>
    </row>
    <row r="16" spans="1:5">
      <c r="A16" s="565" t="s">
        <v>520</v>
      </c>
      <c r="B16" s="566">
        <v>-64.268271999999996</v>
      </c>
      <c r="C16" s="567">
        <v>-126.30472800000001</v>
      </c>
      <c r="D16" s="566">
        <v>0</v>
      </c>
      <c r="E16" s="568">
        <v>0</v>
      </c>
    </row>
    <row r="17" spans="1:5">
      <c r="A17" s="565" t="s">
        <v>521</v>
      </c>
      <c r="B17" s="566">
        <v>0</v>
      </c>
      <c r="C17" s="567">
        <v>-32.138272000000001</v>
      </c>
      <c r="D17" s="566">
        <v>-44.781308000000003</v>
      </c>
      <c r="E17" s="568">
        <v>-45.033427000000003</v>
      </c>
    </row>
    <row r="18" spans="1:5">
      <c r="A18" s="569" t="s">
        <v>522</v>
      </c>
      <c r="B18" s="570">
        <v>1.8911107699998979</v>
      </c>
      <c r="C18" s="571">
        <v>-59.912545245127376</v>
      </c>
      <c r="D18" s="570">
        <v>-142.64365463069748</v>
      </c>
      <c r="E18" s="572">
        <v>-163.39287132028355</v>
      </c>
    </row>
    <row r="19" spans="1:5">
      <c r="A19" s="541" t="s">
        <v>523</v>
      </c>
      <c r="B19" s="542">
        <f>B20+B21</f>
        <v>-81.242798110000848</v>
      </c>
      <c r="C19" s="543">
        <f>SUM(C20:C21)</f>
        <v>-134.68321694799312</v>
      </c>
      <c r="D19" s="544">
        <f>SUM(D20:D21)</f>
        <v>-66.965360158850089</v>
      </c>
      <c r="E19" s="542">
        <f>SUM(E20:E21)</f>
        <v>35.261443165637957</v>
      </c>
    </row>
    <row r="20" spans="1:5">
      <c r="A20" s="545" t="s">
        <v>524</v>
      </c>
      <c r="B20" s="573">
        <v>-56.485798110000843</v>
      </c>
      <c r="C20" s="574">
        <v>-109.68321694799312</v>
      </c>
      <c r="D20" s="575">
        <v>-41.965360158850082</v>
      </c>
      <c r="E20" s="573">
        <v>60.261443165637964</v>
      </c>
    </row>
    <row r="21" spans="1:5" ht="15" customHeight="1">
      <c r="A21" s="552" t="s">
        <v>525</v>
      </c>
      <c r="B21" s="576">
        <v>-24.757000000000005</v>
      </c>
      <c r="C21" s="577">
        <v>-25.000000000000004</v>
      </c>
      <c r="D21" s="578">
        <v>-25.000000000000004</v>
      </c>
      <c r="E21" s="576">
        <v>-25.000000000000004</v>
      </c>
    </row>
    <row r="22" spans="1:5" ht="14.25" customHeight="1">
      <c r="A22" s="556" t="s">
        <v>526</v>
      </c>
      <c r="B22" s="579">
        <v>-68.807000000000002</v>
      </c>
      <c r="C22" s="580">
        <v>-133.44964347640229</v>
      </c>
      <c r="D22" s="581">
        <v>-77.680760409905631</v>
      </c>
      <c r="E22" s="579">
        <v>-41.298851269532079</v>
      </c>
    </row>
    <row r="23" spans="1:5">
      <c r="A23" s="582" t="s">
        <v>527</v>
      </c>
      <c r="B23" s="583">
        <f>SUM(B24:B27)</f>
        <v>-15</v>
      </c>
      <c r="C23" s="584">
        <f>SUM(C24:C27)</f>
        <v>-65.893000000000015</v>
      </c>
      <c r="D23" s="585">
        <f t="shared" ref="D23:E23" si="1">SUM(D24:D27)</f>
        <v>-58.899000000000001</v>
      </c>
      <c r="E23" s="583">
        <f t="shared" si="1"/>
        <v>-68.548000000000002</v>
      </c>
    </row>
    <row r="24" spans="1:5" ht="14.25" customHeight="1">
      <c r="A24" s="545" t="s">
        <v>528</v>
      </c>
      <c r="B24" s="573">
        <v>0</v>
      </c>
      <c r="C24" s="574">
        <f>(107.85-2.42)-(140-7.522)</f>
        <v>-27.048000000000016</v>
      </c>
      <c r="D24" s="575">
        <f>(107.5-1.82)-(140-7.522)</f>
        <v>-26.798000000000002</v>
      </c>
      <c r="E24" s="573">
        <f>(106.5-0.57)-(140-7.522)</f>
        <v>-26.548000000000002</v>
      </c>
    </row>
    <row r="25" spans="1:5" ht="14.25" customHeight="1">
      <c r="A25" s="545" t="s">
        <v>529</v>
      </c>
      <c r="B25" s="573">
        <v>0</v>
      </c>
      <c r="C25" s="574">
        <v>0</v>
      </c>
      <c r="D25" s="575">
        <v>-10</v>
      </c>
      <c r="E25" s="573">
        <v>-20</v>
      </c>
    </row>
    <row r="26" spans="1:5" ht="14.25" customHeight="1">
      <c r="A26" s="545" t="s">
        <v>530</v>
      </c>
      <c r="B26" s="573">
        <v>0</v>
      </c>
      <c r="C26" s="574">
        <f>176.155-200</f>
        <v>-23.844999999999999</v>
      </c>
      <c r="D26" s="575">
        <f>177.899-200</f>
        <v>-22.100999999999999</v>
      </c>
      <c r="E26" s="573">
        <f>178-200</f>
        <v>-22</v>
      </c>
    </row>
    <row r="27" spans="1:5" ht="14.25" customHeight="1">
      <c r="A27" s="552" t="s">
        <v>531</v>
      </c>
      <c r="B27" s="576">
        <v>-15</v>
      </c>
      <c r="C27" s="577">
        <v>-15</v>
      </c>
      <c r="D27" s="578">
        <v>0</v>
      </c>
      <c r="E27" s="576">
        <v>0</v>
      </c>
    </row>
    <row r="28" spans="1:5" ht="14.25" customHeight="1">
      <c r="A28" s="560" t="s">
        <v>532</v>
      </c>
      <c r="B28" s="579">
        <v>-11</v>
      </c>
      <c r="C28" s="581">
        <v>-38</v>
      </c>
      <c r="D28" s="581">
        <v>-91</v>
      </c>
      <c r="E28" s="579">
        <v>-136</v>
      </c>
    </row>
    <row r="29" spans="1:5">
      <c r="A29" s="560" t="s">
        <v>533</v>
      </c>
      <c r="B29" s="579">
        <f>-106.81+16</f>
        <v>-90.81</v>
      </c>
      <c r="C29" s="581">
        <v>0</v>
      </c>
      <c r="D29" s="581">
        <v>0</v>
      </c>
      <c r="E29" s="579">
        <v>0</v>
      </c>
    </row>
    <row r="30" spans="1:5">
      <c r="A30" s="560" t="s">
        <v>534</v>
      </c>
      <c r="B30" s="1490" t="s">
        <v>535</v>
      </c>
      <c r="C30" s="1490"/>
      <c r="D30" s="1490"/>
      <c r="E30" s="1491"/>
    </row>
    <row r="31" spans="1:5">
      <c r="A31" s="541" t="s">
        <v>536</v>
      </c>
      <c r="B31" s="1490" t="s">
        <v>535</v>
      </c>
      <c r="C31" s="1490"/>
      <c r="D31" s="1490"/>
      <c r="E31" s="1491"/>
    </row>
    <row r="32" spans="1:5" ht="15" customHeight="1">
      <c r="A32" s="586" t="s">
        <v>537</v>
      </c>
      <c r="B32" s="1490" t="s">
        <v>535</v>
      </c>
      <c r="C32" s="1490"/>
      <c r="D32" s="1490"/>
      <c r="E32" s="1491"/>
    </row>
    <row r="33" spans="1:5">
      <c r="A33" s="587" t="s">
        <v>538</v>
      </c>
      <c r="B33" s="587"/>
      <c r="C33" s="587"/>
      <c r="E33" s="588" t="s">
        <v>3</v>
      </c>
    </row>
    <row r="34" spans="1:5" ht="15" customHeight="1">
      <c r="A34" s="1492" t="s">
        <v>539</v>
      </c>
      <c r="B34" s="1492"/>
      <c r="C34" s="1492"/>
      <c r="D34" s="1492"/>
      <c r="E34" s="1492"/>
    </row>
  </sheetData>
  <mergeCells count="5">
    <mergeCell ref="A1:E1"/>
    <mergeCell ref="B30:E30"/>
    <mergeCell ref="B31:E31"/>
    <mergeCell ref="B32:E32"/>
    <mergeCell ref="A34:E34"/>
  </mergeCells>
  <pageMargins left="0.7" right="0.7" top="0.75" bottom="0.75" header="0.3" footer="0.3"/>
  <pageSetup paperSize="9" scale="93" orientation="portrait" r:id="rId1"/>
  <ignoredErrors>
    <ignoredError sqref="B5 C19:E19 B23" formulaRange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showGridLines="0" workbookViewId="0"/>
  </sheetViews>
  <sheetFormatPr defaultRowHeight="15"/>
  <cols>
    <col min="1" max="1" width="41.5703125" style="530" customWidth="1"/>
    <col min="2" max="2" width="10.5703125" style="530" customWidth="1"/>
    <col min="3" max="16384" width="9.140625" style="530"/>
  </cols>
  <sheetData>
    <row r="1" spans="1:4">
      <c r="A1" s="983" t="s">
        <v>887</v>
      </c>
      <c r="B1" s="984"/>
      <c r="D1" s="911" t="s">
        <v>888</v>
      </c>
    </row>
    <row r="2" spans="1:4">
      <c r="A2" s="986"/>
      <c r="B2" s="987" t="s">
        <v>635</v>
      </c>
      <c r="C2" s="682"/>
    </row>
    <row r="3" spans="1:4">
      <c r="A3" s="599" t="s">
        <v>889</v>
      </c>
      <c r="B3" s="600">
        <v>-50.647227999999998</v>
      </c>
      <c r="C3" s="682"/>
    </row>
    <row r="4" spans="1:4">
      <c r="A4" s="599" t="s">
        <v>890</v>
      </c>
      <c r="B4" s="600">
        <v>-20.464807</v>
      </c>
      <c r="C4" s="682"/>
    </row>
    <row r="5" spans="1:4">
      <c r="A5" s="599" t="s">
        <v>891</v>
      </c>
      <c r="B5" s="1006">
        <v>-8.3517440000000001</v>
      </c>
      <c r="C5" s="682"/>
    </row>
    <row r="6" spans="1:4">
      <c r="A6" s="599" t="s">
        <v>839</v>
      </c>
      <c r="B6" s="1006">
        <v>-7.04</v>
      </c>
      <c r="C6" s="682"/>
    </row>
    <row r="7" spans="1:4">
      <c r="A7" s="599" t="s">
        <v>892</v>
      </c>
      <c r="B7" s="1006">
        <v>-1.5624400000000001</v>
      </c>
      <c r="C7" s="682"/>
    </row>
    <row r="8" spans="1:4">
      <c r="A8" s="599" t="s">
        <v>893</v>
      </c>
      <c r="B8" s="1006">
        <v>32.484389999999998</v>
      </c>
      <c r="C8" s="682"/>
    </row>
    <row r="9" spans="1:4">
      <c r="A9" s="599" t="s">
        <v>894</v>
      </c>
      <c r="B9" s="600">
        <v>48.985208999999998</v>
      </c>
      <c r="C9" s="682"/>
    </row>
    <row r="10" spans="1:4">
      <c r="A10" s="816" t="s">
        <v>780</v>
      </c>
      <c r="B10" s="1007">
        <v>3.3508319999999943</v>
      </c>
    </row>
    <row r="11" spans="1:4" ht="34.5" customHeight="1">
      <c r="A11" s="1498" t="s">
        <v>895</v>
      </c>
      <c r="B11" s="1498"/>
    </row>
    <row r="12" spans="1:4">
      <c r="B12" s="1008" t="s">
        <v>886</v>
      </c>
    </row>
  </sheetData>
  <mergeCells count="1">
    <mergeCell ref="A11:B11"/>
  </mergeCells>
  <pageMargins left="0.7" right="0.7" top="0.75" bottom="0.75" header="0.3" footer="0.3"/>
  <pageSetup orientation="portrait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"/>
  <sheetViews>
    <sheetView showGridLines="0" workbookViewId="0"/>
  </sheetViews>
  <sheetFormatPr defaultRowHeight="15"/>
  <cols>
    <col min="1" max="1" width="16" style="530" customWidth="1"/>
    <col min="2" max="16384" width="9.140625" style="530"/>
  </cols>
  <sheetData>
    <row r="1" spans="1:29">
      <c r="A1" s="911" t="s">
        <v>896</v>
      </c>
      <c r="AC1" s="911"/>
    </row>
    <row r="2" spans="1:29">
      <c r="A2" s="1009"/>
      <c r="B2" s="1009">
        <v>1995</v>
      </c>
      <c r="C2" s="1009">
        <f>B2+1</f>
        <v>1996</v>
      </c>
      <c r="D2" s="1009">
        <f t="shared" ref="D2:Y2" si="0">C2+1</f>
        <v>1997</v>
      </c>
      <c r="E2" s="1009">
        <f t="shared" si="0"/>
        <v>1998</v>
      </c>
      <c r="F2" s="1009">
        <f t="shared" si="0"/>
        <v>1999</v>
      </c>
      <c r="G2" s="1009">
        <f t="shared" si="0"/>
        <v>2000</v>
      </c>
      <c r="H2" s="1009">
        <f t="shared" si="0"/>
        <v>2001</v>
      </c>
      <c r="I2" s="1009">
        <f t="shared" si="0"/>
        <v>2002</v>
      </c>
      <c r="J2" s="1009">
        <f t="shared" si="0"/>
        <v>2003</v>
      </c>
      <c r="K2" s="1009">
        <f t="shared" si="0"/>
        <v>2004</v>
      </c>
      <c r="L2" s="1009">
        <f t="shared" si="0"/>
        <v>2005</v>
      </c>
      <c r="M2" s="1009">
        <f t="shared" si="0"/>
        <v>2006</v>
      </c>
      <c r="N2" s="1009">
        <f t="shared" si="0"/>
        <v>2007</v>
      </c>
      <c r="O2" s="1009">
        <f t="shared" si="0"/>
        <v>2008</v>
      </c>
      <c r="P2" s="1009">
        <f t="shared" si="0"/>
        <v>2009</v>
      </c>
      <c r="Q2" s="1009">
        <f t="shared" si="0"/>
        <v>2010</v>
      </c>
      <c r="R2" s="1009">
        <f t="shared" si="0"/>
        <v>2011</v>
      </c>
      <c r="S2" s="1009">
        <f>R2+1</f>
        <v>2012</v>
      </c>
      <c r="T2" s="1009">
        <f t="shared" si="0"/>
        <v>2013</v>
      </c>
      <c r="U2" s="1009">
        <f t="shared" si="0"/>
        <v>2014</v>
      </c>
      <c r="V2" s="1009">
        <f t="shared" si="0"/>
        <v>2015</v>
      </c>
      <c r="W2" s="1009">
        <f t="shared" si="0"/>
        <v>2016</v>
      </c>
      <c r="X2" s="1009">
        <f t="shared" si="0"/>
        <v>2017</v>
      </c>
      <c r="Y2" s="1009">
        <f t="shared" si="0"/>
        <v>2018</v>
      </c>
      <c r="Z2" s="1009">
        <f>Y2+1</f>
        <v>2019</v>
      </c>
      <c r="AA2" s="1009" t="s">
        <v>898</v>
      </c>
    </row>
    <row r="3" spans="1:29">
      <c r="A3" s="600" t="s">
        <v>899</v>
      </c>
      <c r="B3" s="854">
        <v>21.7</v>
      </c>
      <c r="C3" s="854">
        <v>30.5</v>
      </c>
      <c r="D3" s="854">
        <v>33</v>
      </c>
      <c r="E3" s="854">
        <v>33.9</v>
      </c>
      <c r="F3" s="854">
        <v>47.1</v>
      </c>
      <c r="G3" s="854">
        <v>49.6</v>
      </c>
      <c r="H3" s="854">
        <v>48.3</v>
      </c>
      <c r="I3" s="854">
        <v>42.9</v>
      </c>
      <c r="J3" s="854">
        <v>41.6</v>
      </c>
      <c r="K3" s="854">
        <v>40.6</v>
      </c>
      <c r="L3" s="854">
        <v>34.1</v>
      </c>
      <c r="M3" s="854">
        <v>31</v>
      </c>
      <c r="N3" s="854">
        <v>30.1</v>
      </c>
      <c r="O3" s="854">
        <v>28.5</v>
      </c>
      <c r="P3" s="854">
        <v>36.299999999999997</v>
      </c>
      <c r="Q3" s="854">
        <v>41.2</v>
      </c>
      <c r="R3" s="854">
        <v>43.7</v>
      </c>
      <c r="S3" s="854">
        <v>52.2</v>
      </c>
      <c r="T3" s="854">
        <v>54.7</v>
      </c>
      <c r="U3" s="854">
        <v>53.5</v>
      </c>
      <c r="V3" s="854">
        <v>52.3</v>
      </c>
      <c r="W3" s="854">
        <v>51.8</v>
      </c>
      <c r="X3" s="854"/>
      <c r="Y3" s="854"/>
      <c r="Z3" s="854"/>
      <c r="AA3" s="854"/>
    </row>
    <row r="4" spans="1:29">
      <c r="A4" s="600" t="s">
        <v>900</v>
      </c>
      <c r="B4" s="854">
        <v>21.7</v>
      </c>
      <c r="C4" s="854">
        <v>30.5</v>
      </c>
      <c r="D4" s="854">
        <v>33</v>
      </c>
      <c r="E4" s="854">
        <v>33.9</v>
      </c>
      <c r="F4" s="854">
        <v>47.1</v>
      </c>
      <c r="G4" s="854">
        <v>49.6</v>
      </c>
      <c r="H4" s="854">
        <v>48.3</v>
      </c>
      <c r="I4" s="854">
        <v>42.9</v>
      </c>
      <c r="J4" s="854">
        <v>41.6</v>
      </c>
      <c r="K4" s="854">
        <v>40.6</v>
      </c>
      <c r="L4" s="854">
        <v>34.1</v>
      </c>
      <c r="M4" s="854">
        <v>31</v>
      </c>
      <c r="N4" s="854">
        <v>30.1</v>
      </c>
      <c r="O4" s="854">
        <v>28.5</v>
      </c>
      <c r="P4" s="854">
        <v>36.299999999999997</v>
      </c>
      <c r="Q4" s="854">
        <v>41.2</v>
      </c>
      <c r="R4" s="854">
        <v>43.7</v>
      </c>
      <c r="S4" s="854">
        <v>52.2</v>
      </c>
      <c r="T4" s="854">
        <v>54.7</v>
      </c>
      <c r="U4" s="854">
        <v>53.5</v>
      </c>
      <c r="V4" s="854">
        <v>52.3</v>
      </c>
      <c r="W4" s="854">
        <v>51.944217989574838</v>
      </c>
      <c r="X4" s="854">
        <v>51.116080927096576</v>
      </c>
      <c r="Y4" s="854">
        <v>49.94563960342051</v>
      </c>
      <c r="Z4" s="854">
        <v>47.827597681735114</v>
      </c>
      <c r="AA4" s="854">
        <v>45.509536925017379</v>
      </c>
    </row>
    <row r="5" spans="1:29">
      <c r="A5" s="1010" t="s">
        <v>687</v>
      </c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Q5" s="1010"/>
      <c r="R5" s="1010"/>
      <c r="S5" s="1010"/>
      <c r="T5" s="1010"/>
      <c r="U5" s="1010"/>
      <c r="V5" s="1011">
        <f>V3</f>
        <v>52.3</v>
      </c>
      <c r="W5" s="1011">
        <f>W3</f>
        <v>51.8</v>
      </c>
      <c r="X5" s="1011">
        <v>51.127728318905376</v>
      </c>
      <c r="Y5" s="1011">
        <v>50.666845446253234</v>
      </c>
      <c r="Z5" s="1011">
        <v>49.299849653296704</v>
      </c>
      <c r="AA5" s="1011">
        <v>47.52753592480164</v>
      </c>
    </row>
    <row r="6" spans="1:29">
      <c r="A6" s="600"/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0"/>
      <c r="Q6" s="600"/>
      <c r="R6" s="600"/>
      <c r="S6" s="600"/>
      <c r="T6" s="600"/>
      <c r="U6" s="600"/>
      <c r="V6" s="600"/>
      <c r="W6" s="600"/>
      <c r="X6" s="600"/>
      <c r="Y6" s="600"/>
      <c r="Z6" s="1557" t="s">
        <v>654</v>
      </c>
      <c r="AA6" s="1557"/>
    </row>
    <row r="7" spans="1:29">
      <c r="A7" s="600"/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  <c r="T7" s="600"/>
      <c r="U7" s="600"/>
      <c r="V7" s="600"/>
      <c r="W7" s="600"/>
      <c r="X7" s="600"/>
      <c r="Y7" s="600"/>
      <c r="Z7" s="600"/>
      <c r="AA7" s="600"/>
    </row>
    <row r="8" spans="1:29">
      <c r="A8" s="600"/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600"/>
      <c r="P8" s="600"/>
      <c r="Q8" s="600"/>
      <c r="R8" s="600"/>
      <c r="S8" s="600"/>
      <c r="T8" s="600"/>
      <c r="U8" s="911" t="s">
        <v>897</v>
      </c>
      <c r="V8" s="600"/>
      <c r="W8" s="600"/>
      <c r="X8" s="600"/>
      <c r="Y8" s="600"/>
      <c r="Z8" s="600"/>
      <c r="AA8" s="600"/>
    </row>
    <row r="9" spans="1:29">
      <c r="A9" s="600"/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</row>
    <row r="10" spans="1:29">
      <c r="A10" s="600"/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  <c r="AA10" s="600"/>
    </row>
    <row r="11" spans="1:29">
      <c r="A11" s="600"/>
      <c r="B11" s="600"/>
      <c r="C11" s="600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0"/>
      <c r="S11" s="600"/>
      <c r="T11" s="600"/>
      <c r="U11" s="600"/>
      <c r="V11" s="600"/>
      <c r="W11" s="600"/>
      <c r="X11" s="600"/>
      <c r="Y11" s="600"/>
      <c r="Z11" s="600"/>
      <c r="AA11" s="600"/>
    </row>
    <row r="12" spans="1:29">
      <c r="A12" s="600"/>
      <c r="B12" s="600"/>
      <c r="C12" s="600"/>
      <c r="D12" s="600"/>
      <c r="E12" s="600"/>
      <c r="F12" s="600"/>
      <c r="G12" s="600"/>
      <c r="H12" s="600"/>
      <c r="I12" s="600"/>
      <c r="J12" s="600"/>
      <c r="K12" s="600"/>
      <c r="L12" s="600"/>
      <c r="M12" s="600"/>
      <c r="N12" s="600"/>
      <c r="O12" s="600"/>
      <c r="P12" s="600"/>
      <c r="Q12" s="600"/>
      <c r="R12" s="600"/>
      <c r="S12" s="600"/>
      <c r="T12" s="600"/>
      <c r="U12" s="600"/>
      <c r="V12" s="600"/>
      <c r="W12" s="600"/>
      <c r="X12" s="600"/>
      <c r="Y12" s="600"/>
      <c r="Z12" s="600"/>
      <c r="AA12" s="600"/>
    </row>
    <row r="13" spans="1:29">
      <c r="A13" s="600"/>
      <c r="B13" s="600"/>
      <c r="C13" s="600"/>
      <c r="D13" s="600"/>
      <c r="E13" s="600"/>
      <c r="F13" s="600"/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0"/>
      <c r="T13" s="600"/>
      <c r="U13" s="600"/>
      <c r="V13" s="600"/>
      <c r="W13" s="600"/>
      <c r="X13" s="600"/>
      <c r="Y13" s="600"/>
      <c r="Z13" s="600"/>
      <c r="AA13" s="600"/>
    </row>
    <row r="14" spans="1:29">
      <c r="A14" s="600"/>
      <c r="B14" s="600"/>
      <c r="C14" s="600"/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600"/>
      <c r="AA14" s="600"/>
    </row>
    <row r="15" spans="1:29">
      <c r="A15" s="600"/>
      <c r="B15" s="600"/>
      <c r="C15" s="600"/>
      <c r="D15" s="600"/>
      <c r="E15" s="600"/>
      <c r="F15" s="600"/>
      <c r="G15" s="600"/>
      <c r="H15" s="600"/>
      <c r="I15" s="600"/>
      <c r="J15" s="600"/>
      <c r="K15" s="600"/>
      <c r="L15" s="600"/>
      <c r="M15" s="600"/>
      <c r="N15" s="600"/>
      <c r="O15" s="600"/>
      <c r="P15" s="600"/>
      <c r="Q15" s="600"/>
      <c r="R15" s="600"/>
      <c r="S15" s="600"/>
      <c r="T15" s="600"/>
      <c r="U15" s="600"/>
      <c r="V15" s="600"/>
      <c r="W15" s="600"/>
      <c r="X15" s="600"/>
      <c r="Y15" s="600"/>
      <c r="Z15" s="600"/>
      <c r="AA15" s="600"/>
    </row>
    <row r="16" spans="1:29">
      <c r="A16" s="600"/>
      <c r="B16" s="600"/>
      <c r="C16" s="600"/>
      <c r="D16" s="600"/>
      <c r="E16" s="600"/>
      <c r="F16" s="600"/>
      <c r="G16" s="600"/>
      <c r="H16" s="600"/>
      <c r="I16" s="600"/>
      <c r="J16" s="600"/>
      <c r="K16" s="600"/>
      <c r="L16" s="600"/>
      <c r="M16" s="600"/>
      <c r="N16" s="600"/>
      <c r="O16" s="600"/>
      <c r="P16" s="600"/>
      <c r="Q16" s="600"/>
      <c r="R16" s="600"/>
      <c r="S16" s="600"/>
      <c r="T16" s="600"/>
      <c r="U16" s="600"/>
      <c r="V16" s="600"/>
      <c r="W16" s="600"/>
      <c r="X16" s="600"/>
      <c r="Y16" s="600"/>
      <c r="Z16" s="600"/>
      <c r="AA16" s="600"/>
    </row>
    <row r="17" spans="1:27">
      <c r="A17" s="600"/>
      <c r="B17" s="600"/>
      <c r="C17" s="600"/>
      <c r="D17" s="600"/>
      <c r="E17" s="600"/>
      <c r="F17" s="600"/>
      <c r="G17" s="600"/>
      <c r="H17" s="600"/>
      <c r="I17" s="600"/>
      <c r="J17" s="600"/>
      <c r="K17" s="600"/>
      <c r="L17" s="600"/>
      <c r="M17" s="600"/>
      <c r="N17" s="600"/>
      <c r="O17" s="600"/>
      <c r="P17" s="600"/>
      <c r="Q17" s="600"/>
      <c r="R17" s="600"/>
      <c r="S17" s="600"/>
      <c r="T17" s="600"/>
      <c r="U17" s="600"/>
      <c r="V17" s="600"/>
      <c r="W17" s="600"/>
      <c r="X17" s="600"/>
      <c r="Y17" s="600"/>
      <c r="Z17" s="600"/>
      <c r="AA17" s="600"/>
    </row>
    <row r="18" spans="1:27">
      <c r="A18" s="600"/>
      <c r="B18" s="600"/>
      <c r="C18" s="600"/>
      <c r="D18" s="600"/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0"/>
      <c r="S18" s="600"/>
      <c r="T18" s="600"/>
      <c r="U18" s="600"/>
      <c r="V18" s="600"/>
      <c r="W18" s="600"/>
      <c r="X18" s="600"/>
      <c r="Y18" s="600"/>
      <c r="Z18" s="600"/>
      <c r="AA18" s="600"/>
    </row>
    <row r="19" spans="1:27">
      <c r="A19" s="600"/>
      <c r="B19" s="600"/>
      <c r="C19" s="600"/>
      <c r="D19" s="600"/>
      <c r="E19" s="600"/>
      <c r="F19" s="600"/>
      <c r="G19" s="600"/>
      <c r="H19" s="600"/>
      <c r="I19" s="600"/>
      <c r="J19" s="600"/>
      <c r="K19" s="600"/>
      <c r="L19" s="600"/>
      <c r="M19" s="600"/>
      <c r="N19" s="600"/>
      <c r="O19" s="600"/>
      <c r="P19" s="600"/>
      <c r="Q19" s="600"/>
      <c r="R19" s="600"/>
      <c r="S19" s="600"/>
      <c r="T19" s="600"/>
      <c r="U19" s="600"/>
      <c r="V19" s="600"/>
      <c r="W19" s="600"/>
      <c r="X19" s="600"/>
      <c r="Y19" s="600"/>
      <c r="Z19" s="600"/>
      <c r="AA19" s="600"/>
    </row>
    <row r="20" spans="1:27">
      <c r="A20" s="600"/>
      <c r="B20" s="600"/>
      <c r="C20" s="600"/>
      <c r="D20" s="600"/>
      <c r="E20" s="600"/>
      <c r="F20" s="600"/>
      <c r="G20" s="600"/>
      <c r="H20" s="600"/>
      <c r="I20" s="600"/>
      <c r="J20" s="600"/>
      <c r="K20" s="600"/>
      <c r="L20" s="600"/>
      <c r="M20" s="600"/>
      <c r="N20" s="600"/>
      <c r="O20" s="600"/>
      <c r="P20" s="600"/>
      <c r="Q20" s="600"/>
      <c r="R20" s="600"/>
      <c r="S20" s="600"/>
      <c r="T20" s="600"/>
      <c r="U20" s="600"/>
      <c r="V20" s="600"/>
      <c r="W20" s="600"/>
      <c r="X20" s="600"/>
      <c r="Y20" s="600"/>
      <c r="Z20" s="600"/>
      <c r="AA20" s="600"/>
    </row>
    <row r="21" spans="1:27">
      <c r="A21" s="600"/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600"/>
      <c r="M21" s="600"/>
      <c r="N21" s="600"/>
      <c r="O21" s="600"/>
      <c r="P21" s="600"/>
      <c r="Q21" s="600"/>
      <c r="R21" s="600"/>
      <c r="S21" s="600"/>
      <c r="T21" s="600"/>
      <c r="U21" s="600"/>
      <c r="V21" s="600"/>
      <c r="W21" s="600"/>
      <c r="X21" s="600"/>
      <c r="Y21" s="600"/>
      <c r="Z21" s="600"/>
      <c r="AA21" s="600"/>
    </row>
    <row r="22" spans="1:27">
      <c r="A22" s="600"/>
      <c r="B22" s="600"/>
      <c r="C22" s="600"/>
      <c r="D22" s="600"/>
      <c r="E22" s="600"/>
      <c r="F22" s="600"/>
      <c r="G22" s="600"/>
      <c r="H22" s="600"/>
      <c r="I22" s="600"/>
      <c r="J22" s="600"/>
      <c r="K22" s="600"/>
      <c r="L22" s="600"/>
      <c r="M22" s="600"/>
      <c r="N22" s="600"/>
      <c r="O22" s="600"/>
      <c r="P22" s="600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</row>
    <row r="23" spans="1:27">
      <c r="A23" s="600"/>
      <c r="B23" s="600"/>
      <c r="C23" s="600"/>
      <c r="D23" s="600"/>
      <c r="E23" s="600"/>
      <c r="F23" s="600"/>
      <c r="G23" s="600"/>
      <c r="H23" s="600"/>
      <c r="I23" s="600"/>
      <c r="J23" s="600"/>
      <c r="K23" s="600"/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0"/>
      <c r="Y23" s="600"/>
      <c r="Z23" s="600"/>
      <c r="AA23" s="600"/>
    </row>
    <row r="24" spans="1:27">
      <c r="A24" s="600"/>
      <c r="B24" s="600"/>
      <c r="C24" s="600"/>
      <c r="D24" s="600"/>
      <c r="E24" s="600"/>
      <c r="F24" s="600"/>
      <c r="G24" s="600"/>
      <c r="H24" s="600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</row>
    <row r="25" spans="1:27">
      <c r="A25" s="600"/>
      <c r="B25" s="600"/>
      <c r="C25" s="600"/>
      <c r="D25" s="600"/>
      <c r="E25" s="600"/>
      <c r="F25" s="600"/>
      <c r="G25" s="600"/>
      <c r="H25" s="600"/>
      <c r="I25" s="600"/>
      <c r="J25" s="600"/>
      <c r="K25" s="600"/>
      <c r="L25" s="600"/>
      <c r="M25" s="600"/>
      <c r="N25" s="600"/>
      <c r="O25" s="600"/>
      <c r="P25" s="600"/>
      <c r="Q25" s="600"/>
      <c r="R25" s="600"/>
      <c r="S25" s="600"/>
      <c r="T25" s="600"/>
      <c r="U25" s="600"/>
      <c r="V25" s="600"/>
      <c r="W25" s="600"/>
      <c r="X25" s="600"/>
      <c r="Y25" s="600"/>
      <c r="Z25" s="600"/>
      <c r="AA25" s="600"/>
    </row>
    <row r="26" spans="1:27">
      <c r="A26" s="600"/>
      <c r="B26" s="600"/>
      <c r="C26" s="600"/>
      <c r="D26" s="600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0"/>
      <c r="X26" s="600"/>
      <c r="Y26" s="600"/>
      <c r="Z26" s="600"/>
      <c r="AA26" s="600"/>
    </row>
    <row r="27" spans="1:27">
      <c r="A27" s="600"/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</row>
    <row r="28" spans="1:27">
      <c r="A28" s="600"/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</row>
    <row r="29" spans="1:27">
      <c r="A29" s="600"/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</row>
    <row r="30" spans="1:27">
      <c r="A30" s="600"/>
      <c r="B30" s="600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/>
      <c r="X30" s="600"/>
      <c r="Y30" s="600"/>
      <c r="Z30" s="600"/>
      <c r="AA30" s="600"/>
    </row>
    <row r="31" spans="1:27">
      <c r="A31" s="600"/>
      <c r="B31" s="600"/>
      <c r="C31" s="600"/>
      <c r="D31" s="600"/>
      <c r="E31" s="600"/>
      <c r="F31" s="600"/>
      <c r="G31" s="600"/>
      <c r="H31" s="600"/>
      <c r="I31" s="600"/>
      <c r="J31" s="600"/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600"/>
      <c r="X31" s="600"/>
      <c r="Y31" s="600"/>
      <c r="Z31" s="600"/>
      <c r="AA31" s="600"/>
    </row>
    <row r="32" spans="1:27">
      <c r="A32" s="600"/>
      <c r="B32" s="600"/>
      <c r="C32" s="600"/>
      <c r="D32" s="600"/>
      <c r="E32" s="600"/>
      <c r="F32" s="600"/>
      <c r="G32" s="600"/>
      <c r="H32" s="600"/>
      <c r="I32" s="600"/>
      <c r="J32" s="600"/>
      <c r="K32" s="600"/>
      <c r="L32" s="600"/>
      <c r="M32" s="600"/>
      <c r="N32" s="600"/>
      <c r="O32" s="600"/>
      <c r="P32" s="600"/>
      <c r="Q32" s="600"/>
      <c r="R32" s="600"/>
      <c r="S32" s="600"/>
      <c r="T32" s="600"/>
      <c r="U32" s="600"/>
      <c r="V32" s="600"/>
      <c r="W32" s="600"/>
      <c r="X32" s="600"/>
      <c r="Y32" s="600"/>
      <c r="Z32" s="600"/>
      <c r="AA32" s="600"/>
    </row>
    <row r="33" spans="1:27">
      <c r="A33" s="600"/>
      <c r="B33" s="600"/>
      <c r="C33" s="600"/>
      <c r="D33" s="600"/>
      <c r="E33" s="600"/>
      <c r="F33" s="600"/>
      <c r="G33" s="600"/>
      <c r="H33" s="600"/>
      <c r="I33" s="600"/>
      <c r="J33" s="600"/>
      <c r="K33" s="600"/>
      <c r="L33" s="600"/>
      <c r="M33" s="600"/>
      <c r="N33" s="600"/>
      <c r="O33" s="600"/>
      <c r="P33" s="600"/>
      <c r="Q33" s="600"/>
      <c r="R33" s="600"/>
      <c r="S33" s="600"/>
      <c r="T33" s="600"/>
      <c r="U33" s="600"/>
      <c r="V33" s="600"/>
      <c r="W33" s="600"/>
      <c r="X33" s="600"/>
      <c r="Y33" s="600"/>
      <c r="Z33" s="600"/>
      <c r="AA33" s="600"/>
    </row>
    <row r="34" spans="1:27">
      <c r="A34" s="600"/>
      <c r="B34" s="600"/>
      <c r="C34" s="600"/>
      <c r="D34" s="600"/>
      <c r="E34" s="600"/>
      <c r="F34" s="600"/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  <c r="Y34" s="600"/>
      <c r="Z34" s="600"/>
      <c r="AA34" s="600"/>
    </row>
  </sheetData>
  <mergeCells count="1">
    <mergeCell ref="Z6:AA6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2"/>
  <sheetViews>
    <sheetView showGridLines="0" workbookViewId="0">
      <selection sqref="A1:H1"/>
    </sheetView>
  </sheetViews>
  <sheetFormatPr defaultRowHeight="15"/>
  <cols>
    <col min="1" max="1" width="48.28515625" style="874" customWidth="1"/>
    <col min="2" max="16384" width="9.140625" style="874"/>
  </cols>
  <sheetData>
    <row r="1" spans="1:11">
      <c r="A1" s="1565" t="s">
        <v>901</v>
      </c>
      <c r="B1" s="1565"/>
      <c r="C1" s="1565"/>
      <c r="D1" s="1565"/>
      <c r="E1" s="1565"/>
      <c r="F1" s="1565"/>
      <c r="G1" s="1565"/>
      <c r="H1" s="1565"/>
      <c r="I1" s="873"/>
      <c r="K1" s="911" t="s">
        <v>902</v>
      </c>
    </row>
    <row r="2" spans="1:11">
      <c r="A2" s="875"/>
      <c r="B2" s="898">
        <v>2013</v>
      </c>
      <c r="C2" s="898">
        <v>2014</v>
      </c>
      <c r="D2" s="898">
        <v>2015</v>
      </c>
      <c r="E2" s="898">
        <v>2016</v>
      </c>
      <c r="F2" s="898">
        <v>2017</v>
      </c>
      <c r="G2" s="898">
        <v>2018</v>
      </c>
      <c r="H2" s="898">
        <v>2019</v>
      </c>
      <c r="I2" s="899">
        <v>2020</v>
      </c>
    </row>
    <row r="3" spans="1:11">
      <c r="A3" s="900" t="s">
        <v>810</v>
      </c>
      <c r="B3" s="901">
        <v>2.5742977531301463</v>
      </c>
      <c r="C3" s="901">
        <v>-1.2154942852640716</v>
      </c>
      <c r="D3" s="901">
        <v>-1.1829011511163472</v>
      </c>
      <c r="E3" s="901">
        <v>-0.52175873523728455</v>
      </c>
      <c r="F3" s="901">
        <v>-0.69130416066561651</v>
      </c>
      <c r="G3" s="902">
        <v>-0.46088287265214944</v>
      </c>
      <c r="H3" s="902">
        <v>-1.3669957929565086</v>
      </c>
      <c r="I3" s="902">
        <v>-1.772313728495071</v>
      </c>
    </row>
    <row r="4" spans="1:11">
      <c r="A4" s="877" t="s">
        <v>811</v>
      </c>
      <c r="B4" s="903">
        <v>0.1473418393303989</v>
      </c>
      <c r="C4" s="903">
        <v>-2.9291541849385903</v>
      </c>
      <c r="D4" s="903">
        <v>0.46195111307756154</v>
      </c>
      <c r="E4" s="903">
        <v>0.66803394487034673</v>
      </c>
      <c r="F4" s="903">
        <v>-0.56632452373607922</v>
      </c>
      <c r="G4" s="904">
        <v>6.0704785092567271E-2</v>
      </c>
      <c r="H4" s="904">
        <v>6.5004504301411359E-2</v>
      </c>
      <c r="I4" s="904">
        <v>-0.11600392446970709</v>
      </c>
    </row>
    <row r="5" spans="1:11">
      <c r="A5" s="900" t="s">
        <v>812</v>
      </c>
      <c r="B5" s="901">
        <f>B3-B4</f>
        <v>2.4269559137997474</v>
      </c>
      <c r="C5" s="901">
        <f t="shared" ref="C5:I5" si="0">C3-C4</f>
        <v>1.7136598996745187</v>
      </c>
      <c r="D5" s="901">
        <f t="shared" si="0"/>
        <v>-1.6448522641939087</v>
      </c>
      <c r="E5" s="901">
        <f t="shared" si="0"/>
        <v>-1.1897926801076313</v>
      </c>
      <c r="F5" s="901">
        <f t="shared" si="0"/>
        <v>-0.12497963692953729</v>
      </c>
      <c r="G5" s="901">
        <f t="shared" si="0"/>
        <v>-0.52158765774471672</v>
      </c>
      <c r="H5" s="901">
        <f t="shared" si="0"/>
        <v>-1.43200029725792</v>
      </c>
      <c r="I5" s="901">
        <f t="shared" si="0"/>
        <v>-1.6563098040253639</v>
      </c>
    </row>
    <row r="6" spans="1:11">
      <c r="A6" s="877" t="s">
        <v>813</v>
      </c>
      <c r="B6" s="903">
        <v>-0.86871214581413758</v>
      </c>
      <c r="C6" s="903">
        <v>-0.28748512923228148</v>
      </c>
      <c r="D6" s="903">
        <v>-2.3145397876075466</v>
      </c>
      <c r="E6" s="903">
        <v>-1.4358073159480584</v>
      </c>
      <c r="F6" s="903">
        <v>-7.1827657268018708E-2</v>
      </c>
      <c r="G6" s="904">
        <v>-0.16051376659680605</v>
      </c>
      <c r="H6" s="904">
        <v>-0.15498763709318075</v>
      </c>
      <c r="I6" s="904">
        <v>-0.14617010039234535</v>
      </c>
    </row>
    <row r="7" spans="1:11">
      <c r="A7" s="905" t="s">
        <v>814</v>
      </c>
      <c r="B7" s="906">
        <f>B5-B6</f>
        <v>3.295668059613885</v>
      </c>
      <c r="C7" s="906">
        <f t="shared" ref="C7:I7" si="1">C5-C6</f>
        <v>2.0011450289068002</v>
      </c>
      <c r="D7" s="906">
        <f t="shared" si="1"/>
        <v>0.66968752341363791</v>
      </c>
      <c r="E7" s="906">
        <f t="shared" si="1"/>
        <v>0.24601463584042715</v>
      </c>
      <c r="F7" s="906">
        <f t="shared" si="1"/>
        <v>-5.3151979661518578E-2</v>
      </c>
      <c r="G7" s="906">
        <f t="shared" si="1"/>
        <v>-0.36107389114791066</v>
      </c>
      <c r="H7" s="906">
        <f t="shared" si="1"/>
        <v>-1.2770126601647394</v>
      </c>
      <c r="I7" s="906">
        <f t="shared" si="1"/>
        <v>-1.5101397036330186</v>
      </c>
    </row>
    <row r="8" spans="1:11">
      <c r="A8" s="907" t="s">
        <v>815</v>
      </c>
      <c r="B8" s="903">
        <v>0.5403741949227383</v>
      </c>
      <c r="C8" s="903">
        <v>0.13432381217188574</v>
      </c>
      <c r="D8" s="903">
        <v>-0.14702825477461584</v>
      </c>
      <c r="E8" s="903">
        <v>0</v>
      </c>
      <c r="F8" s="903">
        <v>0</v>
      </c>
      <c r="G8" s="904">
        <v>0</v>
      </c>
      <c r="H8" s="904">
        <v>0</v>
      </c>
      <c r="I8" s="904">
        <v>0</v>
      </c>
    </row>
    <row r="9" spans="1:11">
      <c r="A9" s="908" t="s">
        <v>816</v>
      </c>
      <c r="B9" s="909">
        <f>B7-B8</f>
        <v>2.7552938646911467</v>
      </c>
      <c r="C9" s="909">
        <f t="shared" ref="C9:I9" si="2">C7-C8</f>
        <v>1.8668212167349145</v>
      </c>
      <c r="D9" s="909">
        <f t="shared" si="2"/>
        <v>0.81671577818825369</v>
      </c>
      <c r="E9" s="909">
        <f t="shared" si="2"/>
        <v>0.24601463584042715</v>
      </c>
      <c r="F9" s="909">
        <f t="shared" si="2"/>
        <v>-5.3151979661518578E-2</v>
      </c>
      <c r="G9" s="909">
        <f t="shared" si="2"/>
        <v>-0.36107389114791066</v>
      </c>
      <c r="H9" s="909">
        <f t="shared" si="2"/>
        <v>-1.2770126601647394</v>
      </c>
      <c r="I9" s="909">
        <f t="shared" si="2"/>
        <v>-1.5101397036330186</v>
      </c>
    </row>
    <row r="10" spans="1:11">
      <c r="A10" s="873"/>
      <c r="B10" s="895"/>
      <c r="C10" s="895"/>
      <c r="D10" s="895"/>
      <c r="E10" s="1566" t="s">
        <v>808</v>
      </c>
      <c r="F10" s="1566"/>
      <c r="G10" s="1566"/>
      <c r="H10" s="1566"/>
      <c r="I10" s="1566"/>
    </row>
    <row r="11" spans="1:11">
      <c r="A11" s="873"/>
      <c r="B11" s="895"/>
      <c r="C11" s="895"/>
      <c r="D11" s="895"/>
      <c r="E11" s="895"/>
      <c r="F11" s="895"/>
      <c r="G11" s="895"/>
      <c r="H11" s="873"/>
      <c r="I11" s="873"/>
    </row>
    <row r="12" spans="1:11">
      <c r="A12" s="873"/>
      <c r="B12" s="895"/>
      <c r="C12" s="895"/>
      <c r="D12" s="895"/>
      <c r="E12" s="895"/>
      <c r="F12" s="895"/>
      <c r="G12" s="895"/>
      <c r="H12" s="873"/>
      <c r="I12" s="873"/>
    </row>
    <row r="13" spans="1:11">
      <c r="A13" s="873"/>
      <c r="B13" s="895"/>
      <c r="C13" s="895"/>
      <c r="D13" s="895"/>
      <c r="E13" s="895"/>
      <c r="F13" s="895"/>
      <c r="G13" s="895"/>
      <c r="H13" s="873"/>
      <c r="I13" s="873"/>
    </row>
    <row r="14" spans="1:11">
      <c r="A14" s="910" t="s">
        <v>817</v>
      </c>
      <c r="B14" s="895"/>
      <c r="C14" s="895"/>
      <c r="D14" s="895"/>
      <c r="E14" s="895"/>
      <c r="F14" s="895"/>
      <c r="G14" s="895"/>
      <c r="H14" s="873"/>
      <c r="I14" s="873"/>
    </row>
    <row r="15" spans="1:11">
      <c r="A15" s="910" t="s">
        <v>818</v>
      </c>
      <c r="B15" s="895"/>
      <c r="C15" s="895"/>
      <c r="D15" s="895"/>
      <c r="E15" s="895"/>
      <c r="F15" s="895"/>
      <c r="G15" s="895"/>
      <c r="H15" s="873"/>
      <c r="I15" s="873"/>
    </row>
    <row r="16" spans="1:11">
      <c r="A16" s="910" t="s">
        <v>819</v>
      </c>
      <c r="B16" s="895"/>
      <c r="C16" s="895"/>
      <c r="D16" s="895"/>
      <c r="E16" s="895"/>
      <c r="F16" s="895"/>
      <c r="G16" s="895"/>
      <c r="H16" s="873"/>
      <c r="I16" s="873"/>
    </row>
    <row r="17" spans="1:9">
      <c r="A17" s="873"/>
      <c r="B17" s="895"/>
      <c r="C17" s="895"/>
      <c r="D17" s="895"/>
      <c r="E17" s="895"/>
      <c r="F17" s="895"/>
      <c r="G17" s="895"/>
      <c r="H17" s="873"/>
      <c r="I17" s="873"/>
    </row>
    <row r="18" spans="1:9">
      <c r="A18" s="873"/>
      <c r="B18" s="895"/>
      <c r="C18" s="895"/>
      <c r="D18" s="895"/>
      <c r="E18" s="895"/>
      <c r="F18" s="895"/>
      <c r="G18" s="895"/>
      <c r="H18" s="873"/>
      <c r="I18" s="873"/>
    </row>
    <row r="19" spans="1:9">
      <c r="A19" s="873"/>
      <c r="B19" s="895"/>
      <c r="C19" s="895"/>
      <c r="D19" s="895"/>
      <c r="E19" s="895"/>
      <c r="F19" s="895"/>
      <c r="G19" s="895"/>
      <c r="H19" s="873"/>
      <c r="I19" s="873"/>
    </row>
    <row r="20" spans="1:9">
      <c r="A20" s="873"/>
      <c r="B20" s="895"/>
      <c r="C20" s="895"/>
      <c r="D20" s="895"/>
      <c r="E20" s="895"/>
      <c r="F20" s="895"/>
      <c r="G20" s="895"/>
      <c r="H20" s="873"/>
      <c r="I20" s="873"/>
    </row>
    <row r="21" spans="1:9">
      <c r="A21" s="873"/>
      <c r="B21" s="895"/>
      <c r="C21" s="895"/>
      <c r="D21" s="895"/>
      <c r="E21" s="895"/>
      <c r="F21" s="895"/>
      <c r="G21" s="895"/>
      <c r="H21" s="873"/>
      <c r="I21" s="873"/>
    </row>
    <row r="22" spans="1:9">
      <c r="A22" s="873"/>
      <c r="B22" s="895"/>
      <c r="C22" s="895"/>
      <c r="D22" s="895"/>
      <c r="E22" s="895"/>
      <c r="F22" s="895"/>
      <c r="G22" s="895"/>
      <c r="H22" s="873"/>
      <c r="I22" s="873"/>
    </row>
    <row r="23" spans="1:9">
      <c r="A23" s="873"/>
      <c r="B23" s="895"/>
      <c r="C23" s="895"/>
      <c r="D23" s="895"/>
      <c r="E23" s="895"/>
      <c r="F23" s="895"/>
      <c r="G23" s="895"/>
      <c r="H23" s="873"/>
      <c r="I23" s="873"/>
    </row>
    <row r="24" spans="1:9">
      <c r="A24" s="873"/>
      <c r="B24" s="895"/>
      <c r="C24" s="895"/>
      <c r="D24" s="895"/>
      <c r="E24" s="895"/>
      <c r="F24" s="895"/>
      <c r="G24" s="895"/>
      <c r="H24" s="873"/>
      <c r="I24" s="873"/>
    </row>
    <row r="25" spans="1:9">
      <c r="A25" s="873"/>
      <c r="B25" s="873"/>
      <c r="C25" s="873"/>
      <c r="D25" s="873"/>
      <c r="E25" s="873"/>
      <c r="F25" s="873"/>
      <c r="G25" s="873"/>
      <c r="H25" s="873"/>
      <c r="I25" s="873"/>
    </row>
    <row r="26" spans="1:9">
      <c r="A26" s="873"/>
      <c r="B26" s="873"/>
      <c r="C26" s="873"/>
      <c r="D26" s="873"/>
      <c r="E26" s="873"/>
      <c r="F26" s="873"/>
      <c r="G26" s="873"/>
      <c r="H26" s="873"/>
      <c r="I26" s="873"/>
    </row>
    <row r="27" spans="1:9">
      <c r="A27" s="873"/>
      <c r="B27" s="873"/>
      <c r="C27" s="873"/>
      <c r="D27" s="873"/>
      <c r="E27" s="873"/>
      <c r="F27" s="873"/>
      <c r="G27" s="873"/>
      <c r="H27" s="873"/>
      <c r="I27" s="873"/>
    </row>
    <row r="28" spans="1:9">
      <c r="A28" s="873"/>
      <c r="B28" s="873"/>
      <c r="C28" s="873"/>
      <c r="D28" s="873"/>
      <c r="E28" s="873"/>
      <c r="F28" s="873"/>
      <c r="G28" s="873"/>
      <c r="H28" s="873"/>
      <c r="I28" s="873"/>
    </row>
    <row r="29" spans="1:9">
      <c r="A29" s="873"/>
      <c r="B29" s="873"/>
      <c r="C29" s="873"/>
      <c r="D29" s="873"/>
      <c r="E29" s="873"/>
      <c r="F29" s="873"/>
      <c r="G29" s="873"/>
      <c r="H29" s="873"/>
      <c r="I29" s="873"/>
    </row>
    <row r="30" spans="1:9">
      <c r="A30" s="873"/>
      <c r="B30" s="873"/>
      <c r="C30" s="873"/>
      <c r="D30" s="873"/>
      <c r="E30" s="873"/>
      <c r="F30" s="873"/>
      <c r="G30" s="873"/>
      <c r="H30" s="873"/>
      <c r="I30" s="873"/>
    </row>
    <row r="31" spans="1:9">
      <c r="A31" s="873"/>
      <c r="B31" s="873"/>
      <c r="C31" s="873"/>
      <c r="D31" s="873"/>
      <c r="E31" s="873"/>
      <c r="F31" s="873"/>
      <c r="G31" s="873"/>
      <c r="H31" s="873"/>
      <c r="I31" s="873"/>
    </row>
    <row r="32" spans="1:9">
      <c r="A32" s="873"/>
      <c r="B32" s="873"/>
      <c r="C32" s="873"/>
      <c r="D32" s="873"/>
      <c r="E32" s="873"/>
      <c r="F32" s="873"/>
      <c r="G32" s="873"/>
      <c r="H32" s="873"/>
      <c r="I32" s="873"/>
    </row>
    <row r="33" spans="1:9">
      <c r="A33" s="873"/>
      <c r="B33" s="873"/>
      <c r="C33" s="873"/>
      <c r="D33" s="873"/>
      <c r="E33" s="873"/>
      <c r="F33" s="873"/>
      <c r="G33" s="873"/>
      <c r="H33" s="873"/>
      <c r="I33" s="873"/>
    </row>
    <row r="34" spans="1:9">
      <c r="A34" s="873"/>
      <c r="B34" s="873"/>
      <c r="C34" s="873"/>
      <c r="D34" s="873"/>
      <c r="E34" s="873"/>
      <c r="F34" s="873"/>
      <c r="G34" s="873"/>
      <c r="H34" s="873"/>
      <c r="I34" s="873"/>
    </row>
    <row r="35" spans="1:9">
      <c r="A35" s="873"/>
      <c r="B35" s="873"/>
      <c r="C35" s="873"/>
      <c r="D35" s="873"/>
      <c r="E35" s="873"/>
      <c r="F35" s="873"/>
      <c r="G35" s="873"/>
      <c r="H35" s="873"/>
      <c r="I35" s="873"/>
    </row>
    <row r="36" spans="1:9">
      <c r="A36" s="873"/>
      <c r="B36" s="873"/>
      <c r="C36" s="873"/>
      <c r="D36" s="873"/>
      <c r="E36" s="873"/>
      <c r="F36" s="873"/>
      <c r="G36" s="873"/>
      <c r="H36" s="873"/>
      <c r="I36" s="873"/>
    </row>
    <row r="37" spans="1:9">
      <c r="A37" s="873"/>
      <c r="B37" s="873"/>
      <c r="C37" s="873"/>
      <c r="D37" s="873"/>
      <c r="E37" s="873"/>
      <c r="F37" s="873"/>
      <c r="G37" s="873"/>
      <c r="H37" s="873"/>
      <c r="I37" s="873"/>
    </row>
    <row r="38" spans="1:9">
      <c r="A38" s="873"/>
      <c r="B38" s="873"/>
      <c r="C38" s="873"/>
      <c r="D38" s="873"/>
      <c r="E38" s="873"/>
      <c r="F38" s="873"/>
      <c r="G38" s="873"/>
      <c r="H38" s="873"/>
      <c r="I38" s="873"/>
    </row>
    <row r="39" spans="1:9">
      <c r="A39" s="873"/>
      <c r="B39" s="873"/>
      <c r="C39" s="873"/>
      <c r="D39" s="873"/>
      <c r="E39" s="873"/>
      <c r="F39" s="873"/>
      <c r="G39" s="873"/>
      <c r="H39" s="873"/>
      <c r="I39" s="873"/>
    </row>
    <row r="40" spans="1:9">
      <c r="A40" s="873"/>
      <c r="B40" s="873"/>
      <c r="C40" s="873"/>
      <c r="D40" s="873"/>
      <c r="E40" s="873"/>
      <c r="F40" s="873"/>
      <c r="G40" s="873"/>
      <c r="H40" s="873"/>
      <c r="I40" s="873"/>
    </row>
    <row r="41" spans="1:9">
      <c r="A41" s="873"/>
      <c r="B41" s="873"/>
      <c r="C41" s="873"/>
      <c r="D41" s="873"/>
      <c r="E41" s="873"/>
      <c r="F41" s="873"/>
      <c r="G41" s="873"/>
      <c r="H41" s="873"/>
      <c r="I41" s="873"/>
    </row>
    <row r="42" spans="1:9">
      <c r="A42" s="873"/>
      <c r="B42" s="873"/>
      <c r="C42" s="873"/>
      <c r="D42" s="873"/>
      <c r="E42" s="873"/>
      <c r="F42" s="873"/>
      <c r="G42" s="873"/>
      <c r="H42" s="873"/>
      <c r="I42" s="873"/>
    </row>
    <row r="43" spans="1:9">
      <c r="A43" s="873"/>
      <c r="B43" s="873"/>
      <c r="C43" s="873"/>
      <c r="D43" s="873"/>
      <c r="E43" s="873"/>
      <c r="F43" s="873"/>
      <c r="G43" s="873"/>
      <c r="H43" s="873"/>
      <c r="I43" s="873"/>
    </row>
    <row r="44" spans="1:9">
      <c r="A44" s="873"/>
      <c r="B44" s="873"/>
      <c r="C44" s="873"/>
      <c r="D44" s="873"/>
      <c r="E44" s="873"/>
      <c r="F44" s="873"/>
      <c r="G44" s="873"/>
      <c r="H44" s="873"/>
      <c r="I44" s="873"/>
    </row>
    <row r="45" spans="1:9">
      <c r="A45" s="873"/>
      <c r="B45" s="873"/>
      <c r="C45" s="873"/>
      <c r="D45" s="873"/>
      <c r="E45" s="873"/>
      <c r="F45" s="873"/>
      <c r="G45" s="873"/>
      <c r="H45" s="873"/>
      <c r="I45" s="873"/>
    </row>
    <row r="46" spans="1:9">
      <c r="A46" s="873"/>
      <c r="B46" s="873"/>
      <c r="C46" s="873"/>
      <c r="D46" s="873"/>
      <c r="E46" s="873"/>
      <c r="F46" s="873"/>
      <c r="G46" s="873"/>
      <c r="H46" s="873"/>
      <c r="I46" s="873"/>
    </row>
    <row r="47" spans="1:9">
      <c r="A47" s="873"/>
      <c r="B47" s="873"/>
      <c r="C47" s="873"/>
      <c r="D47" s="873"/>
      <c r="E47" s="873"/>
      <c r="F47" s="873"/>
      <c r="G47" s="873"/>
      <c r="H47" s="873"/>
      <c r="I47" s="873"/>
    </row>
    <row r="48" spans="1:9">
      <c r="A48" s="873"/>
      <c r="B48" s="873"/>
      <c r="C48" s="873"/>
      <c r="D48" s="873"/>
      <c r="E48" s="873"/>
      <c r="F48" s="873"/>
      <c r="G48" s="873"/>
      <c r="H48" s="873"/>
      <c r="I48" s="873"/>
    </row>
    <row r="49" spans="1:9">
      <c r="A49" s="873"/>
      <c r="B49" s="873"/>
      <c r="C49" s="873"/>
      <c r="D49" s="873"/>
      <c r="E49" s="873"/>
      <c r="F49" s="873"/>
      <c r="G49" s="873"/>
      <c r="H49" s="873"/>
      <c r="I49" s="873"/>
    </row>
    <row r="50" spans="1:9">
      <c r="A50" s="873"/>
      <c r="B50" s="873"/>
      <c r="C50" s="873"/>
      <c r="D50" s="873"/>
      <c r="E50" s="873"/>
      <c r="F50" s="873"/>
      <c r="G50" s="873"/>
      <c r="H50" s="873"/>
      <c r="I50" s="873"/>
    </row>
    <row r="51" spans="1:9">
      <c r="A51" s="873"/>
      <c r="B51" s="873"/>
      <c r="C51" s="873"/>
      <c r="D51" s="873"/>
      <c r="E51" s="873"/>
      <c r="F51" s="873"/>
      <c r="G51" s="873"/>
      <c r="H51" s="873"/>
      <c r="I51" s="873"/>
    </row>
    <row r="52" spans="1:9">
      <c r="A52" s="873"/>
      <c r="B52" s="873"/>
      <c r="C52" s="873"/>
      <c r="D52" s="873"/>
      <c r="E52" s="873"/>
      <c r="F52" s="873"/>
      <c r="G52" s="873"/>
      <c r="H52" s="873"/>
      <c r="I52" s="873"/>
    </row>
    <row r="53" spans="1:9">
      <c r="A53" s="873"/>
      <c r="B53" s="873"/>
      <c r="C53" s="873"/>
      <c r="D53" s="873"/>
      <c r="E53" s="873"/>
      <c r="F53" s="873"/>
      <c r="G53" s="873"/>
      <c r="H53" s="873"/>
      <c r="I53" s="873"/>
    </row>
    <row r="54" spans="1:9">
      <c r="A54" s="873"/>
      <c r="B54" s="873"/>
      <c r="C54" s="873"/>
      <c r="D54" s="873"/>
      <c r="E54" s="873"/>
      <c r="F54" s="873"/>
      <c r="G54" s="873"/>
      <c r="H54" s="873"/>
      <c r="I54" s="873"/>
    </row>
    <row r="55" spans="1:9">
      <c r="A55" s="873"/>
      <c r="B55" s="873"/>
      <c r="C55" s="873"/>
      <c r="D55" s="873"/>
      <c r="E55" s="873"/>
      <c r="F55" s="873"/>
      <c r="G55" s="873"/>
      <c r="H55" s="873"/>
      <c r="I55" s="873"/>
    </row>
    <row r="56" spans="1:9">
      <c r="A56" s="873"/>
      <c r="B56" s="873"/>
      <c r="C56" s="873"/>
      <c r="D56" s="873"/>
      <c r="E56" s="873"/>
      <c r="F56" s="873"/>
      <c r="G56" s="873"/>
      <c r="H56" s="873"/>
      <c r="I56" s="873"/>
    </row>
    <row r="57" spans="1:9">
      <c r="A57" s="873"/>
      <c r="B57" s="873"/>
      <c r="C57" s="873"/>
      <c r="D57" s="873"/>
      <c r="E57" s="873"/>
      <c r="F57" s="873"/>
      <c r="G57" s="873"/>
      <c r="H57" s="873"/>
      <c r="I57" s="873"/>
    </row>
    <row r="58" spans="1:9">
      <c r="A58" s="873"/>
      <c r="B58" s="873"/>
      <c r="C58" s="873"/>
      <c r="D58" s="873"/>
      <c r="E58" s="873"/>
      <c r="F58" s="873"/>
      <c r="G58" s="873"/>
      <c r="H58" s="873"/>
      <c r="I58" s="873"/>
    </row>
    <row r="59" spans="1:9">
      <c r="A59" s="873"/>
      <c r="B59" s="873"/>
      <c r="C59" s="873"/>
      <c r="D59" s="873"/>
      <c r="E59" s="873"/>
      <c r="F59" s="873"/>
      <c r="G59" s="873"/>
      <c r="H59" s="873"/>
      <c r="I59" s="873"/>
    </row>
    <row r="60" spans="1:9">
      <c r="A60" s="873"/>
      <c r="B60" s="873"/>
      <c r="C60" s="873"/>
      <c r="D60" s="873"/>
      <c r="E60" s="873"/>
      <c r="F60" s="873"/>
      <c r="G60" s="873"/>
      <c r="H60" s="873"/>
      <c r="I60" s="873"/>
    </row>
    <row r="61" spans="1:9">
      <c r="A61" s="873"/>
      <c r="B61" s="873"/>
      <c r="C61" s="873"/>
      <c r="D61" s="873"/>
      <c r="E61" s="873"/>
      <c r="F61" s="873"/>
      <c r="G61" s="873"/>
      <c r="H61" s="873"/>
      <c r="I61" s="873"/>
    </row>
    <row r="62" spans="1:9">
      <c r="A62" s="873"/>
      <c r="B62" s="873"/>
      <c r="C62" s="873"/>
      <c r="D62" s="873"/>
      <c r="E62" s="873"/>
      <c r="F62" s="873"/>
      <c r="G62" s="873"/>
      <c r="H62" s="873"/>
      <c r="I62" s="873"/>
    </row>
    <row r="63" spans="1:9">
      <c r="A63" s="873"/>
      <c r="B63" s="873"/>
      <c r="C63" s="873"/>
      <c r="D63" s="873"/>
      <c r="E63" s="873"/>
      <c r="F63" s="873"/>
      <c r="G63" s="873"/>
      <c r="H63" s="873"/>
      <c r="I63" s="873"/>
    </row>
    <row r="64" spans="1:9">
      <c r="A64" s="873"/>
      <c r="B64" s="873"/>
      <c r="C64" s="873"/>
      <c r="D64" s="873"/>
      <c r="E64" s="873"/>
      <c r="F64" s="873"/>
      <c r="G64" s="873"/>
      <c r="H64" s="873"/>
      <c r="I64" s="873"/>
    </row>
    <row r="65" spans="1:9">
      <c r="A65" s="873"/>
      <c r="B65" s="873"/>
      <c r="C65" s="873"/>
      <c r="D65" s="873"/>
      <c r="E65" s="873"/>
      <c r="F65" s="873"/>
      <c r="G65" s="873"/>
      <c r="H65" s="873"/>
      <c r="I65" s="873"/>
    </row>
    <row r="66" spans="1:9">
      <c r="A66" s="873"/>
      <c r="B66" s="873"/>
      <c r="C66" s="873"/>
      <c r="D66" s="873"/>
      <c r="E66" s="873"/>
      <c r="F66" s="873"/>
      <c r="G66" s="873"/>
      <c r="H66" s="873"/>
      <c r="I66" s="873"/>
    </row>
    <row r="67" spans="1:9">
      <c r="A67" s="873"/>
      <c r="B67" s="873"/>
      <c r="C67" s="873"/>
      <c r="D67" s="873"/>
      <c r="E67" s="873"/>
      <c r="F67" s="873"/>
      <c r="G67" s="873"/>
      <c r="H67" s="873"/>
      <c r="I67" s="873"/>
    </row>
    <row r="68" spans="1:9">
      <c r="A68" s="873"/>
      <c r="B68" s="873"/>
      <c r="C68" s="873"/>
      <c r="D68" s="873"/>
      <c r="E68" s="873"/>
      <c r="F68" s="873"/>
      <c r="G68" s="873"/>
      <c r="H68" s="873"/>
      <c r="I68" s="873"/>
    </row>
    <row r="69" spans="1:9">
      <c r="A69" s="873"/>
      <c r="B69" s="873"/>
      <c r="C69" s="873"/>
      <c r="D69" s="873"/>
      <c r="E69" s="873"/>
      <c r="F69" s="873"/>
      <c r="G69" s="873"/>
      <c r="H69" s="873"/>
      <c r="I69" s="873"/>
    </row>
    <row r="70" spans="1:9">
      <c r="A70" s="873"/>
      <c r="B70" s="873"/>
      <c r="C70" s="873"/>
      <c r="D70" s="873"/>
      <c r="E70" s="873"/>
      <c r="F70" s="873"/>
      <c r="G70" s="873"/>
      <c r="H70" s="873"/>
      <c r="I70" s="873"/>
    </row>
    <row r="71" spans="1:9">
      <c r="A71" s="873"/>
      <c r="B71" s="873"/>
      <c r="C71" s="873"/>
      <c r="D71" s="873"/>
      <c r="E71" s="873"/>
      <c r="F71" s="873"/>
      <c r="G71" s="873"/>
      <c r="H71" s="873"/>
      <c r="I71" s="873"/>
    </row>
    <row r="72" spans="1:9">
      <c r="A72" s="873"/>
      <c r="B72" s="873"/>
      <c r="C72" s="873"/>
      <c r="D72" s="873"/>
      <c r="E72" s="873"/>
      <c r="F72" s="873"/>
      <c r="G72" s="873"/>
      <c r="H72" s="873"/>
      <c r="I72" s="873"/>
    </row>
    <row r="73" spans="1:9">
      <c r="A73" s="873"/>
      <c r="B73" s="873"/>
      <c r="C73" s="873"/>
      <c r="D73" s="873"/>
      <c r="E73" s="873"/>
      <c r="F73" s="873"/>
      <c r="G73" s="873"/>
      <c r="H73" s="873"/>
      <c r="I73" s="873"/>
    </row>
    <row r="74" spans="1:9">
      <c r="A74" s="873"/>
      <c r="B74" s="873"/>
      <c r="C74" s="873"/>
      <c r="D74" s="873"/>
      <c r="E74" s="873"/>
      <c r="F74" s="873"/>
      <c r="G74" s="873"/>
      <c r="H74" s="873"/>
      <c r="I74" s="873"/>
    </row>
    <row r="75" spans="1:9">
      <c r="A75" s="873"/>
      <c r="B75" s="873"/>
      <c r="C75" s="873"/>
      <c r="D75" s="873"/>
      <c r="E75" s="873"/>
      <c r="F75" s="873"/>
      <c r="G75" s="873"/>
      <c r="H75" s="873"/>
      <c r="I75" s="873"/>
    </row>
    <row r="76" spans="1:9">
      <c r="A76" s="873"/>
      <c r="B76" s="873"/>
      <c r="C76" s="873"/>
      <c r="D76" s="873"/>
      <c r="E76" s="873"/>
      <c r="F76" s="873"/>
      <c r="G76" s="873"/>
      <c r="H76" s="873"/>
      <c r="I76" s="873"/>
    </row>
    <row r="77" spans="1:9">
      <c r="A77" s="873"/>
      <c r="B77" s="873"/>
      <c r="C77" s="873"/>
      <c r="D77" s="873"/>
      <c r="E77" s="873"/>
      <c r="F77" s="873"/>
      <c r="G77" s="873"/>
      <c r="H77" s="873"/>
      <c r="I77" s="873"/>
    </row>
    <row r="78" spans="1:9">
      <c r="A78" s="873"/>
      <c r="B78" s="873"/>
      <c r="C78" s="873"/>
      <c r="D78" s="873"/>
      <c r="E78" s="873"/>
      <c r="F78" s="873"/>
      <c r="G78" s="873"/>
      <c r="H78" s="873"/>
      <c r="I78" s="873"/>
    </row>
    <row r="79" spans="1:9">
      <c r="A79" s="873"/>
      <c r="B79" s="873"/>
      <c r="C79" s="873"/>
      <c r="D79" s="873"/>
      <c r="E79" s="873"/>
      <c r="F79" s="873"/>
      <c r="G79" s="873"/>
      <c r="H79" s="873"/>
      <c r="I79" s="873"/>
    </row>
    <row r="80" spans="1:9">
      <c r="A80" s="873"/>
      <c r="B80" s="873"/>
      <c r="C80" s="873"/>
      <c r="D80" s="873"/>
      <c r="E80" s="873"/>
      <c r="F80" s="873"/>
      <c r="G80" s="873"/>
      <c r="H80" s="873"/>
      <c r="I80" s="873"/>
    </row>
    <row r="81" spans="1:9">
      <c r="A81" s="873"/>
      <c r="B81" s="873"/>
      <c r="C81" s="873"/>
      <c r="D81" s="873"/>
      <c r="E81" s="873"/>
      <c r="F81" s="873"/>
      <c r="G81" s="873"/>
      <c r="H81" s="873"/>
      <c r="I81" s="873"/>
    </row>
    <row r="82" spans="1:9">
      <c r="A82" s="873"/>
      <c r="B82" s="873"/>
      <c r="C82" s="873"/>
      <c r="D82" s="873"/>
      <c r="E82" s="873"/>
      <c r="F82" s="873"/>
      <c r="G82" s="873"/>
      <c r="H82" s="873"/>
      <c r="I82" s="873"/>
    </row>
    <row r="83" spans="1:9">
      <c r="A83" s="873"/>
      <c r="B83" s="873"/>
      <c r="C83" s="873"/>
      <c r="D83" s="873"/>
      <c r="E83" s="873"/>
      <c r="F83" s="873"/>
      <c r="G83" s="873"/>
      <c r="H83" s="873"/>
      <c r="I83" s="873"/>
    </row>
    <row r="84" spans="1:9">
      <c r="A84" s="873"/>
      <c r="B84" s="873"/>
      <c r="C84" s="873"/>
      <c r="D84" s="873"/>
      <c r="E84" s="873"/>
      <c r="F84" s="873"/>
      <c r="G84" s="873"/>
      <c r="H84" s="873"/>
      <c r="I84" s="873"/>
    </row>
    <row r="85" spans="1:9">
      <c r="A85" s="873"/>
      <c r="B85" s="873"/>
      <c r="C85" s="873"/>
      <c r="D85" s="873"/>
      <c r="E85" s="873"/>
      <c r="F85" s="873"/>
      <c r="G85" s="873"/>
      <c r="H85" s="873"/>
      <c r="I85" s="873"/>
    </row>
    <row r="86" spans="1:9">
      <c r="A86" s="873"/>
      <c r="B86" s="873"/>
      <c r="C86" s="873"/>
      <c r="D86" s="873"/>
      <c r="E86" s="873"/>
      <c r="F86" s="873"/>
      <c r="G86" s="873"/>
      <c r="H86" s="873"/>
      <c r="I86" s="873"/>
    </row>
    <row r="87" spans="1:9">
      <c r="A87" s="873"/>
      <c r="B87" s="873"/>
      <c r="C87" s="873"/>
      <c r="D87" s="873"/>
      <c r="E87" s="873"/>
      <c r="F87" s="873"/>
      <c r="G87" s="873"/>
      <c r="H87" s="873"/>
      <c r="I87" s="873"/>
    </row>
    <row r="88" spans="1:9">
      <c r="A88" s="873"/>
      <c r="B88" s="873"/>
      <c r="C88" s="873"/>
      <c r="D88" s="873"/>
      <c r="E88" s="873"/>
      <c r="F88" s="873"/>
      <c r="G88" s="873"/>
      <c r="H88" s="873"/>
      <c r="I88" s="873"/>
    </row>
    <row r="89" spans="1:9">
      <c r="A89" s="873"/>
      <c r="B89" s="873"/>
      <c r="C89" s="873"/>
      <c r="D89" s="873"/>
      <c r="E89" s="873"/>
      <c r="F89" s="873"/>
      <c r="G89" s="873"/>
      <c r="H89" s="873"/>
      <c r="I89" s="873"/>
    </row>
    <row r="90" spans="1:9">
      <c r="A90" s="873"/>
      <c r="B90" s="873"/>
      <c r="C90" s="873"/>
      <c r="D90" s="873"/>
      <c r="E90" s="873"/>
      <c r="F90" s="873"/>
      <c r="G90" s="873"/>
      <c r="H90" s="873"/>
      <c r="I90" s="873"/>
    </row>
    <row r="91" spans="1:9">
      <c r="A91" s="873"/>
      <c r="B91" s="873"/>
      <c r="C91" s="873"/>
      <c r="D91" s="873"/>
      <c r="E91" s="873"/>
      <c r="F91" s="873"/>
      <c r="G91" s="873"/>
      <c r="H91" s="873"/>
      <c r="I91" s="873"/>
    </row>
    <row r="92" spans="1:9">
      <c r="A92" s="873"/>
      <c r="B92" s="873"/>
      <c r="C92" s="873"/>
      <c r="D92" s="873"/>
      <c r="E92" s="873"/>
      <c r="F92" s="873"/>
      <c r="G92" s="873"/>
      <c r="H92" s="873"/>
      <c r="I92" s="873"/>
    </row>
    <row r="93" spans="1:9">
      <c r="A93" s="873"/>
      <c r="B93" s="873"/>
      <c r="C93" s="873"/>
      <c r="D93" s="873"/>
      <c r="E93" s="873"/>
      <c r="F93" s="873"/>
      <c r="G93" s="873"/>
      <c r="H93" s="873"/>
      <c r="I93" s="873"/>
    </row>
    <row r="94" spans="1:9">
      <c r="A94" s="873"/>
      <c r="B94" s="873"/>
      <c r="C94" s="873"/>
      <c r="D94" s="873"/>
      <c r="E94" s="873"/>
      <c r="F94" s="873"/>
      <c r="G94" s="873"/>
      <c r="H94" s="873"/>
      <c r="I94" s="873"/>
    </row>
    <row r="95" spans="1:9">
      <c r="A95" s="873"/>
      <c r="B95" s="873"/>
      <c r="C95" s="873"/>
      <c r="D95" s="873"/>
      <c r="E95" s="873"/>
      <c r="F95" s="873"/>
      <c r="G95" s="873"/>
      <c r="H95" s="873"/>
      <c r="I95" s="873"/>
    </row>
    <row r="96" spans="1:9">
      <c r="A96" s="873"/>
      <c r="B96" s="873"/>
      <c r="C96" s="873"/>
      <c r="D96" s="873"/>
      <c r="E96" s="873"/>
      <c r="F96" s="873"/>
      <c r="G96" s="873"/>
      <c r="H96" s="873"/>
      <c r="I96" s="873"/>
    </row>
    <row r="97" spans="1:9">
      <c r="A97" s="873"/>
      <c r="B97" s="873"/>
      <c r="C97" s="873"/>
      <c r="D97" s="873"/>
      <c r="E97" s="873"/>
      <c r="F97" s="873"/>
      <c r="G97" s="873"/>
      <c r="H97" s="873"/>
      <c r="I97" s="873"/>
    </row>
    <row r="98" spans="1:9">
      <c r="A98" s="873"/>
      <c r="B98" s="873"/>
      <c r="C98" s="873"/>
      <c r="D98" s="873"/>
      <c r="E98" s="873"/>
      <c r="F98" s="873"/>
      <c r="G98" s="873"/>
      <c r="H98" s="873"/>
      <c r="I98" s="873"/>
    </row>
    <row r="99" spans="1:9">
      <c r="A99" s="873"/>
      <c r="B99" s="873"/>
      <c r="C99" s="873"/>
      <c r="D99" s="873"/>
      <c r="E99" s="873"/>
      <c r="F99" s="873"/>
      <c r="G99" s="873"/>
      <c r="H99" s="873"/>
      <c r="I99" s="873"/>
    </row>
    <row r="100" spans="1:9">
      <c r="A100" s="873"/>
      <c r="B100" s="873"/>
      <c r="C100" s="873"/>
      <c r="D100" s="873"/>
      <c r="E100" s="873"/>
      <c r="F100" s="873"/>
      <c r="G100" s="873"/>
      <c r="H100" s="873"/>
      <c r="I100" s="873"/>
    </row>
    <row r="101" spans="1:9">
      <c r="A101" s="873"/>
      <c r="B101" s="873"/>
      <c r="C101" s="873"/>
      <c r="D101" s="873"/>
      <c r="E101" s="873"/>
      <c r="F101" s="873"/>
      <c r="G101" s="873"/>
      <c r="H101" s="873"/>
      <c r="I101" s="873"/>
    </row>
    <row r="102" spans="1:9">
      <c r="A102" s="873"/>
      <c r="B102" s="873"/>
      <c r="C102" s="873"/>
      <c r="D102" s="873"/>
      <c r="E102" s="873"/>
      <c r="F102" s="873"/>
      <c r="G102" s="873"/>
      <c r="H102" s="873"/>
      <c r="I102" s="873"/>
    </row>
    <row r="103" spans="1:9">
      <c r="A103" s="873"/>
      <c r="B103" s="873"/>
      <c r="C103" s="873"/>
      <c r="D103" s="873"/>
      <c r="E103" s="873"/>
      <c r="F103" s="873"/>
      <c r="G103" s="873"/>
      <c r="H103" s="873"/>
      <c r="I103" s="873"/>
    </row>
    <row r="104" spans="1:9">
      <c r="A104" s="873"/>
      <c r="B104" s="873"/>
      <c r="C104" s="873"/>
      <c r="D104" s="873"/>
      <c r="E104" s="873"/>
      <c r="F104" s="873"/>
      <c r="G104" s="873"/>
      <c r="H104" s="873"/>
      <c r="I104" s="873"/>
    </row>
    <row r="105" spans="1:9">
      <c r="A105" s="873"/>
      <c r="B105" s="873"/>
      <c r="C105" s="873"/>
      <c r="D105" s="873"/>
      <c r="E105" s="873"/>
      <c r="F105" s="873"/>
      <c r="G105" s="873"/>
      <c r="H105" s="873"/>
      <c r="I105" s="873"/>
    </row>
    <row r="106" spans="1:9">
      <c r="A106" s="873"/>
      <c r="B106" s="873"/>
      <c r="C106" s="873"/>
      <c r="D106" s="873"/>
      <c r="E106" s="873"/>
      <c r="F106" s="873"/>
      <c r="G106" s="873"/>
      <c r="H106" s="873"/>
      <c r="I106" s="873"/>
    </row>
    <row r="107" spans="1:9">
      <c r="A107" s="873"/>
      <c r="B107" s="873"/>
      <c r="C107" s="873"/>
      <c r="D107" s="873"/>
      <c r="E107" s="873"/>
      <c r="F107" s="873"/>
      <c r="G107" s="873"/>
      <c r="H107" s="873"/>
      <c r="I107" s="873"/>
    </row>
    <row r="108" spans="1:9">
      <c r="A108" s="873"/>
      <c r="B108" s="873"/>
      <c r="C108" s="873"/>
      <c r="D108" s="873"/>
      <c r="E108" s="873"/>
      <c r="F108" s="873"/>
      <c r="G108" s="873"/>
      <c r="H108" s="873"/>
      <c r="I108" s="873"/>
    </row>
    <row r="109" spans="1:9">
      <c r="A109" s="873"/>
      <c r="B109" s="873"/>
      <c r="C109" s="873"/>
      <c r="D109" s="873"/>
      <c r="E109" s="873"/>
      <c r="F109" s="873"/>
      <c r="G109" s="873"/>
      <c r="H109" s="873"/>
      <c r="I109" s="873"/>
    </row>
    <row r="110" spans="1:9">
      <c r="A110" s="873"/>
      <c r="B110" s="873"/>
      <c r="C110" s="873"/>
      <c r="D110" s="873"/>
      <c r="E110" s="873"/>
      <c r="F110" s="873"/>
      <c r="G110" s="873"/>
      <c r="H110" s="873"/>
      <c r="I110" s="873"/>
    </row>
    <row r="111" spans="1:9">
      <c r="A111" s="873"/>
      <c r="B111" s="873"/>
      <c r="C111" s="873"/>
      <c r="D111" s="873"/>
      <c r="E111" s="873"/>
      <c r="F111" s="873"/>
      <c r="G111" s="873"/>
      <c r="H111" s="873"/>
      <c r="I111" s="873"/>
    </row>
    <row r="112" spans="1:9">
      <c r="A112" s="873"/>
      <c r="B112" s="873"/>
      <c r="C112" s="873"/>
      <c r="D112" s="873"/>
      <c r="E112" s="873"/>
      <c r="F112" s="873"/>
      <c r="G112" s="873"/>
      <c r="H112" s="873"/>
      <c r="I112" s="873"/>
    </row>
    <row r="113" spans="1:9">
      <c r="A113" s="873"/>
      <c r="B113" s="873"/>
      <c r="C113" s="873"/>
      <c r="D113" s="873"/>
      <c r="E113" s="873"/>
      <c r="F113" s="873"/>
      <c r="G113" s="873"/>
      <c r="H113" s="873"/>
      <c r="I113" s="873"/>
    </row>
    <row r="114" spans="1:9">
      <c r="A114" s="873"/>
      <c r="B114" s="873"/>
      <c r="C114" s="873"/>
      <c r="D114" s="873"/>
      <c r="E114" s="873"/>
      <c r="F114" s="873"/>
      <c r="G114" s="873"/>
      <c r="H114" s="873"/>
      <c r="I114" s="873"/>
    </row>
    <row r="115" spans="1:9">
      <c r="A115" s="873"/>
      <c r="B115" s="873"/>
      <c r="C115" s="873"/>
      <c r="D115" s="873"/>
      <c r="E115" s="873"/>
      <c r="F115" s="873"/>
      <c r="G115" s="873"/>
      <c r="H115" s="873"/>
      <c r="I115" s="873"/>
    </row>
    <row r="116" spans="1:9">
      <c r="A116" s="873"/>
      <c r="B116" s="873"/>
      <c r="C116" s="873"/>
      <c r="D116" s="873"/>
      <c r="E116" s="873"/>
      <c r="F116" s="873"/>
      <c r="G116" s="873"/>
      <c r="H116" s="873"/>
      <c r="I116" s="873"/>
    </row>
    <row r="117" spans="1:9">
      <c r="A117" s="873"/>
      <c r="B117" s="873"/>
      <c r="C117" s="873"/>
      <c r="D117" s="873"/>
      <c r="E117" s="873"/>
      <c r="F117" s="873"/>
      <c r="G117" s="873"/>
      <c r="H117" s="873"/>
      <c r="I117" s="873"/>
    </row>
    <row r="118" spans="1:9">
      <c r="A118" s="873"/>
      <c r="B118" s="873"/>
      <c r="C118" s="873"/>
      <c r="D118" s="873"/>
      <c r="E118" s="873"/>
      <c r="F118" s="873"/>
      <c r="G118" s="873"/>
      <c r="H118" s="873"/>
      <c r="I118" s="873"/>
    </row>
    <row r="119" spans="1:9">
      <c r="A119" s="873"/>
      <c r="B119" s="873"/>
      <c r="C119" s="873"/>
      <c r="D119" s="873"/>
      <c r="E119" s="873"/>
      <c r="F119" s="873"/>
      <c r="G119" s="873"/>
      <c r="H119" s="873"/>
      <c r="I119" s="873"/>
    </row>
    <row r="120" spans="1:9">
      <c r="A120" s="873"/>
      <c r="B120" s="873"/>
      <c r="C120" s="873"/>
      <c r="D120" s="873"/>
      <c r="E120" s="873"/>
      <c r="F120" s="873"/>
      <c r="G120" s="873"/>
      <c r="H120" s="873"/>
      <c r="I120" s="873"/>
    </row>
    <row r="121" spans="1:9">
      <c r="A121" s="873"/>
      <c r="B121" s="873"/>
      <c r="C121" s="873"/>
      <c r="D121" s="873"/>
      <c r="E121" s="873"/>
      <c r="F121" s="873"/>
      <c r="G121" s="873"/>
      <c r="H121" s="873"/>
      <c r="I121" s="873"/>
    </row>
    <row r="122" spans="1:9">
      <c r="A122" s="873"/>
      <c r="B122" s="873"/>
      <c r="C122" s="873"/>
      <c r="D122" s="873"/>
      <c r="E122" s="873"/>
      <c r="F122" s="873"/>
      <c r="G122" s="873"/>
      <c r="H122" s="873"/>
      <c r="I122" s="873"/>
    </row>
    <row r="123" spans="1:9">
      <c r="A123" s="873"/>
      <c r="B123" s="873"/>
      <c r="C123" s="873"/>
      <c r="D123" s="873"/>
      <c r="E123" s="873"/>
      <c r="F123" s="873"/>
      <c r="G123" s="873"/>
      <c r="H123" s="873"/>
      <c r="I123" s="873"/>
    </row>
    <row r="124" spans="1:9">
      <c r="A124" s="873"/>
      <c r="B124" s="873"/>
      <c r="C124" s="873"/>
      <c r="D124" s="873"/>
      <c r="E124" s="873"/>
      <c r="F124" s="873"/>
      <c r="G124" s="873"/>
      <c r="H124" s="873"/>
      <c r="I124" s="873"/>
    </row>
    <row r="125" spans="1:9">
      <c r="A125" s="873"/>
      <c r="B125" s="873"/>
      <c r="C125" s="873"/>
      <c r="D125" s="873"/>
      <c r="E125" s="873"/>
      <c r="F125" s="873"/>
      <c r="G125" s="873"/>
      <c r="H125" s="873"/>
      <c r="I125" s="873"/>
    </row>
    <row r="126" spans="1:9">
      <c r="A126" s="873"/>
      <c r="B126" s="873"/>
      <c r="C126" s="873"/>
      <c r="D126" s="873"/>
      <c r="E126" s="873"/>
      <c r="F126" s="873"/>
      <c r="G126" s="873"/>
      <c r="H126" s="873"/>
      <c r="I126" s="873"/>
    </row>
    <row r="127" spans="1:9">
      <c r="A127" s="873"/>
      <c r="B127" s="873"/>
      <c r="C127" s="873"/>
      <c r="D127" s="873"/>
      <c r="E127" s="873"/>
      <c r="F127" s="873"/>
      <c r="G127" s="873"/>
      <c r="H127" s="873"/>
      <c r="I127" s="873"/>
    </row>
    <row r="128" spans="1:9">
      <c r="A128" s="873"/>
      <c r="B128" s="873"/>
      <c r="C128" s="873"/>
      <c r="D128" s="873"/>
      <c r="E128" s="873"/>
      <c r="F128" s="873"/>
      <c r="G128" s="873"/>
      <c r="H128" s="873"/>
      <c r="I128" s="873"/>
    </row>
    <row r="129" spans="1:9">
      <c r="A129" s="873"/>
      <c r="B129" s="873"/>
      <c r="C129" s="873"/>
      <c r="D129" s="873"/>
      <c r="E129" s="873"/>
      <c r="F129" s="873"/>
      <c r="G129" s="873"/>
      <c r="H129" s="873"/>
      <c r="I129" s="873"/>
    </row>
    <row r="130" spans="1:9">
      <c r="A130" s="873"/>
      <c r="B130" s="873"/>
      <c r="C130" s="873"/>
      <c r="D130" s="873"/>
      <c r="E130" s="873"/>
      <c r="F130" s="873"/>
      <c r="G130" s="873"/>
      <c r="H130" s="873"/>
      <c r="I130" s="873"/>
    </row>
    <row r="131" spans="1:9">
      <c r="A131" s="873"/>
      <c r="B131" s="873"/>
      <c r="C131" s="873"/>
      <c r="D131" s="873"/>
      <c r="E131" s="873"/>
      <c r="F131" s="873"/>
      <c r="G131" s="873"/>
      <c r="H131" s="873"/>
      <c r="I131" s="873"/>
    </row>
    <row r="132" spans="1:9">
      <c r="A132" s="873"/>
      <c r="B132" s="873"/>
      <c r="C132" s="873"/>
      <c r="D132" s="873"/>
      <c r="E132" s="873"/>
      <c r="F132" s="873"/>
      <c r="G132" s="873"/>
      <c r="H132" s="873"/>
      <c r="I132" s="873"/>
    </row>
    <row r="133" spans="1:9">
      <c r="A133" s="873"/>
      <c r="B133" s="873"/>
      <c r="C133" s="873"/>
      <c r="D133" s="873"/>
      <c r="E133" s="873"/>
      <c r="F133" s="873"/>
      <c r="G133" s="873"/>
      <c r="H133" s="873"/>
      <c r="I133" s="873"/>
    </row>
    <row r="134" spans="1:9">
      <c r="A134" s="873"/>
      <c r="B134" s="873"/>
      <c r="C134" s="873"/>
      <c r="D134" s="873"/>
      <c r="E134" s="873"/>
      <c r="F134" s="873"/>
      <c r="G134" s="873"/>
      <c r="H134" s="873"/>
      <c r="I134" s="873"/>
    </row>
    <row r="135" spans="1:9">
      <c r="A135" s="873"/>
      <c r="B135" s="873"/>
      <c r="C135" s="873"/>
      <c r="D135" s="873"/>
      <c r="E135" s="873"/>
      <c r="F135" s="873"/>
      <c r="G135" s="873"/>
      <c r="H135" s="873"/>
      <c r="I135" s="873"/>
    </row>
    <row r="136" spans="1:9">
      <c r="A136" s="873"/>
      <c r="B136" s="873"/>
      <c r="C136" s="873"/>
      <c r="D136" s="873"/>
      <c r="E136" s="873"/>
      <c r="F136" s="873"/>
      <c r="G136" s="873"/>
      <c r="H136" s="873"/>
      <c r="I136" s="873"/>
    </row>
    <row r="137" spans="1:9">
      <c r="A137" s="873"/>
      <c r="B137" s="873"/>
      <c r="C137" s="873"/>
      <c r="D137" s="873"/>
      <c r="E137" s="873"/>
      <c r="F137" s="873"/>
      <c r="G137" s="873"/>
      <c r="H137" s="873"/>
      <c r="I137" s="873"/>
    </row>
    <row r="138" spans="1:9">
      <c r="A138" s="873"/>
      <c r="B138" s="873"/>
      <c r="C138" s="873"/>
      <c r="D138" s="873"/>
      <c r="E138" s="873"/>
      <c r="F138" s="873"/>
      <c r="G138" s="873"/>
      <c r="H138" s="873"/>
      <c r="I138" s="873"/>
    </row>
    <row r="139" spans="1:9">
      <c r="A139" s="873"/>
      <c r="B139" s="873"/>
      <c r="C139" s="873"/>
      <c r="D139" s="873"/>
      <c r="E139" s="873"/>
      <c r="F139" s="873"/>
      <c r="G139" s="873"/>
      <c r="H139" s="873"/>
      <c r="I139" s="873"/>
    </row>
    <row r="140" spans="1:9">
      <c r="A140" s="873"/>
      <c r="B140" s="873"/>
      <c r="C140" s="873"/>
      <c r="D140" s="873"/>
      <c r="E140" s="873"/>
      <c r="F140" s="873"/>
      <c r="G140" s="873"/>
      <c r="H140" s="873"/>
      <c r="I140" s="873"/>
    </row>
    <row r="141" spans="1:9">
      <c r="A141" s="873"/>
      <c r="B141" s="873"/>
      <c r="C141" s="873"/>
      <c r="D141" s="873"/>
      <c r="E141" s="873"/>
      <c r="F141" s="873"/>
      <c r="G141" s="873"/>
      <c r="H141" s="873"/>
      <c r="I141" s="873"/>
    </row>
    <row r="142" spans="1:9">
      <c r="A142" s="873"/>
      <c r="B142" s="873"/>
      <c r="C142" s="873"/>
      <c r="D142" s="873"/>
      <c r="E142" s="873"/>
      <c r="F142" s="873"/>
      <c r="G142" s="873"/>
      <c r="H142" s="873"/>
      <c r="I142" s="873"/>
    </row>
    <row r="143" spans="1:9">
      <c r="A143" s="873"/>
      <c r="B143" s="873"/>
      <c r="C143" s="873"/>
      <c r="D143" s="873"/>
      <c r="E143" s="873"/>
      <c r="F143" s="873"/>
      <c r="G143" s="873"/>
      <c r="H143" s="873"/>
      <c r="I143" s="873"/>
    </row>
    <row r="144" spans="1:9">
      <c r="A144" s="873"/>
      <c r="B144" s="873"/>
      <c r="C144" s="873"/>
      <c r="D144" s="873"/>
      <c r="E144" s="873"/>
      <c r="F144" s="873"/>
      <c r="G144" s="873"/>
      <c r="H144" s="873"/>
      <c r="I144" s="873"/>
    </row>
    <row r="145" spans="1:9">
      <c r="A145" s="873"/>
      <c r="B145" s="873"/>
      <c r="C145" s="873"/>
      <c r="D145" s="873"/>
      <c r="E145" s="873"/>
      <c r="F145" s="873"/>
      <c r="G145" s="873"/>
      <c r="H145" s="873"/>
      <c r="I145" s="873"/>
    </row>
    <row r="146" spans="1:9">
      <c r="A146" s="873"/>
      <c r="B146" s="873"/>
      <c r="C146" s="873"/>
      <c r="D146" s="873"/>
      <c r="E146" s="873"/>
      <c r="F146" s="873"/>
      <c r="G146" s="873"/>
      <c r="H146" s="873"/>
      <c r="I146" s="873"/>
    </row>
    <row r="147" spans="1:9">
      <c r="A147" s="873"/>
      <c r="B147" s="873"/>
      <c r="C147" s="873"/>
      <c r="D147" s="873"/>
      <c r="E147" s="873"/>
      <c r="F147" s="873"/>
      <c r="G147" s="873"/>
      <c r="H147" s="873"/>
      <c r="I147" s="873"/>
    </row>
    <row r="148" spans="1:9">
      <c r="A148" s="873"/>
      <c r="B148" s="873"/>
      <c r="C148" s="873"/>
      <c r="D148" s="873"/>
      <c r="E148" s="873"/>
      <c r="F148" s="873"/>
      <c r="G148" s="873"/>
      <c r="H148" s="873"/>
      <c r="I148" s="873"/>
    </row>
    <row r="149" spans="1:9">
      <c r="A149" s="873"/>
      <c r="B149" s="873"/>
      <c r="C149" s="873"/>
      <c r="D149" s="873"/>
      <c r="E149" s="873"/>
      <c r="F149" s="873"/>
      <c r="G149" s="873"/>
      <c r="H149" s="873"/>
      <c r="I149" s="873"/>
    </row>
    <row r="150" spans="1:9">
      <c r="A150" s="873"/>
      <c r="B150" s="873"/>
      <c r="C150" s="873"/>
      <c r="D150" s="873"/>
      <c r="E150" s="873"/>
      <c r="F150" s="873"/>
      <c r="G150" s="873"/>
      <c r="H150" s="873"/>
      <c r="I150" s="873"/>
    </row>
    <row r="151" spans="1:9">
      <c r="A151" s="873"/>
      <c r="B151" s="873"/>
      <c r="C151" s="873"/>
      <c r="D151" s="873"/>
      <c r="E151" s="873"/>
      <c r="F151" s="873"/>
      <c r="G151" s="873"/>
      <c r="H151" s="873"/>
      <c r="I151" s="873"/>
    </row>
    <row r="152" spans="1:9">
      <c r="A152" s="873"/>
      <c r="B152" s="873"/>
      <c r="C152" s="873"/>
      <c r="D152" s="873"/>
      <c r="E152" s="873"/>
      <c r="F152" s="873"/>
      <c r="G152" s="873"/>
      <c r="H152" s="873"/>
      <c r="I152" s="873"/>
    </row>
    <row r="153" spans="1:9">
      <c r="A153" s="873"/>
      <c r="B153" s="873"/>
      <c r="C153" s="873"/>
      <c r="D153" s="873"/>
      <c r="E153" s="873"/>
      <c r="F153" s="873"/>
      <c r="G153" s="873"/>
      <c r="H153" s="873"/>
      <c r="I153" s="873"/>
    </row>
    <row r="154" spans="1:9">
      <c r="A154" s="873"/>
      <c r="B154" s="873"/>
      <c r="C154" s="873"/>
      <c r="D154" s="873"/>
      <c r="E154" s="873"/>
      <c r="F154" s="873"/>
      <c r="G154" s="873"/>
      <c r="H154" s="873"/>
      <c r="I154" s="873"/>
    </row>
    <row r="155" spans="1:9">
      <c r="A155" s="873"/>
      <c r="B155" s="873"/>
      <c r="C155" s="873"/>
      <c r="D155" s="873"/>
      <c r="E155" s="873"/>
      <c r="F155" s="873"/>
      <c r="G155" s="873"/>
      <c r="H155" s="873"/>
      <c r="I155" s="873"/>
    </row>
    <row r="156" spans="1:9">
      <c r="A156" s="873"/>
      <c r="B156" s="873"/>
      <c r="C156" s="873"/>
      <c r="D156" s="873"/>
      <c r="E156" s="873"/>
      <c r="F156" s="873"/>
      <c r="G156" s="873"/>
      <c r="H156" s="873"/>
      <c r="I156" s="873"/>
    </row>
    <row r="157" spans="1:9">
      <c r="A157" s="873"/>
      <c r="B157" s="873"/>
      <c r="C157" s="873"/>
      <c r="D157" s="873"/>
      <c r="E157" s="873"/>
      <c r="F157" s="873"/>
      <c r="G157" s="873"/>
      <c r="H157" s="873"/>
      <c r="I157" s="873"/>
    </row>
    <row r="158" spans="1:9">
      <c r="A158" s="873"/>
      <c r="B158" s="873"/>
      <c r="C158" s="873"/>
      <c r="D158" s="873"/>
      <c r="E158" s="873"/>
      <c r="F158" s="873"/>
      <c r="G158" s="873"/>
      <c r="H158" s="873"/>
      <c r="I158" s="873"/>
    </row>
    <row r="159" spans="1:9">
      <c r="A159" s="873"/>
      <c r="B159" s="873"/>
      <c r="C159" s="873"/>
      <c r="D159" s="873"/>
      <c r="E159" s="873"/>
      <c r="F159" s="873"/>
      <c r="G159" s="873"/>
      <c r="H159" s="873"/>
      <c r="I159" s="873"/>
    </row>
    <row r="160" spans="1:9">
      <c r="A160" s="873"/>
      <c r="B160" s="873"/>
      <c r="C160" s="873"/>
      <c r="D160" s="873"/>
      <c r="E160" s="873"/>
      <c r="F160" s="873"/>
      <c r="G160" s="873"/>
      <c r="H160" s="873"/>
      <c r="I160" s="873"/>
    </row>
    <row r="161" spans="1:9">
      <c r="A161" s="873"/>
      <c r="B161" s="873"/>
      <c r="C161" s="873"/>
      <c r="D161" s="873"/>
      <c r="E161" s="873"/>
      <c r="F161" s="873"/>
      <c r="G161" s="873"/>
      <c r="H161" s="873"/>
      <c r="I161" s="873"/>
    </row>
    <row r="162" spans="1:9">
      <c r="A162" s="873"/>
      <c r="B162" s="873"/>
      <c r="C162" s="873"/>
      <c r="D162" s="873"/>
      <c r="E162" s="873"/>
      <c r="F162" s="873"/>
      <c r="G162" s="873"/>
      <c r="H162" s="873"/>
      <c r="I162" s="873"/>
    </row>
    <row r="163" spans="1:9">
      <c r="A163" s="873"/>
      <c r="B163" s="873"/>
      <c r="C163" s="873"/>
      <c r="D163" s="873"/>
      <c r="E163" s="873"/>
      <c r="F163" s="873"/>
      <c r="G163" s="873"/>
      <c r="H163" s="873"/>
      <c r="I163" s="873"/>
    </row>
    <row r="164" spans="1:9">
      <c r="A164" s="873"/>
      <c r="B164" s="873"/>
      <c r="C164" s="873"/>
      <c r="D164" s="873"/>
      <c r="E164" s="873"/>
      <c r="F164" s="873"/>
      <c r="G164" s="873"/>
      <c r="H164" s="873"/>
      <c r="I164" s="873"/>
    </row>
    <row r="165" spans="1:9">
      <c r="A165" s="873"/>
      <c r="B165" s="873"/>
      <c r="C165" s="873"/>
      <c r="D165" s="873"/>
      <c r="E165" s="873"/>
      <c r="F165" s="873"/>
      <c r="G165" s="873"/>
      <c r="H165" s="873"/>
      <c r="I165" s="873"/>
    </row>
    <row r="166" spans="1:9">
      <c r="A166" s="873"/>
      <c r="B166" s="873"/>
      <c r="C166" s="873"/>
      <c r="D166" s="873"/>
      <c r="E166" s="873"/>
      <c r="F166" s="873"/>
      <c r="G166" s="873"/>
      <c r="H166" s="873"/>
      <c r="I166" s="873"/>
    </row>
    <row r="167" spans="1:9">
      <c r="A167" s="873"/>
      <c r="B167" s="873"/>
      <c r="C167" s="873"/>
      <c r="D167" s="873"/>
      <c r="E167" s="873"/>
      <c r="F167" s="873"/>
      <c r="G167" s="873"/>
      <c r="H167" s="873"/>
      <c r="I167" s="873"/>
    </row>
    <row r="168" spans="1:9">
      <c r="A168" s="873"/>
      <c r="B168" s="873"/>
      <c r="C168" s="873"/>
      <c r="D168" s="873"/>
      <c r="E168" s="873"/>
      <c r="F168" s="873"/>
      <c r="G168" s="873"/>
      <c r="H168" s="873"/>
      <c r="I168" s="873"/>
    </row>
    <row r="169" spans="1:9">
      <c r="A169" s="873"/>
      <c r="B169" s="873"/>
      <c r="C169" s="873"/>
      <c r="D169" s="873"/>
      <c r="E169" s="873"/>
      <c r="F169" s="873"/>
      <c r="G169" s="873"/>
      <c r="H169" s="873"/>
      <c r="I169" s="873"/>
    </row>
    <row r="170" spans="1:9">
      <c r="A170" s="873"/>
      <c r="B170" s="873"/>
      <c r="C170" s="873"/>
      <c r="D170" s="873"/>
      <c r="E170" s="873"/>
      <c r="F170" s="873"/>
      <c r="G170" s="873"/>
      <c r="H170" s="873"/>
      <c r="I170" s="873"/>
    </row>
    <row r="171" spans="1:9">
      <c r="A171" s="873"/>
      <c r="B171" s="873"/>
      <c r="C171" s="873"/>
      <c r="D171" s="873"/>
      <c r="E171" s="873"/>
      <c r="F171" s="873"/>
      <c r="G171" s="873"/>
      <c r="H171" s="873"/>
      <c r="I171" s="873"/>
    </row>
    <row r="172" spans="1:9">
      <c r="A172" s="873"/>
      <c r="B172" s="873"/>
      <c r="C172" s="873"/>
      <c r="D172" s="873"/>
      <c r="E172" s="873"/>
      <c r="F172" s="873"/>
      <c r="G172" s="873"/>
      <c r="H172" s="873"/>
      <c r="I172" s="873"/>
    </row>
    <row r="173" spans="1:9">
      <c r="A173" s="873"/>
      <c r="B173" s="873"/>
      <c r="C173" s="873"/>
      <c r="D173" s="873"/>
      <c r="E173" s="873"/>
      <c r="F173" s="873"/>
      <c r="G173" s="873"/>
      <c r="H173" s="873"/>
      <c r="I173" s="873"/>
    </row>
    <row r="174" spans="1:9">
      <c r="A174" s="873"/>
      <c r="B174" s="873"/>
      <c r="C174" s="873"/>
      <c r="D174" s="873"/>
      <c r="E174" s="873"/>
      <c r="F174" s="873"/>
      <c r="G174" s="873"/>
      <c r="H174" s="873"/>
      <c r="I174" s="873"/>
    </row>
    <row r="175" spans="1:9">
      <c r="A175" s="873"/>
      <c r="B175" s="873"/>
      <c r="C175" s="873"/>
      <c r="D175" s="873"/>
      <c r="E175" s="873"/>
      <c r="F175" s="873"/>
      <c r="G175" s="873"/>
      <c r="H175" s="873"/>
      <c r="I175" s="873"/>
    </row>
    <row r="176" spans="1:9">
      <c r="A176" s="873"/>
      <c r="B176" s="873"/>
      <c r="C176" s="873"/>
      <c r="D176" s="873"/>
      <c r="E176" s="873"/>
      <c r="F176" s="873"/>
      <c r="G176" s="873"/>
      <c r="H176" s="873"/>
      <c r="I176" s="873"/>
    </row>
    <row r="177" spans="1:9">
      <c r="A177" s="873"/>
      <c r="B177" s="873"/>
      <c r="C177" s="873"/>
      <c r="D177" s="873"/>
      <c r="E177" s="873"/>
      <c r="F177" s="873"/>
      <c r="G177" s="873"/>
      <c r="H177" s="873"/>
      <c r="I177" s="873"/>
    </row>
    <row r="178" spans="1:9">
      <c r="A178" s="873"/>
      <c r="B178" s="873"/>
      <c r="C178" s="873"/>
      <c r="D178" s="873"/>
      <c r="E178" s="873"/>
      <c r="F178" s="873"/>
      <c r="G178" s="873"/>
      <c r="H178" s="873"/>
      <c r="I178" s="873"/>
    </row>
    <row r="179" spans="1:9">
      <c r="A179" s="873"/>
      <c r="B179" s="873"/>
      <c r="C179" s="873"/>
      <c r="D179" s="873"/>
      <c r="E179" s="873"/>
      <c r="F179" s="873"/>
      <c r="G179" s="873"/>
      <c r="H179" s="873"/>
      <c r="I179" s="873"/>
    </row>
    <row r="180" spans="1:9">
      <c r="A180" s="873"/>
      <c r="B180" s="873"/>
      <c r="C180" s="873"/>
      <c r="D180" s="873"/>
      <c r="E180" s="873"/>
      <c r="F180" s="873"/>
      <c r="G180" s="873"/>
      <c r="H180" s="873"/>
      <c r="I180" s="873"/>
    </row>
    <row r="181" spans="1:9">
      <c r="A181" s="873"/>
      <c r="B181" s="873"/>
      <c r="C181" s="873"/>
      <c r="D181" s="873"/>
      <c r="E181" s="873"/>
      <c r="F181" s="873"/>
      <c r="G181" s="873"/>
      <c r="H181" s="873"/>
      <c r="I181" s="873"/>
    </row>
    <row r="182" spans="1:9">
      <c r="A182" s="873"/>
      <c r="B182" s="873"/>
      <c r="C182" s="873"/>
      <c r="D182" s="873"/>
      <c r="E182" s="873"/>
      <c r="F182" s="873"/>
      <c r="G182" s="873"/>
      <c r="H182" s="873"/>
      <c r="I182" s="873"/>
    </row>
    <row r="183" spans="1:9">
      <c r="A183" s="873"/>
      <c r="B183" s="873"/>
      <c r="C183" s="873"/>
      <c r="D183" s="873"/>
      <c r="E183" s="873"/>
      <c r="F183" s="873"/>
      <c r="G183" s="873"/>
      <c r="H183" s="873"/>
      <c r="I183" s="873"/>
    </row>
    <row r="184" spans="1:9">
      <c r="A184" s="873"/>
      <c r="B184" s="873"/>
      <c r="C184" s="873"/>
      <c r="D184" s="873"/>
      <c r="E184" s="873"/>
      <c r="F184" s="873"/>
      <c r="G184" s="873"/>
      <c r="H184" s="873"/>
      <c r="I184" s="873"/>
    </row>
    <row r="185" spans="1:9">
      <c r="A185" s="873"/>
      <c r="B185" s="873"/>
      <c r="C185" s="873"/>
      <c r="D185" s="873"/>
      <c r="E185" s="873"/>
      <c r="F185" s="873"/>
      <c r="G185" s="873"/>
      <c r="H185" s="873"/>
      <c r="I185" s="873"/>
    </row>
    <row r="186" spans="1:9">
      <c r="A186" s="873"/>
      <c r="B186" s="873"/>
      <c r="C186" s="873"/>
      <c r="D186" s="873"/>
      <c r="E186" s="873"/>
      <c r="F186" s="873"/>
      <c r="G186" s="873"/>
      <c r="H186" s="873"/>
      <c r="I186" s="873"/>
    </row>
    <row r="187" spans="1:9">
      <c r="A187" s="873"/>
      <c r="B187" s="873"/>
      <c r="C187" s="873"/>
      <c r="D187" s="873"/>
      <c r="E187" s="873"/>
      <c r="F187" s="873"/>
      <c r="G187" s="873"/>
      <c r="H187" s="873"/>
      <c r="I187" s="873"/>
    </row>
    <row r="188" spans="1:9">
      <c r="A188" s="873"/>
      <c r="B188" s="873"/>
      <c r="C188" s="873"/>
      <c r="D188" s="873"/>
      <c r="E188" s="873"/>
      <c r="F188" s="873"/>
      <c r="G188" s="873"/>
      <c r="H188" s="873"/>
      <c r="I188" s="873"/>
    </row>
    <row r="189" spans="1:9">
      <c r="A189" s="873"/>
      <c r="B189" s="873"/>
      <c r="C189" s="873"/>
      <c r="D189" s="873"/>
      <c r="E189" s="873"/>
      <c r="F189" s="873"/>
      <c r="G189" s="873"/>
      <c r="H189" s="873"/>
      <c r="I189" s="873"/>
    </row>
    <row r="190" spans="1:9">
      <c r="A190" s="873"/>
      <c r="B190" s="873"/>
      <c r="C190" s="873"/>
      <c r="D190" s="873"/>
      <c r="E190" s="873"/>
      <c r="F190" s="873"/>
      <c r="G190" s="873"/>
      <c r="H190" s="873"/>
      <c r="I190" s="873"/>
    </row>
    <row r="191" spans="1:9">
      <c r="A191" s="873"/>
      <c r="B191" s="873"/>
      <c r="C191" s="873"/>
      <c r="D191" s="873"/>
      <c r="E191" s="873"/>
      <c r="F191" s="873"/>
      <c r="G191" s="873"/>
      <c r="H191" s="873"/>
      <c r="I191" s="873"/>
    </row>
    <row r="192" spans="1:9">
      <c r="A192" s="873"/>
      <c r="B192" s="873"/>
      <c r="C192" s="873"/>
      <c r="D192" s="873"/>
      <c r="E192" s="873"/>
      <c r="F192" s="873"/>
      <c r="G192" s="873"/>
      <c r="H192" s="873"/>
      <c r="I192" s="873"/>
    </row>
    <row r="193" spans="1:9">
      <c r="A193" s="873"/>
      <c r="B193" s="873"/>
      <c r="C193" s="873"/>
      <c r="D193" s="873"/>
      <c r="E193" s="873"/>
      <c r="F193" s="873"/>
      <c r="G193" s="873"/>
      <c r="H193" s="873"/>
      <c r="I193" s="873"/>
    </row>
    <row r="194" spans="1:9">
      <c r="A194" s="873"/>
      <c r="B194" s="873"/>
      <c r="C194" s="873"/>
      <c r="D194" s="873"/>
      <c r="E194" s="873"/>
      <c r="F194" s="873"/>
      <c r="G194" s="873"/>
      <c r="H194" s="873"/>
      <c r="I194" s="873"/>
    </row>
    <row r="195" spans="1:9">
      <c r="A195" s="873"/>
      <c r="B195" s="873"/>
      <c r="C195" s="873"/>
      <c r="D195" s="873"/>
      <c r="E195" s="873"/>
      <c r="F195" s="873"/>
      <c r="G195" s="873"/>
      <c r="H195" s="873"/>
      <c r="I195" s="873"/>
    </row>
    <row r="196" spans="1:9">
      <c r="A196" s="873"/>
      <c r="B196" s="873"/>
      <c r="C196" s="873"/>
      <c r="D196" s="873"/>
      <c r="E196" s="873"/>
      <c r="F196" s="873"/>
      <c r="G196" s="873"/>
      <c r="H196" s="873"/>
      <c r="I196" s="873"/>
    </row>
    <row r="197" spans="1:9">
      <c r="A197" s="873"/>
      <c r="B197" s="873"/>
      <c r="C197" s="873"/>
      <c r="D197" s="873"/>
      <c r="E197" s="873"/>
      <c r="F197" s="873"/>
      <c r="G197" s="873"/>
      <c r="H197" s="873"/>
      <c r="I197" s="873"/>
    </row>
    <row r="198" spans="1:9">
      <c r="A198" s="873"/>
      <c r="B198" s="873"/>
      <c r="C198" s="873"/>
      <c r="D198" s="873"/>
      <c r="E198" s="873"/>
      <c r="F198" s="873"/>
      <c r="G198" s="873"/>
      <c r="H198" s="873"/>
      <c r="I198" s="873"/>
    </row>
    <row r="199" spans="1:9">
      <c r="A199" s="873"/>
      <c r="B199" s="873"/>
      <c r="C199" s="873"/>
      <c r="D199" s="873"/>
      <c r="E199" s="873"/>
      <c r="F199" s="873"/>
      <c r="G199" s="873"/>
      <c r="H199" s="873"/>
      <c r="I199" s="873"/>
    </row>
    <row r="200" spans="1:9">
      <c r="A200" s="873"/>
      <c r="B200" s="873"/>
      <c r="C200" s="873"/>
      <c r="D200" s="873"/>
      <c r="E200" s="873"/>
      <c r="F200" s="873"/>
      <c r="G200" s="873"/>
      <c r="H200" s="873"/>
      <c r="I200" s="873"/>
    </row>
    <row r="201" spans="1:9">
      <c r="A201" s="873"/>
      <c r="B201" s="873"/>
      <c r="C201" s="873"/>
      <c r="D201" s="873"/>
      <c r="E201" s="873"/>
      <c r="F201" s="873"/>
      <c r="G201" s="873"/>
      <c r="H201" s="873"/>
      <c r="I201" s="873"/>
    </row>
    <row r="202" spans="1:9">
      <c r="A202" s="873"/>
      <c r="B202" s="873"/>
      <c r="C202" s="873"/>
      <c r="D202" s="873"/>
      <c r="E202" s="873"/>
      <c r="F202" s="873"/>
      <c r="G202" s="873"/>
      <c r="H202" s="873"/>
      <c r="I202" s="873"/>
    </row>
    <row r="203" spans="1:9">
      <c r="A203" s="873"/>
      <c r="B203" s="873"/>
      <c r="C203" s="873"/>
      <c r="D203" s="873"/>
      <c r="E203" s="873"/>
      <c r="F203" s="873"/>
      <c r="G203" s="873"/>
      <c r="H203" s="873"/>
      <c r="I203" s="873"/>
    </row>
    <row r="204" spans="1:9">
      <c r="A204" s="873"/>
      <c r="B204" s="873"/>
      <c r="C204" s="873"/>
      <c r="D204" s="873"/>
      <c r="E204" s="873"/>
      <c r="F204" s="873"/>
      <c r="G204" s="873"/>
      <c r="H204" s="873"/>
      <c r="I204" s="873"/>
    </row>
    <row r="205" spans="1:9">
      <c r="A205" s="873"/>
      <c r="B205" s="873"/>
      <c r="C205" s="873"/>
      <c r="D205" s="873"/>
      <c r="E205" s="873"/>
      <c r="F205" s="873"/>
      <c r="G205" s="873"/>
      <c r="H205" s="873"/>
      <c r="I205" s="873"/>
    </row>
    <row r="206" spans="1:9">
      <c r="A206" s="873"/>
      <c r="B206" s="873"/>
      <c r="C206" s="873"/>
      <c r="D206" s="873"/>
      <c r="E206" s="873"/>
      <c r="F206" s="873"/>
      <c r="G206" s="873"/>
      <c r="H206" s="873"/>
      <c r="I206" s="873"/>
    </row>
    <row r="207" spans="1:9">
      <c r="A207" s="873"/>
      <c r="B207" s="873"/>
      <c r="C207" s="873"/>
      <c r="D207" s="873"/>
      <c r="E207" s="873"/>
      <c r="F207" s="873"/>
      <c r="G207" s="873"/>
      <c r="H207" s="873"/>
      <c r="I207" s="873"/>
    </row>
    <row r="208" spans="1:9">
      <c r="A208" s="873"/>
      <c r="B208" s="873"/>
      <c r="C208" s="873"/>
      <c r="D208" s="873"/>
      <c r="E208" s="873"/>
      <c r="F208" s="873"/>
      <c r="G208" s="873"/>
      <c r="H208" s="873"/>
      <c r="I208" s="873"/>
    </row>
    <row r="209" spans="1:9">
      <c r="A209" s="873"/>
      <c r="B209" s="873"/>
      <c r="C209" s="873"/>
      <c r="D209" s="873"/>
      <c r="E209" s="873"/>
      <c r="F209" s="873"/>
      <c r="G209" s="873"/>
      <c r="H209" s="873"/>
      <c r="I209" s="873"/>
    </row>
    <row r="210" spans="1:9">
      <c r="A210" s="873"/>
      <c r="B210" s="873"/>
      <c r="C210" s="873"/>
      <c r="D210" s="873"/>
      <c r="E210" s="873"/>
      <c r="F210" s="873"/>
      <c r="G210" s="873"/>
      <c r="H210" s="873"/>
      <c r="I210" s="873"/>
    </row>
    <row r="211" spans="1:9">
      <c r="A211" s="873"/>
      <c r="B211" s="873"/>
      <c r="C211" s="873"/>
      <c r="D211" s="873"/>
      <c r="E211" s="873"/>
      <c r="F211" s="873"/>
      <c r="G211" s="873"/>
      <c r="H211" s="873"/>
      <c r="I211" s="873"/>
    </row>
    <row r="212" spans="1:9">
      <c r="A212" s="873"/>
      <c r="B212" s="873"/>
      <c r="C212" s="873"/>
      <c r="D212" s="873"/>
      <c r="E212" s="873"/>
      <c r="F212" s="873"/>
      <c r="G212" s="873"/>
      <c r="H212" s="873"/>
      <c r="I212" s="873"/>
    </row>
    <row r="213" spans="1:9">
      <c r="A213" s="873"/>
      <c r="B213" s="873"/>
      <c r="C213" s="873"/>
      <c r="D213" s="873"/>
      <c r="E213" s="873"/>
      <c r="F213" s="873"/>
      <c r="G213" s="873"/>
      <c r="H213" s="873"/>
      <c r="I213" s="873"/>
    </row>
    <row r="214" spans="1:9">
      <c r="A214" s="873"/>
      <c r="B214" s="873"/>
      <c r="C214" s="873"/>
      <c r="D214" s="873"/>
      <c r="E214" s="873"/>
      <c r="F214" s="873"/>
      <c r="G214" s="873"/>
      <c r="H214" s="873"/>
      <c r="I214" s="873"/>
    </row>
    <row r="215" spans="1:9">
      <c r="A215" s="873"/>
      <c r="B215" s="873"/>
      <c r="C215" s="873"/>
      <c r="D215" s="873"/>
      <c r="E215" s="873"/>
      <c r="F215" s="873"/>
      <c r="G215" s="873"/>
      <c r="H215" s="873"/>
      <c r="I215" s="873"/>
    </row>
    <row r="216" spans="1:9">
      <c r="A216" s="873"/>
      <c r="B216" s="873"/>
      <c r="C216" s="873"/>
      <c r="D216" s="873"/>
      <c r="E216" s="873"/>
      <c r="F216" s="873"/>
      <c r="G216" s="873"/>
      <c r="H216" s="873"/>
      <c r="I216" s="873"/>
    </row>
    <row r="217" spans="1:9">
      <c r="A217" s="873"/>
      <c r="B217" s="873"/>
      <c r="C217" s="873"/>
      <c r="D217" s="873"/>
      <c r="E217" s="873"/>
      <c r="F217" s="873"/>
      <c r="G217" s="873"/>
      <c r="H217" s="873"/>
      <c r="I217" s="873"/>
    </row>
    <row r="218" spans="1:9">
      <c r="A218" s="873"/>
      <c r="B218" s="873"/>
      <c r="C218" s="873"/>
      <c r="D218" s="873"/>
      <c r="E218" s="873"/>
      <c r="F218" s="873"/>
      <c r="G218" s="873"/>
      <c r="H218" s="873"/>
      <c r="I218" s="873"/>
    </row>
    <row r="219" spans="1:9">
      <c r="A219" s="873"/>
      <c r="B219" s="873"/>
      <c r="C219" s="873"/>
      <c r="D219" s="873"/>
      <c r="E219" s="873"/>
      <c r="F219" s="873"/>
      <c r="G219" s="873"/>
      <c r="H219" s="873"/>
      <c r="I219" s="873"/>
    </row>
    <row r="220" spans="1:9">
      <c r="A220" s="873"/>
      <c r="B220" s="873"/>
      <c r="C220" s="873"/>
      <c r="D220" s="873"/>
      <c r="E220" s="873"/>
      <c r="F220" s="873"/>
      <c r="G220" s="873"/>
      <c r="H220" s="873"/>
      <c r="I220" s="873"/>
    </row>
    <row r="221" spans="1:9">
      <c r="A221" s="873"/>
      <c r="B221" s="873"/>
      <c r="C221" s="873"/>
      <c r="D221" s="873"/>
      <c r="E221" s="873"/>
      <c r="F221" s="873"/>
      <c r="G221" s="873"/>
      <c r="H221" s="873"/>
      <c r="I221" s="873"/>
    </row>
    <row r="222" spans="1:9">
      <c r="A222" s="873"/>
      <c r="B222" s="873"/>
      <c r="C222" s="873"/>
      <c r="D222" s="873"/>
      <c r="E222" s="873"/>
      <c r="F222" s="873"/>
      <c r="G222" s="873"/>
      <c r="H222" s="873"/>
      <c r="I222" s="873"/>
    </row>
    <row r="223" spans="1:9">
      <c r="A223" s="873"/>
      <c r="B223" s="873"/>
      <c r="C223" s="873"/>
      <c r="D223" s="873"/>
      <c r="E223" s="873"/>
      <c r="F223" s="873"/>
      <c r="G223" s="873"/>
      <c r="H223" s="873"/>
      <c r="I223" s="873"/>
    </row>
    <row r="224" spans="1:9">
      <c r="A224" s="873"/>
      <c r="B224" s="873"/>
      <c r="C224" s="873"/>
      <c r="D224" s="873"/>
      <c r="E224" s="873"/>
      <c r="F224" s="873"/>
      <c r="G224" s="873"/>
      <c r="H224" s="873"/>
      <c r="I224" s="873"/>
    </row>
    <row r="225" spans="1:9">
      <c r="A225" s="873"/>
      <c r="B225" s="873"/>
      <c r="C225" s="873"/>
      <c r="D225" s="873"/>
      <c r="E225" s="873"/>
      <c r="F225" s="873"/>
      <c r="G225" s="873"/>
      <c r="H225" s="873"/>
      <c r="I225" s="873"/>
    </row>
    <row r="226" spans="1:9">
      <c r="A226" s="873"/>
      <c r="B226" s="873"/>
      <c r="C226" s="873"/>
      <c r="D226" s="873"/>
      <c r="E226" s="873"/>
      <c r="F226" s="873"/>
      <c r="G226" s="873"/>
      <c r="H226" s="873"/>
      <c r="I226" s="873"/>
    </row>
    <row r="227" spans="1:9">
      <c r="A227" s="873"/>
      <c r="B227" s="873"/>
      <c r="C227" s="873"/>
      <c r="D227" s="873"/>
      <c r="E227" s="873"/>
      <c r="F227" s="873"/>
      <c r="G227" s="873"/>
      <c r="H227" s="873"/>
      <c r="I227" s="873"/>
    </row>
    <row r="228" spans="1:9">
      <c r="A228" s="873"/>
      <c r="B228" s="873"/>
      <c r="C228" s="873"/>
      <c r="D228" s="873"/>
      <c r="E228" s="873"/>
      <c r="F228" s="873"/>
      <c r="G228" s="873"/>
      <c r="H228" s="873"/>
      <c r="I228" s="873"/>
    </row>
    <row r="229" spans="1:9">
      <c r="A229" s="873"/>
      <c r="B229" s="873"/>
      <c r="C229" s="873"/>
      <c r="D229" s="873"/>
      <c r="E229" s="873"/>
      <c r="F229" s="873"/>
      <c r="G229" s="873"/>
      <c r="H229" s="873"/>
      <c r="I229" s="873"/>
    </row>
    <row r="230" spans="1:9">
      <c r="A230" s="873"/>
      <c r="B230" s="873"/>
      <c r="C230" s="873"/>
      <c r="D230" s="873"/>
      <c r="E230" s="873"/>
      <c r="F230" s="873"/>
      <c r="G230" s="873"/>
      <c r="H230" s="873"/>
      <c r="I230" s="873"/>
    </row>
    <row r="231" spans="1:9">
      <c r="A231" s="873"/>
      <c r="B231" s="873"/>
      <c r="C231" s="873"/>
      <c r="D231" s="873"/>
      <c r="E231" s="873"/>
      <c r="F231" s="873"/>
      <c r="G231" s="873"/>
      <c r="H231" s="873"/>
      <c r="I231" s="873"/>
    </row>
    <row r="232" spans="1:9">
      <c r="A232" s="873"/>
      <c r="B232" s="873"/>
      <c r="C232" s="873"/>
      <c r="D232" s="873"/>
      <c r="E232" s="873"/>
      <c r="F232" s="873"/>
      <c r="G232" s="873"/>
      <c r="H232" s="873"/>
      <c r="I232" s="873"/>
    </row>
    <row r="233" spans="1:9">
      <c r="A233" s="873"/>
      <c r="B233" s="873"/>
      <c r="C233" s="873"/>
      <c r="D233" s="873"/>
      <c r="E233" s="873"/>
      <c r="F233" s="873"/>
      <c r="G233" s="873"/>
      <c r="H233" s="873"/>
      <c r="I233" s="873"/>
    </row>
    <row r="234" spans="1:9">
      <c r="A234" s="873"/>
      <c r="B234" s="873"/>
      <c r="C234" s="873"/>
      <c r="D234" s="873"/>
      <c r="E234" s="873"/>
      <c r="F234" s="873"/>
      <c r="G234" s="873"/>
      <c r="H234" s="873"/>
      <c r="I234" s="873"/>
    </row>
    <row r="235" spans="1:9">
      <c r="A235" s="873"/>
      <c r="B235" s="873"/>
      <c r="C235" s="873"/>
      <c r="D235" s="873"/>
      <c r="E235" s="873"/>
      <c r="F235" s="873"/>
      <c r="G235" s="873"/>
      <c r="H235" s="873"/>
      <c r="I235" s="873"/>
    </row>
    <row r="236" spans="1:9">
      <c r="A236" s="873"/>
      <c r="B236" s="873"/>
      <c r="C236" s="873"/>
      <c r="D236" s="873"/>
      <c r="E236" s="873"/>
      <c r="F236" s="873"/>
      <c r="G236" s="873"/>
      <c r="H236" s="873"/>
      <c r="I236" s="873"/>
    </row>
    <row r="237" spans="1:9">
      <c r="A237" s="873"/>
      <c r="B237" s="873"/>
      <c r="C237" s="873"/>
      <c r="D237" s="873"/>
      <c r="E237" s="873"/>
      <c r="F237" s="873"/>
      <c r="G237" s="873"/>
      <c r="H237" s="873"/>
      <c r="I237" s="873"/>
    </row>
    <row r="238" spans="1:9">
      <c r="A238" s="873"/>
      <c r="B238" s="873"/>
      <c r="C238" s="873"/>
      <c r="D238" s="873"/>
      <c r="E238" s="873"/>
      <c r="F238" s="873"/>
      <c r="G238" s="873"/>
      <c r="H238" s="873"/>
      <c r="I238" s="873"/>
    </row>
    <row r="239" spans="1:9">
      <c r="A239" s="873"/>
      <c r="B239" s="873"/>
      <c r="C239" s="873"/>
      <c r="D239" s="873"/>
      <c r="E239" s="873"/>
      <c r="F239" s="873"/>
      <c r="G239" s="873"/>
      <c r="H239" s="873"/>
      <c r="I239" s="873"/>
    </row>
    <row r="240" spans="1:9">
      <c r="A240" s="873"/>
      <c r="B240" s="873"/>
      <c r="C240" s="873"/>
      <c r="D240" s="873"/>
      <c r="E240" s="873"/>
      <c r="F240" s="873"/>
      <c r="G240" s="873"/>
      <c r="H240" s="873"/>
      <c r="I240" s="873"/>
    </row>
    <row r="241" spans="1:9">
      <c r="A241" s="873"/>
      <c r="B241" s="873"/>
      <c r="C241" s="873"/>
      <c r="D241" s="873"/>
      <c r="E241" s="873"/>
      <c r="F241" s="873"/>
      <c r="G241" s="873"/>
      <c r="H241" s="873"/>
      <c r="I241" s="873"/>
    </row>
    <row r="242" spans="1:9">
      <c r="A242" s="873"/>
      <c r="B242" s="873"/>
      <c r="C242" s="873"/>
      <c r="D242" s="873"/>
      <c r="E242" s="873"/>
      <c r="F242" s="873"/>
      <c r="G242" s="873"/>
      <c r="H242" s="873"/>
      <c r="I242" s="873"/>
    </row>
    <row r="243" spans="1:9">
      <c r="A243" s="873"/>
      <c r="B243" s="873"/>
      <c r="C243" s="873"/>
      <c r="D243" s="873"/>
      <c r="E243" s="873"/>
      <c r="F243" s="873"/>
      <c r="G243" s="873"/>
      <c r="H243" s="873"/>
      <c r="I243" s="873"/>
    </row>
    <row r="244" spans="1:9">
      <c r="A244" s="873"/>
      <c r="B244" s="873"/>
      <c r="C244" s="873"/>
      <c r="D244" s="873"/>
      <c r="E244" s="873"/>
      <c r="F244" s="873"/>
      <c r="G244" s="873"/>
      <c r="H244" s="873"/>
      <c r="I244" s="873"/>
    </row>
    <row r="245" spans="1:9">
      <c r="A245" s="873"/>
      <c r="B245" s="873"/>
      <c r="C245" s="873"/>
      <c r="D245" s="873"/>
      <c r="E245" s="873"/>
      <c r="F245" s="873"/>
      <c r="G245" s="873"/>
      <c r="H245" s="873"/>
      <c r="I245" s="873"/>
    </row>
    <row r="246" spans="1:9">
      <c r="A246" s="873"/>
      <c r="B246" s="873"/>
      <c r="C246" s="873"/>
      <c r="D246" s="873"/>
      <c r="E246" s="873"/>
      <c r="F246" s="873"/>
      <c r="G246" s="873"/>
      <c r="H246" s="873"/>
      <c r="I246" s="873"/>
    </row>
    <row r="247" spans="1:9">
      <c r="A247" s="873"/>
      <c r="B247" s="873"/>
      <c r="C247" s="873"/>
      <c r="D247" s="873"/>
      <c r="E247" s="873"/>
      <c r="F247" s="873"/>
      <c r="G247" s="873"/>
      <c r="H247" s="873"/>
      <c r="I247" s="873"/>
    </row>
    <row r="248" spans="1:9">
      <c r="A248" s="873"/>
      <c r="B248" s="873"/>
      <c r="C248" s="873"/>
      <c r="D248" s="873"/>
      <c r="E248" s="873"/>
      <c r="F248" s="873"/>
      <c r="G248" s="873"/>
      <c r="H248" s="873"/>
      <c r="I248" s="873"/>
    </row>
    <row r="249" spans="1:9">
      <c r="A249" s="873"/>
      <c r="B249" s="873"/>
      <c r="C249" s="873"/>
      <c r="D249" s="873"/>
      <c r="E249" s="873"/>
      <c r="F249" s="873"/>
      <c r="G249" s="873"/>
      <c r="H249" s="873"/>
      <c r="I249" s="873"/>
    </row>
    <row r="250" spans="1:9">
      <c r="A250" s="873"/>
      <c r="B250" s="873"/>
      <c r="C250" s="873"/>
      <c r="D250" s="873"/>
      <c r="E250" s="873"/>
      <c r="F250" s="873"/>
      <c r="G250" s="873"/>
      <c r="H250" s="873"/>
      <c r="I250" s="873"/>
    </row>
    <row r="251" spans="1:9">
      <c r="A251" s="873"/>
      <c r="B251" s="873"/>
      <c r="C251" s="873"/>
      <c r="D251" s="873"/>
      <c r="E251" s="873"/>
      <c r="F251" s="873"/>
      <c r="G251" s="873"/>
      <c r="H251" s="873"/>
      <c r="I251" s="873"/>
    </row>
    <row r="252" spans="1:9">
      <c r="A252" s="873"/>
      <c r="B252" s="873"/>
      <c r="C252" s="873"/>
      <c r="D252" s="873"/>
      <c r="E252" s="873"/>
      <c r="F252" s="873"/>
      <c r="G252" s="873"/>
      <c r="H252" s="873"/>
      <c r="I252" s="873"/>
    </row>
    <row r="253" spans="1:9">
      <c r="A253" s="873"/>
      <c r="B253" s="873"/>
      <c r="C253" s="873"/>
      <c r="D253" s="873"/>
      <c r="E253" s="873"/>
      <c r="F253" s="873"/>
      <c r="G253" s="873"/>
      <c r="H253" s="873"/>
      <c r="I253" s="873"/>
    </row>
    <row r="254" spans="1:9">
      <c r="A254" s="873"/>
      <c r="B254" s="873"/>
      <c r="C254" s="873"/>
      <c r="D254" s="873"/>
      <c r="E254" s="873"/>
      <c r="F254" s="873"/>
      <c r="G254" s="873"/>
      <c r="H254" s="873"/>
      <c r="I254" s="873"/>
    </row>
    <row r="255" spans="1:9">
      <c r="A255" s="873"/>
      <c r="B255" s="873"/>
      <c r="C255" s="873"/>
      <c r="D255" s="873"/>
      <c r="E255" s="873"/>
      <c r="F255" s="873"/>
      <c r="G255" s="873"/>
      <c r="H255" s="873"/>
      <c r="I255" s="873"/>
    </row>
    <row r="256" spans="1:9">
      <c r="A256" s="873"/>
      <c r="B256" s="873"/>
      <c r="C256" s="873"/>
      <c r="D256" s="873"/>
      <c r="E256" s="873"/>
      <c r="F256" s="873"/>
      <c r="G256" s="873"/>
      <c r="H256" s="873"/>
      <c r="I256" s="873"/>
    </row>
    <row r="257" spans="1:9">
      <c r="A257" s="873"/>
      <c r="B257" s="873"/>
      <c r="C257" s="873"/>
      <c r="D257" s="873"/>
      <c r="E257" s="873"/>
      <c r="F257" s="873"/>
      <c r="G257" s="873"/>
      <c r="H257" s="873"/>
      <c r="I257" s="873"/>
    </row>
    <row r="258" spans="1:9">
      <c r="A258" s="873"/>
      <c r="B258" s="873"/>
      <c r="C258" s="873"/>
      <c r="D258" s="873"/>
      <c r="E258" s="873"/>
      <c r="F258" s="873"/>
      <c r="G258" s="873"/>
      <c r="H258" s="873"/>
      <c r="I258" s="873"/>
    </row>
    <row r="259" spans="1:9">
      <c r="A259" s="873"/>
      <c r="B259" s="873"/>
      <c r="C259" s="873"/>
      <c r="D259" s="873"/>
      <c r="E259" s="873"/>
      <c r="F259" s="873"/>
      <c r="G259" s="873"/>
      <c r="H259" s="873"/>
      <c r="I259" s="873"/>
    </row>
    <row r="260" spans="1:9">
      <c r="A260" s="873"/>
      <c r="B260" s="873"/>
      <c r="C260" s="873"/>
      <c r="D260" s="873"/>
      <c r="E260" s="873"/>
      <c r="F260" s="873"/>
      <c r="G260" s="873"/>
      <c r="H260" s="873"/>
      <c r="I260" s="873"/>
    </row>
    <row r="261" spans="1:9">
      <c r="A261" s="873"/>
      <c r="B261" s="873"/>
      <c r="C261" s="873"/>
      <c r="D261" s="873"/>
      <c r="E261" s="873"/>
      <c r="F261" s="873"/>
      <c r="G261" s="873"/>
      <c r="H261" s="873"/>
      <c r="I261" s="873"/>
    </row>
    <row r="262" spans="1:9">
      <c r="A262" s="873"/>
      <c r="B262" s="873"/>
      <c r="C262" s="873"/>
      <c r="D262" s="873"/>
      <c r="E262" s="873"/>
      <c r="F262" s="873"/>
      <c r="G262" s="873"/>
      <c r="H262" s="873"/>
      <c r="I262" s="873"/>
    </row>
    <row r="263" spans="1:9">
      <c r="A263" s="873"/>
      <c r="B263" s="873"/>
      <c r="C263" s="873"/>
      <c r="D263" s="873"/>
      <c r="E263" s="873"/>
      <c r="F263" s="873"/>
      <c r="G263" s="873"/>
      <c r="H263" s="873"/>
      <c r="I263" s="873"/>
    </row>
    <row r="264" spans="1:9">
      <c r="A264" s="873"/>
      <c r="B264" s="873"/>
      <c r="C264" s="873"/>
      <c r="D264" s="873"/>
      <c r="E264" s="873"/>
      <c r="F264" s="873"/>
      <c r="G264" s="873"/>
      <c r="H264" s="873"/>
      <c r="I264" s="873"/>
    </row>
    <row r="265" spans="1:9">
      <c r="A265" s="873"/>
      <c r="B265" s="873"/>
      <c r="C265" s="873"/>
      <c r="D265" s="873"/>
      <c r="E265" s="873"/>
      <c r="F265" s="873"/>
      <c r="G265" s="873"/>
      <c r="H265" s="873"/>
      <c r="I265" s="873"/>
    </row>
    <row r="266" spans="1:9">
      <c r="A266" s="873"/>
      <c r="B266" s="873"/>
      <c r="C266" s="873"/>
      <c r="D266" s="873"/>
      <c r="E266" s="873"/>
      <c r="F266" s="873"/>
      <c r="G266" s="873"/>
      <c r="H266" s="873"/>
      <c r="I266" s="873"/>
    </row>
    <row r="267" spans="1:9">
      <c r="A267" s="873"/>
      <c r="B267" s="873"/>
      <c r="C267" s="873"/>
      <c r="D267" s="873"/>
      <c r="E267" s="873"/>
      <c r="F267" s="873"/>
      <c r="G267" s="873"/>
      <c r="H267" s="873"/>
      <c r="I267" s="873"/>
    </row>
    <row r="268" spans="1:9">
      <c r="A268" s="873"/>
      <c r="B268" s="873"/>
      <c r="C268" s="873"/>
      <c r="D268" s="873"/>
      <c r="E268" s="873"/>
      <c r="F268" s="873"/>
      <c r="G268" s="873"/>
      <c r="H268" s="873"/>
      <c r="I268" s="873"/>
    </row>
    <row r="269" spans="1:9">
      <c r="A269" s="873"/>
      <c r="B269" s="873"/>
      <c r="C269" s="873"/>
      <c r="D269" s="873"/>
      <c r="E269" s="873"/>
      <c r="F269" s="873"/>
      <c r="G269" s="873"/>
      <c r="H269" s="873"/>
      <c r="I269" s="873"/>
    </row>
    <row r="270" spans="1:9">
      <c r="A270" s="873"/>
      <c r="B270" s="873"/>
      <c r="C270" s="873"/>
      <c r="D270" s="873"/>
      <c r="E270" s="873"/>
      <c r="F270" s="873"/>
      <c r="G270" s="873"/>
      <c r="H270" s="873"/>
      <c r="I270" s="873"/>
    </row>
    <row r="271" spans="1:9">
      <c r="A271" s="873"/>
      <c r="B271" s="873"/>
      <c r="C271" s="873"/>
      <c r="D271" s="873"/>
      <c r="E271" s="873"/>
      <c r="F271" s="873"/>
      <c r="G271" s="873"/>
      <c r="H271" s="873"/>
      <c r="I271" s="873"/>
    </row>
    <row r="272" spans="1:9">
      <c r="A272" s="873"/>
      <c r="B272" s="873"/>
      <c r="C272" s="873"/>
      <c r="D272" s="873"/>
      <c r="E272" s="873"/>
      <c r="F272" s="873"/>
      <c r="G272" s="873"/>
      <c r="H272" s="873"/>
      <c r="I272" s="873"/>
    </row>
    <row r="273" spans="1:9">
      <c r="A273" s="873"/>
      <c r="B273" s="873"/>
      <c r="C273" s="873"/>
      <c r="D273" s="873"/>
      <c r="E273" s="873"/>
      <c r="F273" s="873"/>
      <c r="G273" s="873"/>
      <c r="H273" s="873"/>
      <c r="I273" s="873"/>
    </row>
    <row r="274" spans="1:9">
      <c r="A274" s="873"/>
      <c r="B274" s="873"/>
      <c r="C274" s="873"/>
      <c r="D274" s="873"/>
      <c r="E274" s="873"/>
      <c r="F274" s="873"/>
      <c r="G274" s="873"/>
      <c r="H274" s="873"/>
      <c r="I274" s="873"/>
    </row>
    <row r="275" spans="1:9">
      <c r="A275" s="873"/>
      <c r="B275" s="873"/>
      <c r="C275" s="873"/>
      <c r="D275" s="873"/>
      <c r="E275" s="873"/>
      <c r="F275" s="873"/>
      <c r="G275" s="873"/>
      <c r="H275" s="873"/>
      <c r="I275" s="873"/>
    </row>
    <row r="276" spans="1:9">
      <c r="A276" s="873"/>
      <c r="B276" s="873"/>
      <c r="C276" s="873"/>
      <c r="D276" s="873"/>
      <c r="E276" s="873"/>
      <c r="F276" s="873"/>
      <c r="G276" s="873"/>
      <c r="H276" s="873"/>
      <c r="I276" s="873"/>
    </row>
    <row r="277" spans="1:9">
      <c r="A277" s="873"/>
      <c r="B277" s="873"/>
      <c r="C277" s="873"/>
      <c r="D277" s="873"/>
      <c r="E277" s="873"/>
      <c r="F277" s="873"/>
      <c r="G277" s="873"/>
      <c r="H277" s="873"/>
      <c r="I277" s="873"/>
    </row>
    <row r="278" spans="1:9">
      <c r="A278" s="873"/>
      <c r="B278" s="873"/>
      <c r="C278" s="873"/>
      <c r="D278" s="873"/>
      <c r="E278" s="873"/>
      <c r="F278" s="873"/>
      <c r="G278" s="873"/>
      <c r="H278" s="873"/>
      <c r="I278" s="873"/>
    </row>
    <row r="279" spans="1:9">
      <c r="A279" s="873"/>
      <c r="B279" s="873"/>
      <c r="C279" s="873"/>
      <c r="D279" s="873"/>
      <c r="E279" s="873"/>
      <c r="F279" s="873"/>
      <c r="G279" s="873"/>
      <c r="H279" s="873"/>
      <c r="I279" s="873"/>
    </row>
    <row r="280" spans="1:9">
      <c r="A280" s="873"/>
      <c r="B280" s="873"/>
      <c r="C280" s="873"/>
      <c r="D280" s="873"/>
      <c r="E280" s="873"/>
      <c r="F280" s="873"/>
      <c r="G280" s="873"/>
      <c r="H280" s="873"/>
      <c r="I280" s="873"/>
    </row>
    <row r="281" spans="1:9">
      <c r="A281" s="873"/>
      <c r="B281" s="873"/>
      <c r="C281" s="873"/>
      <c r="D281" s="873"/>
      <c r="E281" s="873"/>
      <c r="F281" s="873"/>
      <c r="G281" s="873"/>
      <c r="H281" s="873"/>
      <c r="I281" s="873"/>
    </row>
    <row r="282" spans="1:9">
      <c r="A282" s="873"/>
      <c r="B282" s="873"/>
      <c r="C282" s="873"/>
      <c r="D282" s="873"/>
      <c r="E282" s="873"/>
      <c r="F282" s="873"/>
      <c r="G282" s="873"/>
      <c r="H282" s="873"/>
      <c r="I282" s="873"/>
    </row>
    <row r="283" spans="1:9">
      <c r="A283" s="873"/>
      <c r="B283" s="873"/>
      <c r="C283" s="873"/>
      <c r="D283" s="873"/>
      <c r="E283" s="873"/>
      <c r="F283" s="873"/>
      <c r="G283" s="873"/>
      <c r="H283" s="873"/>
      <c r="I283" s="873"/>
    </row>
    <row r="284" spans="1:9">
      <c r="A284" s="873"/>
      <c r="B284" s="873"/>
      <c r="C284" s="873"/>
      <c r="D284" s="873"/>
      <c r="E284" s="873"/>
      <c r="F284" s="873"/>
      <c r="G284" s="873"/>
      <c r="H284" s="873"/>
      <c r="I284" s="873"/>
    </row>
    <row r="285" spans="1:9">
      <c r="A285" s="873"/>
      <c r="B285" s="873"/>
      <c r="C285" s="873"/>
      <c r="D285" s="873"/>
      <c r="E285" s="873"/>
      <c r="F285" s="873"/>
      <c r="G285" s="873"/>
      <c r="H285" s="873"/>
      <c r="I285" s="873"/>
    </row>
    <row r="286" spans="1:9">
      <c r="A286" s="873"/>
      <c r="B286" s="873"/>
      <c r="C286" s="873"/>
      <c r="D286" s="873"/>
      <c r="E286" s="873"/>
      <c r="F286" s="873"/>
      <c r="G286" s="873"/>
      <c r="H286" s="873"/>
      <c r="I286" s="873"/>
    </row>
    <row r="287" spans="1:9">
      <c r="A287" s="873"/>
      <c r="B287" s="873"/>
      <c r="C287" s="873"/>
      <c r="D287" s="873"/>
      <c r="E287" s="873"/>
      <c r="F287" s="873"/>
      <c r="G287" s="873"/>
      <c r="H287" s="873"/>
      <c r="I287" s="873"/>
    </row>
    <row r="288" spans="1:9">
      <c r="A288" s="873"/>
      <c r="B288" s="873"/>
      <c r="C288" s="873"/>
      <c r="D288" s="873"/>
      <c r="E288" s="873"/>
      <c r="F288" s="873"/>
      <c r="G288" s="873"/>
      <c r="H288" s="873"/>
      <c r="I288" s="873"/>
    </row>
    <row r="289" spans="1:9">
      <c r="A289" s="873"/>
      <c r="B289" s="873"/>
      <c r="C289" s="873"/>
      <c r="D289" s="873"/>
      <c r="E289" s="873"/>
      <c r="F289" s="873"/>
      <c r="G289" s="873"/>
      <c r="H289" s="873"/>
      <c r="I289" s="873"/>
    </row>
    <row r="290" spans="1:9">
      <c r="A290" s="873"/>
      <c r="B290" s="873"/>
      <c r="C290" s="873"/>
      <c r="D290" s="873"/>
      <c r="E290" s="873"/>
      <c r="F290" s="873"/>
      <c r="G290" s="873"/>
      <c r="H290" s="873"/>
      <c r="I290" s="873"/>
    </row>
    <row r="291" spans="1:9">
      <c r="A291" s="873"/>
      <c r="B291" s="873"/>
      <c r="C291" s="873"/>
      <c r="D291" s="873"/>
      <c r="E291" s="873"/>
      <c r="F291" s="873"/>
      <c r="G291" s="873"/>
      <c r="H291" s="873"/>
      <c r="I291" s="873"/>
    </row>
    <row r="292" spans="1:9">
      <c r="A292" s="873"/>
      <c r="B292" s="873"/>
      <c r="C292" s="873"/>
      <c r="D292" s="873"/>
      <c r="E292" s="873"/>
      <c r="F292" s="873"/>
      <c r="G292" s="873"/>
      <c r="H292" s="873"/>
      <c r="I292" s="873"/>
    </row>
    <row r="293" spans="1:9">
      <c r="A293" s="873"/>
      <c r="B293" s="873"/>
      <c r="C293" s="873"/>
      <c r="D293" s="873"/>
      <c r="E293" s="873"/>
      <c r="F293" s="873"/>
      <c r="G293" s="873"/>
      <c r="H293" s="873"/>
      <c r="I293" s="873"/>
    </row>
    <row r="294" spans="1:9">
      <c r="A294" s="873"/>
      <c r="B294" s="873"/>
      <c r="C294" s="873"/>
      <c r="D294" s="873"/>
      <c r="E294" s="873"/>
      <c r="F294" s="873"/>
      <c r="G294" s="873"/>
      <c r="H294" s="873"/>
      <c r="I294" s="873"/>
    </row>
    <row r="295" spans="1:9">
      <c r="A295" s="873"/>
      <c r="B295" s="873"/>
      <c r="C295" s="873"/>
      <c r="D295" s="873"/>
      <c r="E295" s="873"/>
      <c r="F295" s="873"/>
      <c r="G295" s="873"/>
      <c r="H295" s="873"/>
      <c r="I295" s="873"/>
    </row>
    <row r="296" spans="1:9">
      <c r="A296" s="873"/>
      <c r="B296" s="873"/>
      <c r="C296" s="873"/>
      <c r="D296" s="873"/>
      <c r="E296" s="873"/>
      <c r="F296" s="873"/>
      <c r="G296" s="873"/>
      <c r="H296" s="873"/>
      <c r="I296" s="873"/>
    </row>
    <row r="297" spans="1:9">
      <c r="A297" s="873"/>
      <c r="B297" s="873"/>
      <c r="C297" s="873"/>
      <c r="D297" s="873"/>
      <c r="E297" s="873"/>
      <c r="F297" s="873"/>
      <c r="G297" s="873"/>
      <c r="H297" s="873"/>
      <c r="I297" s="873"/>
    </row>
    <row r="298" spans="1:9">
      <c r="A298" s="873"/>
      <c r="B298" s="873"/>
      <c r="C298" s="873"/>
      <c r="D298" s="873"/>
      <c r="E298" s="873"/>
      <c r="F298" s="873"/>
      <c r="G298" s="873"/>
      <c r="H298" s="873"/>
      <c r="I298" s="873"/>
    </row>
    <row r="299" spans="1:9">
      <c r="A299" s="873"/>
      <c r="B299" s="873"/>
      <c r="C299" s="873"/>
      <c r="D299" s="873"/>
      <c r="E299" s="873"/>
      <c r="F299" s="873"/>
      <c r="G299" s="873"/>
      <c r="H299" s="873"/>
      <c r="I299" s="873"/>
    </row>
    <row r="300" spans="1:9">
      <c r="A300" s="873"/>
      <c r="B300" s="873"/>
      <c r="C300" s="873"/>
      <c r="D300" s="873"/>
      <c r="E300" s="873"/>
      <c r="F300" s="873"/>
      <c r="G300" s="873"/>
      <c r="H300" s="873"/>
      <c r="I300" s="873"/>
    </row>
    <row r="301" spans="1:9">
      <c r="A301" s="873"/>
      <c r="B301" s="873"/>
      <c r="C301" s="873"/>
      <c r="D301" s="873"/>
      <c r="E301" s="873"/>
      <c r="F301" s="873"/>
      <c r="G301" s="873"/>
      <c r="H301" s="873"/>
      <c r="I301" s="873"/>
    </row>
    <row r="302" spans="1:9">
      <c r="A302" s="873"/>
      <c r="B302" s="873"/>
      <c r="C302" s="873"/>
      <c r="D302" s="873"/>
      <c r="E302" s="873"/>
      <c r="F302" s="873"/>
      <c r="G302" s="873"/>
      <c r="H302" s="873"/>
      <c r="I302" s="873"/>
    </row>
    <row r="303" spans="1:9">
      <c r="A303" s="873"/>
      <c r="B303" s="873"/>
      <c r="C303" s="873"/>
      <c r="D303" s="873"/>
      <c r="E303" s="873"/>
      <c r="F303" s="873"/>
      <c r="G303" s="873"/>
      <c r="H303" s="873"/>
      <c r="I303" s="873"/>
    </row>
    <row r="304" spans="1:9">
      <c r="A304" s="873"/>
      <c r="B304" s="873"/>
      <c r="C304" s="873"/>
      <c r="D304" s="873"/>
      <c r="E304" s="873"/>
      <c r="F304" s="873"/>
      <c r="G304" s="873"/>
      <c r="H304" s="873"/>
      <c r="I304" s="873"/>
    </row>
    <row r="305" spans="1:9">
      <c r="A305" s="873"/>
      <c r="B305" s="873"/>
      <c r="C305" s="873"/>
      <c r="D305" s="873"/>
      <c r="E305" s="873"/>
      <c r="F305" s="873"/>
      <c r="G305" s="873"/>
      <c r="H305" s="873"/>
      <c r="I305" s="873"/>
    </row>
    <row r="306" spans="1:9">
      <c r="A306" s="873"/>
      <c r="B306" s="873"/>
      <c r="C306" s="873"/>
      <c r="D306" s="873"/>
      <c r="E306" s="873"/>
      <c r="F306" s="873"/>
      <c r="G306" s="873"/>
      <c r="H306" s="873"/>
      <c r="I306" s="873"/>
    </row>
    <row r="307" spans="1:9">
      <c r="A307" s="873"/>
      <c r="B307" s="873"/>
      <c r="C307" s="873"/>
      <c r="D307" s="873"/>
      <c r="E307" s="873"/>
      <c r="F307" s="873"/>
      <c r="G307" s="873"/>
      <c r="H307" s="873"/>
      <c r="I307" s="873"/>
    </row>
    <row r="308" spans="1:9">
      <c r="A308" s="873"/>
      <c r="B308" s="873"/>
      <c r="C308" s="873"/>
      <c r="D308" s="873"/>
      <c r="E308" s="873"/>
      <c r="F308" s="873"/>
      <c r="G308" s="873"/>
      <c r="H308" s="873"/>
      <c r="I308" s="873"/>
    </row>
    <row r="309" spans="1:9">
      <c r="A309" s="873"/>
      <c r="B309" s="873"/>
      <c r="C309" s="873"/>
      <c r="D309" s="873"/>
      <c r="E309" s="873"/>
      <c r="F309" s="873"/>
      <c r="G309" s="873"/>
      <c r="H309" s="873"/>
      <c r="I309" s="873"/>
    </row>
    <row r="310" spans="1:9">
      <c r="A310" s="873"/>
      <c r="B310" s="873"/>
      <c r="C310" s="873"/>
      <c r="D310" s="873"/>
      <c r="E310" s="873"/>
      <c r="F310" s="873"/>
      <c r="G310" s="873"/>
      <c r="H310" s="873"/>
      <c r="I310" s="873"/>
    </row>
    <row r="311" spans="1:9">
      <c r="A311" s="873"/>
      <c r="B311" s="873"/>
      <c r="C311" s="873"/>
      <c r="D311" s="873"/>
      <c r="E311" s="873"/>
      <c r="F311" s="873"/>
      <c r="G311" s="873"/>
      <c r="H311" s="873"/>
      <c r="I311" s="873"/>
    </row>
    <row r="312" spans="1:9">
      <c r="A312" s="873"/>
      <c r="B312" s="873"/>
      <c r="C312" s="873"/>
      <c r="D312" s="873"/>
      <c r="E312" s="873"/>
      <c r="F312" s="873"/>
      <c r="G312" s="873"/>
      <c r="H312" s="873"/>
      <c r="I312" s="873"/>
    </row>
    <row r="313" spans="1:9">
      <c r="A313" s="873"/>
      <c r="B313" s="873"/>
      <c r="C313" s="873"/>
      <c r="D313" s="873"/>
      <c r="E313" s="873"/>
      <c r="F313" s="873"/>
      <c r="G313" s="873"/>
      <c r="H313" s="873"/>
      <c r="I313" s="873"/>
    </row>
    <row r="314" spans="1:9">
      <c r="A314" s="873"/>
      <c r="B314" s="873"/>
      <c r="C314" s="873"/>
      <c r="D314" s="873"/>
      <c r="E314" s="873"/>
      <c r="F314" s="873"/>
      <c r="G314" s="873"/>
      <c r="H314" s="873"/>
      <c r="I314" s="873"/>
    </row>
    <row r="315" spans="1:9">
      <c r="A315" s="873"/>
      <c r="B315" s="873"/>
      <c r="C315" s="873"/>
      <c r="D315" s="873"/>
      <c r="E315" s="873"/>
      <c r="F315" s="873"/>
      <c r="G315" s="873"/>
      <c r="H315" s="873"/>
      <c r="I315" s="873"/>
    </row>
    <row r="316" spans="1:9">
      <c r="A316" s="873"/>
      <c r="B316" s="873"/>
      <c r="C316" s="873"/>
      <c r="D316" s="873"/>
      <c r="E316" s="873"/>
      <c r="F316" s="873"/>
      <c r="G316" s="873"/>
      <c r="H316" s="873"/>
      <c r="I316" s="873"/>
    </row>
    <row r="317" spans="1:9">
      <c r="A317" s="873"/>
      <c r="B317" s="873"/>
      <c r="C317" s="873"/>
      <c r="D317" s="873"/>
      <c r="E317" s="873"/>
      <c r="F317" s="873"/>
      <c r="G317" s="873"/>
      <c r="H317" s="873"/>
      <c r="I317" s="873"/>
    </row>
    <row r="318" spans="1:9">
      <c r="A318" s="873"/>
      <c r="B318" s="873"/>
      <c r="C318" s="873"/>
      <c r="D318" s="873"/>
      <c r="E318" s="873"/>
      <c r="F318" s="873"/>
      <c r="G318" s="873"/>
      <c r="H318" s="873"/>
      <c r="I318" s="873"/>
    </row>
    <row r="319" spans="1:9">
      <c r="A319" s="873"/>
      <c r="B319" s="873"/>
      <c r="C319" s="873"/>
      <c r="D319" s="873"/>
      <c r="E319" s="873"/>
      <c r="F319" s="873"/>
      <c r="G319" s="873"/>
      <c r="H319" s="873"/>
      <c r="I319" s="873"/>
    </row>
    <row r="320" spans="1:9">
      <c r="A320" s="873"/>
      <c r="B320" s="873"/>
      <c r="C320" s="873"/>
      <c r="D320" s="873"/>
      <c r="E320" s="873"/>
      <c r="F320" s="873"/>
      <c r="G320" s="873"/>
      <c r="H320" s="873"/>
      <c r="I320" s="873"/>
    </row>
    <row r="321" spans="1:9">
      <c r="A321" s="873"/>
      <c r="B321" s="873"/>
      <c r="C321" s="873"/>
      <c r="D321" s="873"/>
      <c r="E321" s="873"/>
      <c r="F321" s="873"/>
      <c r="G321" s="873"/>
      <c r="H321" s="873"/>
      <c r="I321" s="873"/>
    </row>
    <row r="322" spans="1:9">
      <c r="A322" s="873"/>
      <c r="B322" s="873"/>
      <c r="C322" s="873"/>
      <c r="D322" s="873"/>
      <c r="E322" s="873"/>
      <c r="F322" s="873"/>
      <c r="G322" s="873"/>
      <c r="H322" s="873"/>
      <c r="I322" s="873"/>
    </row>
    <row r="323" spans="1:9">
      <c r="A323" s="873"/>
      <c r="B323" s="873"/>
      <c r="C323" s="873"/>
      <c r="D323" s="873"/>
      <c r="E323" s="873"/>
      <c r="F323" s="873"/>
      <c r="G323" s="873"/>
      <c r="H323" s="873"/>
      <c r="I323" s="873"/>
    </row>
    <row r="324" spans="1:9">
      <c r="A324" s="873"/>
      <c r="B324" s="873"/>
      <c r="C324" s="873"/>
      <c r="D324" s="873"/>
      <c r="E324" s="873"/>
      <c r="F324" s="873"/>
      <c r="G324" s="873"/>
      <c r="H324" s="873"/>
      <c r="I324" s="873"/>
    </row>
    <row r="325" spans="1:9">
      <c r="A325" s="873"/>
      <c r="B325" s="873"/>
      <c r="C325" s="873"/>
      <c r="D325" s="873"/>
      <c r="E325" s="873"/>
      <c r="F325" s="873"/>
      <c r="G325" s="873"/>
      <c r="H325" s="873"/>
      <c r="I325" s="873"/>
    </row>
    <row r="326" spans="1:9">
      <c r="A326" s="873"/>
      <c r="B326" s="873"/>
      <c r="C326" s="873"/>
      <c r="D326" s="873"/>
      <c r="E326" s="873"/>
      <c r="F326" s="873"/>
      <c r="G326" s="873"/>
      <c r="H326" s="873"/>
      <c r="I326" s="873"/>
    </row>
    <row r="327" spans="1:9">
      <c r="A327" s="873"/>
      <c r="B327" s="873"/>
      <c r="C327" s="873"/>
      <c r="D327" s="873"/>
      <c r="E327" s="873"/>
      <c r="F327" s="873"/>
      <c r="G327" s="873"/>
      <c r="H327" s="873"/>
      <c r="I327" s="873"/>
    </row>
    <row r="328" spans="1:9">
      <c r="A328" s="873"/>
      <c r="B328" s="873"/>
      <c r="C328" s="873"/>
      <c r="D328" s="873"/>
      <c r="E328" s="873"/>
      <c r="F328" s="873"/>
      <c r="G328" s="873"/>
      <c r="H328" s="873"/>
      <c r="I328" s="873"/>
    </row>
    <row r="329" spans="1:9">
      <c r="A329" s="873"/>
      <c r="B329" s="873"/>
      <c r="C329" s="873"/>
      <c r="D329" s="873"/>
      <c r="E329" s="873"/>
      <c r="F329" s="873"/>
      <c r="G329" s="873"/>
      <c r="H329" s="873"/>
      <c r="I329" s="873"/>
    </row>
    <row r="330" spans="1:9">
      <c r="A330" s="873"/>
      <c r="B330" s="873"/>
      <c r="C330" s="873"/>
      <c r="D330" s="873"/>
      <c r="E330" s="873"/>
      <c r="F330" s="873"/>
      <c r="G330" s="873"/>
      <c r="H330" s="873"/>
      <c r="I330" s="873"/>
    </row>
    <row r="331" spans="1:9">
      <c r="A331" s="873"/>
      <c r="B331" s="873"/>
      <c r="C331" s="873"/>
      <c r="D331" s="873"/>
      <c r="E331" s="873"/>
      <c r="F331" s="873"/>
      <c r="G331" s="873"/>
      <c r="H331" s="873"/>
      <c r="I331" s="873"/>
    </row>
    <row r="332" spans="1:9">
      <c r="A332" s="873"/>
      <c r="B332" s="873"/>
      <c r="C332" s="873"/>
      <c r="D332" s="873"/>
      <c r="E332" s="873"/>
      <c r="F332" s="873"/>
      <c r="G332" s="873"/>
      <c r="H332" s="873"/>
      <c r="I332" s="873"/>
    </row>
    <row r="333" spans="1:9">
      <c r="A333" s="873"/>
      <c r="B333" s="873"/>
      <c r="C333" s="873"/>
      <c r="D333" s="873"/>
      <c r="E333" s="873"/>
      <c r="F333" s="873"/>
      <c r="G333" s="873"/>
      <c r="H333" s="873"/>
      <c r="I333" s="873"/>
    </row>
    <row r="334" spans="1:9">
      <c r="A334" s="873"/>
      <c r="B334" s="873"/>
      <c r="C334" s="873"/>
      <c r="D334" s="873"/>
      <c r="E334" s="873"/>
      <c r="F334" s="873"/>
      <c r="G334" s="873"/>
      <c r="H334" s="873"/>
      <c r="I334" s="873"/>
    </row>
    <row r="335" spans="1:9">
      <c r="A335" s="873"/>
      <c r="B335" s="873"/>
      <c r="C335" s="873"/>
      <c r="D335" s="873"/>
      <c r="E335" s="873"/>
      <c r="F335" s="873"/>
      <c r="G335" s="873"/>
      <c r="H335" s="873"/>
      <c r="I335" s="873"/>
    </row>
    <row r="336" spans="1:9">
      <c r="A336" s="873"/>
      <c r="B336" s="873"/>
      <c r="C336" s="873"/>
      <c r="D336" s="873"/>
      <c r="E336" s="873"/>
      <c r="F336" s="873"/>
      <c r="G336" s="873"/>
      <c r="H336" s="873"/>
      <c r="I336" s="873"/>
    </row>
    <row r="337" spans="1:9">
      <c r="A337" s="873"/>
      <c r="B337" s="873"/>
      <c r="C337" s="873"/>
      <c r="D337" s="873"/>
      <c r="E337" s="873"/>
      <c r="F337" s="873"/>
      <c r="G337" s="873"/>
      <c r="H337" s="873"/>
      <c r="I337" s="873"/>
    </row>
    <row r="338" spans="1:9">
      <c r="A338" s="873"/>
      <c r="B338" s="873"/>
      <c r="C338" s="873"/>
      <c r="D338" s="873"/>
      <c r="E338" s="873"/>
      <c r="F338" s="873"/>
      <c r="G338" s="873"/>
      <c r="H338" s="873"/>
      <c r="I338" s="873"/>
    </row>
    <row r="339" spans="1:9">
      <c r="A339" s="873"/>
      <c r="B339" s="873"/>
      <c r="C339" s="873"/>
      <c r="D339" s="873"/>
      <c r="E339" s="873"/>
      <c r="F339" s="873"/>
      <c r="G339" s="873"/>
      <c r="H339" s="873"/>
      <c r="I339" s="873"/>
    </row>
    <row r="340" spans="1:9">
      <c r="A340" s="873"/>
      <c r="B340" s="873"/>
      <c r="C340" s="873"/>
      <c r="D340" s="873"/>
      <c r="E340" s="873"/>
      <c r="F340" s="873"/>
      <c r="G340" s="873"/>
      <c r="H340" s="873"/>
      <c r="I340" s="873"/>
    </row>
    <row r="341" spans="1:9">
      <c r="A341" s="873"/>
      <c r="B341" s="873"/>
      <c r="C341" s="873"/>
      <c r="D341" s="873"/>
      <c r="E341" s="873"/>
      <c r="F341" s="873"/>
      <c r="G341" s="873"/>
      <c r="H341" s="873"/>
      <c r="I341" s="873"/>
    </row>
    <row r="342" spans="1:9">
      <c r="A342" s="873"/>
      <c r="B342" s="873"/>
      <c r="C342" s="873"/>
      <c r="D342" s="873"/>
      <c r="E342" s="873"/>
      <c r="F342" s="873"/>
      <c r="G342" s="873"/>
      <c r="H342" s="873"/>
      <c r="I342" s="873"/>
    </row>
  </sheetData>
  <mergeCells count="2">
    <mergeCell ref="A1:H1"/>
    <mergeCell ref="E10:I10"/>
  </mergeCells>
  <pageMargins left="0.7" right="0.7" top="0.75" bottom="0.75" header="0.3" footer="0.3"/>
  <pageSetup paperSize="9" scale="63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25"/>
  <sheetViews>
    <sheetView showGridLines="0" workbookViewId="0"/>
  </sheetViews>
  <sheetFormatPr defaultRowHeight="12.75"/>
  <cols>
    <col min="1" max="1" width="13.5703125" style="96" customWidth="1"/>
    <col min="2" max="16384" width="9.140625" style="96"/>
  </cols>
  <sheetData>
    <row r="1" spans="1:18">
      <c r="A1" s="153" t="s">
        <v>102</v>
      </c>
    </row>
    <row r="2" spans="1:18">
      <c r="B2" s="100">
        <v>2015</v>
      </c>
      <c r="C2" s="100">
        <v>2016</v>
      </c>
      <c r="D2" s="100">
        <v>2017</v>
      </c>
      <c r="E2" s="100">
        <v>2018</v>
      </c>
      <c r="F2" s="100">
        <v>2019</v>
      </c>
      <c r="G2" s="100">
        <v>2020</v>
      </c>
      <c r="J2" s="101" t="s">
        <v>217</v>
      </c>
      <c r="R2" s="101" t="s">
        <v>218</v>
      </c>
    </row>
    <row r="3" spans="1:18">
      <c r="A3" s="130" t="s">
        <v>181</v>
      </c>
      <c r="B3" s="131">
        <v>-2.7</v>
      </c>
      <c r="C3" s="131">
        <v>-2.2000000000000002</v>
      </c>
      <c r="D3" s="131">
        <v>-1.6</v>
      </c>
      <c r="E3" s="131">
        <v>-1</v>
      </c>
      <c r="F3" s="131">
        <v>-0.2</v>
      </c>
      <c r="G3" s="131"/>
    </row>
    <row r="4" spans="1:18">
      <c r="A4" s="96" t="s">
        <v>138</v>
      </c>
      <c r="B4" s="234">
        <v>-2.7445806862164637</v>
      </c>
      <c r="C4" s="234">
        <v>-2.1911520941153646</v>
      </c>
      <c r="D4" s="234">
        <v>-1.63</v>
      </c>
      <c r="E4" s="234">
        <v>-0.82999969762914805</v>
      </c>
      <c r="F4" s="234">
        <v>-0.32484167369140921</v>
      </c>
      <c r="G4" s="234">
        <v>-0.2703050705834002</v>
      </c>
    </row>
    <row r="5" spans="1:18">
      <c r="A5" s="96" t="s">
        <v>10</v>
      </c>
      <c r="B5" s="131">
        <v>-2.7445933950208534</v>
      </c>
      <c r="C5" s="131">
        <v>-2.1858610244206171</v>
      </c>
      <c r="D5" s="131">
        <v>-1.687772267337899</v>
      </c>
      <c r="E5" s="131">
        <v>-1.3925214591756849</v>
      </c>
      <c r="F5" s="131">
        <v>-0.88055647592162545</v>
      </c>
      <c r="G5" s="131">
        <v>-0.78101214843980349</v>
      </c>
    </row>
    <row r="6" spans="1:18" ht="15" customHeight="1">
      <c r="A6" s="130" t="s">
        <v>137</v>
      </c>
      <c r="B6" s="131">
        <v>-2.7445806862</v>
      </c>
      <c r="C6" s="131">
        <v>-1.6817818284999999</v>
      </c>
      <c r="D6" s="131">
        <v>-1.2325994768999999</v>
      </c>
      <c r="E6" s="131">
        <v>-0.55941843859999996</v>
      </c>
      <c r="F6" s="130"/>
      <c r="G6" s="130"/>
    </row>
    <row r="7" spans="1:18">
      <c r="A7" s="130" t="s">
        <v>136</v>
      </c>
      <c r="B7" s="208">
        <v>-2.7450000000000001</v>
      </c>
      <c r="C7" s="208">
        <v>-1.6819999999999999</v>
      </c>
      <c r="D7" s="208">
        <v>-1.1890000000000001</v>
      </c>
      <c r="E7" s="208">
        <v>-0.74399999999999999</v>
      </c>
      <c r="F7" s="208">
        <v>-6.6000000000000003E-2</v>
      </c>
      <c r="G7" s="131"/>
    </row>
    <row r="10" spans="1:18">
      <c r="A10" s="152" t="s">
        <v>62</v>
      </c>
      <c r="Q10" s="101"/>
    </row>
    <row r="11" spans="1:18">
      <c r="A11" s="152"/>
      <c r="B11" s="100">
        <v>2015</v>
      </c>
      <c r="C11" s="100">
        <v>2016</v>
      </c>
      <c r="D11" s="100">
        <v>2017</v>
      </c>
      <c r="E11" s="100">
        <v>2018</v>
      </c>
      <c r="F11" s="100">
        <v>2019</v>
      </c>
      <c r="G11" s="100">
        <v>2020</v>
      </c>
    </row>
    <row r="12" spans="1:18">
      <c r="A12" s="130" t="s">
        <v>181</v>
      </c>
      <c r="B12" s="131">
        <v>-2.2999999999999998</v>
      </c>
      <c r="C12" s="131">
        <v>-2</v>
      </c>
      <c r="D12" s="131">
        <v>-1.6</v>
      </c>
      <c r="E12" s="131">
        <v>-1.2</v>
      </c>
      <c r="F12" s="131">
        <v>-0.6</v>
      </c>
      <c r="G12" s="131"/>
      <c r="H12" s="131"/>
    </row>
    <row r="13" spans="1:18">
      <c r="A13" s="96" t="s">
        <v>138</v>
      </c>
      <c r="B13" s="102">
        <v>-2.4474453061036785</v>
      </c>
      <c r="C13" s="102">
        <v>-2.0651216795301686</v>
      </c>
      <c r="D13" s="102">
        <v>-1.6864954172610547</v>
      </c>
      <c r="E13" s="102">
        <v>-1.1308129031222216</v>
      </c>
      <c r="F13" s="102">
        <v>-0.63012461205133019</v>
      </c>
      <c r="G13" s="102">
        <v>-0.52742428767737259</v>
      </c>
      <c r="H13" s="102"/>
    </row>
    <row r="14" spans="1:18">
      <c r="A14" s="96" t="s">
        <v>10</v>
      </c>
      <c r="B14" s="131">
        <v>-2.5709074547434563</v>
      </c>
      <c r="C14" s="131">
        <v>-1.8711457688441595</v>
      </c>
      <c r="D14" s="131">
        <v>-1.5770362476280306</v>
      </c>
      <c r="E14" s="131">
        <v>-1.5732746792138459</v>
      </c>
      <c r="F14" s="131">
        <v>-0.99959209300981988</v>
      </c>
      <c r="G14" s="131">
        <v>-0.92570535426080436</v>
      </c>
      <c r="H14" s="102"/>
    </row>
    <row r="15" spans="1:18">
      <c r="A15" s="130" t="s">
        <v>137</v>
      </c>
      <c r="B15" s="131">
        <v>-2.5296261270000002</v>
      </c>
      <c r="C15" s="131">
        <v>-1.6149999631999998</v>
      </c>
      <c r="D15" s="131">
        <v>-1.1220603157</v>
      </c>
      <c r="E15" s="131">
        <v>-0.56588611580000003</v>
      </c>
      <c r="F15" s="130"/>
      <c r="G15" s="130"/>
      <c r="H15" s="102"/>
    </row>
    <row r="16" spans="1:18">
      <c r="A16" s="130" t="s">
        <v>136</v>
      </c>
      <c r="B16" s="209">
        <v>-2.7229999999999999</v>
      </c>
      <c r="C16" s="209">
        <v>-1.5620000000000001</v>
      </c>
      <c r="D16" s="209">
        <v>-1.1910000000000001</v>
      </c>
      <c r="E16" s="209">
        <v>-0.71099999999999997</v>
      </c>
      <c r="F16" s="209">
        <v>6.3E-2</v>
      </c>
      <c r="G16" s="209">
        <v>-3.0000000000000001E-3</v>
      </c>
      <c r="H16" s="207"/>
      <c r="I16" s="207"/>
    </row>
    <row r="18" spans="1:9">
      <c r="A18" s="104"/>
      <c r="B18" s="117"/>
    </row>
    <row r="19" spans="1:9">
      <c r="A19" s="210"/>
      <c r="B19" s="103"/>
      <c r="C19" s="129"/>
      <c r="D19" s="129"/>
      <c r="E19" s="129"/>
      <c r="F19" s="129"/>
      <c r="G19" s="129"/>
      <c r="H19" s="129"/>
    </row>
    <row r="20" spans="1:9">
      <c r="A20" s="290"/>
      <c r="B20" s="316"/>
      <c r="C20" s="317"/>
      <c r="D20" s="125"/>
      <c r="E20" s="125"/>
      <c r="F20" s="125"/>
      <c r="G20" s="125"/>
      <c r="H20" s="125"/>
      <c r="I20" s="125"/>
    </row>
    <row r="21" spans="1:9" ht="13.5">
      <c r="A21" s="211"/>
      <c r="B21" s="316"/>
      <c r="C21" s="318"/>
      <c r="D21" s="126"/>
      <c r="E21" s="126"/>
      <c r="F21" s="126"/>
      <c r="G21" s="126"/>
      <c r="H21" s="126"/>
      <c r="I21" s="126"/>
    </row>
    <row r="22" spans="1:9" ht="15">
      <c r="A22" s="289"/>
      <c r="B22" s="316"/>
      <c r="C22" s="319"/>
      <c r="D22" s="128"/>
      <c r="E22" s="128"/>
      <c r="F22" s="128"/>
      <c r="G22" s="128"/>
      <c r="H22" s="128"/>
      <c r="I22" s="127"/>
    </row>
    <row r="23" spans="1:9" ht="15">
      <c r="A23" s="289"/>
      <c r="B23" s="103"/>
      <c r="C23" s="128"/>
      <c r="D23" s="128"/>
      <c r="E23" s="128"/>
      <c r="F23" s="128"/>
      <c r="G23" s="128"/>
      <c r="H23" s="128"/>
      <c r="I23" s="127"/>
    </row>
    <row r="24" spans="1:9">
      <c r="A24" s="212"/>
      <c r="B24" s="129"/>
      <c r="C24" s="129"/>
      <c r="D24" s="129"/>
      <c r="E24" s="129"/>
      <c r="F24" s="129"/>
      <c r="G24" s="129"/>
      <c r="H24" s="129"/>
      <c r="I24" s="129"/>
    </row>
    <row r="25" spans="1:9">
      <c r="B25" s="129"/>
      <c r="C25" s="129"/>
      <c r="D25" s="129"/>
    </row>
  </sheetData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8"/>
  <sheetViews>
    <sheetView showGridLines="0" workbookViewId="0"/>
  </sheetViews>
  <sheetFormatPr defaultRowHeight="12.75"/>
  <cols>
    <col min="1" max="1" width="31.5703125" style="6" bestFit="1" customWidth="1"/>
    <col min="2" max="16384" width="9.140625" style="6"/>
  </cols>
  <sheetData>
    <row r="1" spans="1:23">
      <c r="A1" s="320"/>
      <c r="B1" s="32">
        <v>1999</v>
      </c>
      <c r="C1" s="32">
        <v>2000</v>
      </c>
      <c r="D1" s="32">
        <v>2001</v>
      </c>
      <c r="E1" s="32">
        <v>2002</v>
      </c>
      <c r="F1" s="32">
        <v>2003</v>
      </c>
      <c r="G1" s="32">
        <v>2004</v>
      </c>
      <c r="H1" s="32">
        <v>2005</v>
      </c>
      <c r="I1" s="32">
        <v>2006</v>
      </c>
      <c r="J1" s="32">
        <v>2007</v>
      </c>
      <c r="K1" s="32">
        <v>2008</v>
      </c>
      <c r="L1" s="32">
        <v>2009</v>
      </c>
      <c r="M1" s="32">
        <v>2010</v>
      </c>
      <c r="N1" s="32">
        <v>2011</v>
      </c>
      <c r="O1" s="32">
        <v>2012</v>
      </c>
      <c r="P1" s="32">
        <v>2013</v>
      </c>
      <c r="Q1" s="32">
        <v>2014</v>
      </c>
      <c r="R1" s="32">
        <v>2015</v>
      </c>
      <c r="S1" s="32">
        <v>2016</v>
      </c>
      <c r="T1" s="32">
        <v>2017</v>
      </c>
      <c r="U1" s="32">
        <v>2018</v>
      </c>
      <c r="V1" s="32">
        <v>2019</v>
      </c>
      <c r="W1" s="32">
        <v>2020</v>
      </c>
    </row>
    <row r="2" spans="1:23">
      <c r="A2" s="320" t="s">
        <v>180</v>
      </c>
      <c r="B2" s="321">
        <v>-7.2762661139151783</v>
      </c>
      <c r="C2" s="321">
        <v>-12.023561319624777</v>
      </c>
      <c r="D2" s="321">
        <v>-6.4012246703076388</v>
      </c>
      <c r="E2" s="321">
        <v>-8.0880171112313182</v>
      </c>
      <c r="F2" s="321">
        <v>-2.7030978825266248</v>
      </c>
      <c r="G2" s="321">
        <v>-2.3083834077773604</v>
      </c>
      <c r="H2" s="321">
        <v>-2.8832636068580419</v>
      </c>
      <c r="I2" s="321">
        <v>-3.5919756617837155</v>
      </c>
      <c r="J2" s="321">
        <v>-1.9488094325421548</v>
      </c>
      <c r="K2" s="321">
        <v>-2.4277421488464328</v>
      </c>
      <c r="L2" s="321">
        <v>-7.8042191703392616</v>
      </c>
      <c r="M2" s="321">
        <v>-7.4849112027105908</v>
      </c>
      <c r="N2" s="321">
        <v>-4.2769638130236007</v>
      </c>
      <c r="O2" s="321">
        <v>-4.3449069648120027</v>
      </c>
      <c r="P2" s="321">
        <v>-2.7199722992649584</v>
      </c>
      <c r="Q2" s="321">
        <v>-2.7073055602310037</v>
      </c>
      <c r="R2" s="321">
        <v>-2.7445933950208534</v>
      </c>
      <c r="S2" s="321">
        <v>-2.1858610244206171</v>
      </c>
      <c r="T2" s="321">
        <v>-1.687772267337899</v>
      </c>
      <c r="U2" s="321">
        <v>-1.3925214591756849</v>
      </c>
      <c r="V2" s="321">
        <v>-0.88055647592162545</v>
      </c>
      <c r="W2" s="321">
        <v>-0.78101214843980349</v>
      </c>
    </row>
    <row r="3" spans="1:23">
      <c r="A3" s="320" t="s">
        <v>156</v>
      </c>
      <c r="B3" s="321">
        <v>0.26835129773151156</v>
      </c>
      <c r="C3" s="321">
        <v>0.26376010257740184</v>
      </c>
      <c r="D3" s="321">
        <v>0.49589969277740531</v>
      </c>
      <c r="E3" s="321">
        <v>0.17705861003046247</v>
      </c>
      <c r="F3" s="321">
        <v>0.35994026439070331</v>
      </c>
      <c r="G3" s="321">
        <v>0.60526161058867933</v>
      </c>
      <c r="H3" s="321">
        <v>5.4589262618664459E-2</v>
      </c>
      <c r="I3" s="321">
        <v>-0.16664009576861266</v>
      </c>
      <c r="J3" s="321">
        <v>-1.0236385887856303</v>
      </c>
      <c r="K3" s="321">
        <v>-1.080396374825523</v>
      </c>
      <c r="L3" s="321">
        <v>-0.27584801116293822</v>
      </c>
      <c r="M3" s="321">
        <v>-0.1547117141313068</v>
      </c>
      <c r="N3" s="321">
        <v>-0.1358104331678856</v>
      </c>
      <c r="O3" s="321">
        <v>9.6488571454748442E-2</v>
      </c>
      <c r="P3" s="321">
        <v>0.47261527455885327</v>
      </c>
      <c r="Q3" s="321">
        <v>0.3550254088635898</v>
      </c>
      <c r="R3" s="321">
        <v>0.17124447276023774</v>
      </c>
      <c r="S3" s="321">
        <v>0.1331313567826525</v>
      </c>
      <c r="T3" s="321">
        <v>-3.1708327427997078E-3</v>
      </c>
      <c r="U3" s="321">
        <v>-0.11475085000777577</v>
      </c>
      <c r="V3" s="321">
        <v>-0.12509689019221648</v>
      </c>
      <c r="W3" s="321">
        <v>-0.15040964175948707</v>
      </c>
    </row>
    <row r="4" spans="1:23">
      <c r="A4" s="320" t="s">
        <v>178</v>
      </c>
      <c r="B4" s="321">
        <v>-8.0125799677304044E-2</v>
      </c>
      <c r="C4" s="321">
        <v>5.0452693602405922</v>
      </c>
      <c r="D4" s="321">
        <v>-0.5172013494829677</v>
      </c>
      <c r="E4" s="321">
        <v>2.453083887847741</v>
      </c>
      <c r="F4" s="321">
        <v>0.42209578675629755</v>
      </c>
      <c r="G4" s="321">
        <v>-8.7567598357425336E-2</v>
      </c>
      <c r="H4" s="321">
        <v>0.49693846413174708</v>
      </c>
      <c r="I4" s="321">
        <v>0.41564379595869277</v>
      </c>
      <c r="J4" s="321">
        <v>-0.51769907547526739</v>
      </c>
      <c r="K4" s="321">
        <v>0.43716507344430267</v>
      </c>
      <c r="L4" s="321">
        <v>0.68288862266843975</v>
      </c>
      <c r="M4" s="321">
        <v>0.47828061410218309</v>
      </c>
      <c r="N4" s="321">
        <v>-0.88364001242863843</v>
      </c>
      <c r="O4" s="321">
        <v>-0.26218287047559685</v>
      </c>
      <c r="P4" s="321">
        <v>-0.20209862197013598</v>
      </c>
      <c r="Q4" s="321">
        <v>-0.34158748369004427</v>
      </c>
      <c r="R4" s="321">
        <v>2.4414675171595119E-3</v>
      </c>
      <c r="S4" s="321">
        <v>0.18158389879380518</v>
      </c>
      <c r="T4" s="321">
        <v>0.11390685245266813</v>
      </c>
      <c r="U4" s="321">
        <v>-6.6002370030385046E-2</v>
      </c>
      <c r="V4" s="321">
        <v>6.0612731040221492E-3</v>
      </c>
      <c r="W4" s="321">
        <v>5.7164359384860933E-3</v>
      </c>
    </row>
    <row r="5" spans="1:23">
      <c r="A5" s="320" t="s">
        <v>179</v>
      </c>
      <c r="B5" s="321">
        <v>-7.0880406158609706</v>
      </c>
      <c r="C5" s="321">
        <v>-6.7145318568067829</v>
      </c>
      <c r="D5" s="321">
        <v>-6.4225263270132009</v>
      </c>
      <c r="E5" s="321">
        <v>-5.4578746133531144</v>
      </c>
      <c r="F5" s="321">
        <v>-1.9210618313796237</v>
      </c>
      <c r="G5" s="321">
        <v>-1.7906893955461065</v>
      </c>
      <c r="H5" s="321">
        <v>-2.3317358801076304</v>
      </c>
      <c r="I5" s="321">
        <v>-3.3429719615936353</v>
      </c>
      <c r="J5" s="321">
        <v>-3.4901470968030521</v>
      </c>
      <c r="K5" s="321">
        <v>-3.0709734502276529</v>
      </c>
      <c r="L5" s="321">
        <v>-7.39717855883376</v>
      </c>
      <c r="M5" s="321">
        <v>-7.1613423027397145</v>
      </c>
      <c r="N5" s="321">
        <v>-5.2964142586201248</v>
      </c>
      <c r="O5" s="321">
        <v>-4.510601263832851</v>
      </c>
      <c r="P5" s="321">
        <v>-2.4494556466762414</v>
      </c>
      <c r="Q5" s="321">
        <v>-2.6938676350574582</v>
      </c>
      <c r="R5" s="321">
        <v>-2.5709074547434563</v>
      </c>
      <c r="S5" s="321">
        <v>-1.8711457688441595</v>
      </c>
      <c r="T5" s="321">
        <v>-1.5770362476280306</v>
      </c>
      <c r="U5" s="321">
        <v>-1.5732746792138459</v>
      </c>
      <c r="V5" s="321">
        <v>-0.99959209300981988</v>
      </c>
      <c r="W5" s="321">
        <v>-0.92570535426080436</v>
      </c>
    </row>
    <row r="8" spans="1:23">
      <c r="E8" s="92" t="s">
        <v>219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pageSetUpPr fitToPage="1"/>
  </sheetPr>
  <dimension ref="A1:W46"/>
  <sheetViews>
    <sheetView showGridLines="0" workbookViewId="0"/>
  </sheetViews>
  <sheetFormatPr defaultRowHeight="12.75"/>
  <cols>
    <col min="1" max="1" width="34.42578125" customWidth="1"/>
    <col min="8" max="8" width="9.140625" style="5"/>
  </cols>
  <sheetData>
    <row r="1" spans="1:23" ht="15">
      <c r="A1" s="12"/>
      <c r="B1" s="1">
        <v>2016</v>
      </c>
      <c r="C1" s="1">
        <v>2017</v>
      </c>
      <c r="D1" s="1">
        <v>2018</v>
      </c>
      <c r="E1" s="1">
        <v>2019</v>
      </c>
      <c r="F1" s="1">
        <v>2020</v>
      </c>
      <c r="H1" s="68"/>
      <c r="I1" s="92" t="s">
        <v>240</v>
      </c>
      <c r="P1" s="93" t="s">
        <v>241</v>
      </c>
      <c r="Q1" s="69"/>
      <c r="R1" s="69"/>
      <c r="S1" s="69"/>
      <c r="T1" s="69"/>
      <c r="U1" s="69"/>
      <c r="V1" s="69"/>
      <c r="W1" s="70"/>
    </row>
    <row r="2" spans="1:23">
      <c r="A2" s="386" t="s">
        <v>135</v>
      </c>
      <c r="B2" s="383"/>
      <c r="C2" s="29"/>
      <c r="D2" s="29"/>
      <c r="E2" s="29"/>
      <c r="F2" s="29"/>
      <c r="J2" s="92"/>
      <c r="Q2" s="5"/>
      <c r="R2" s="5"/>
      <c r="S2" s="5"/>
      <c r="T2" s="5"/>
      <c r="U2" s="5"/>
      <c r="V2" s="5"/>
      <c r="W2" s="5"/>
    </row>
    <row r="3" spans="1:23">
      <c r="A3" s="384" t="s">
        <v>239</v>
      </c>
      <c r="B3" s="385">
        <v>3.6638733435929494</v>
      </c>
      <c r="C3" s="385">
        <v>0.32731418669706647</v>
      </c>
      <c r="D3" s="385">
        <v>0.96937188587660827</v>
      </c>
      <c r="E3" s="385">
        <v>-1.2196523270744377</v>
      </c>
      <c r="F3" s="385">
        <v>0.24554967975258424</v>
      </c>
      <c r="I3" s="25"/>
      <c r="J3" s="25"/>
      <c r="K3" s="25"/>
      <c r="P3" s="5"/>
      <c r="Q3" s="5"/>
      <c r="R3" s="5"/>
      <c r="S3" s="5"/>
      <c r="T3" s="5"/>
      <c r="U3" s="5"/>
      <c r="V3" s="5"/>
      <c r="W3" s="5"/>
    </row>
    <row r="4" spans="1:23">
      <c r="A4" s="382" t="s">
        <v>61</v>
      </c>
      <c r="B4" s="381">
        <v>-0.20997029082948238</v>
      </c>
      <c r="C4" s="381">
        <v>0.1538964153457161</v>
      </c>
      <c r="D4" s="381">
        <v>0.76466660384759766</v>
      </c>
      <c r="E4" s="381">
        <v>1.3475754184047233</v>
      </c>
      <c r="F4" s="381">
        <v>1.3407115494943964</v>
      </c>
      <c r="H4" s="25"/>
      <c r="I4" s="25"/>
      <c r="J4" s="25"/>
      <c r="K4" s="25"/>
      <c r="P4" s="5"/>
      <c r="Q4" s="5"/>
      <c r="R4" s="5"/>
      <c r="S4" s="5"/>
      <c r="T4" s="5"/>
      <c r="U4" s="5"/>
      <c r="V4" s="5"/>
      <c r="W4" s="5"/>
    </row>
    <row r="5" spans="1:23">
      <c r="A5" s="7"/>
      <c r="B5" s="164"/>
      <c r="C5" s="164"/>
      <c r="D5" s="164"/>
      <c r="E5" s="164"/>
      <c r="F5" s="164"/>
      <c r="H5" s="25"/>
      <c r="I5" s="25"/>
      <c r="J5" s="25"/>
      <c r="K5" s="25"/>
      <c r="P5" s="5"/>
      <c r="Q5" s="5"/>
      <c r="R5" s="5"/>
      <c r="S5" s="5"/>
      <c r="T5" s="5"/>
      <c r="U5" s="5"/>
      <c r="V5" s="5"/>
      <c r="W5" s="5"/>
    </row>
    <row r="6" spans="1:23">
      <c r="A6" s="386" t="s">
        <v>366</v>
      </c>
      <c r="B6" s="383"/>
      <c r="C6" s="68"/>
      <c r="D6" s="94"/>
      <c r="E6" s="94"/>
      <c r="F6" s="94"/>
      <c r="G6" s="3"/>
      <c r="H6" s="25"/>
      <c r="I6" s="25"/>
      <c r="J6" s="25"/>
      <c r="K6" s="25"/>
      <c r="L6" s="4"/>
      <c r="M6" s="4"/>
      <c r="N6" s="4"/>
      <c r="O6" s="4"/>
      <c r="P6" s="5"/>
      <c r="Q6" s="5"/>
      <c r="R6" s="5"/>
      <c r="S6" s="5"/>
      <c r="T6" s="5"/>
      <c r="U6" s="5"/>
      <c r="V6" s="5"/>
      <c r="W6" s="5"/>
    </row>
    <row r="7" spans="1:23">
      <c r="A7" s="384" t="s">
        <v>239</v>
      </c>
      <c r="B7" s="385">
        <v>3.6638733435929494</v>
      </c>
      <c r="C7" s="385">
        <v>0.65585576035134574</v>
      </c>
      <c r="D7" s="385">
        <v>0.19927952773371405</v>
      </c>
      <c r="E7" s="385">
        <v>0.4964724451154926</v>
      </c>
      <c r="F7" s="385">
        <v>4.0445468222138903E-3</v>
      </c>
      <c r="G7" s="3"/>
      <c r="H7"/>
      <c r="P7" s="5"/>
      <c r="Q7" s="5"/>
      <c r="R7" s="5"/>
      <c r="S7" s="5"/>
      <c r="T7" s="5"/>
      <c r="U7" s="5"/>
      <c r="V7" s="5"/>
      <c r="W7" s="5"/>
    </row>
    <row r="8" spans="1:23">
      <c r="A8" s="382" t="s">
        <v>61</v>
      </c>
      <c r="B8" s="381">
        <v>-0.20997029082948238</v>
      </c>
      <c r="C8" s="381">
        <v>0.1538964153457161</v>
      </c>
      <c r="D8" s="381">
        <v>0.76466660384759766</v>
      </c>
      <c r="E8" s="381">
        <v>1.3475754184047233</v>
      </c>
      <c r="F8" s="381">
        <v>1.3407115494943964</v>
      </c>
      <c r="G8" s="3"/>
      <c r="H8"/>
      <c r="P8" s="5"/>
      <c r="Q8" s="5"/>
      <c r="R8" s="5"/>
      <c r="S8" s="5"/>
      <c r="T8" s="5"/>
      <c r="U8" s="5"/>
      <c r="V8" s="5"/>
      <c r="W8" s="5"/>
    </row>
    <row r="9" spans="1:23">
      <c r="H9"/>
      <c r="P9" s="5"/>
      <c r="Q9" s="5"/>
      <c r="R9" s="5"/>
      <c r="S9" s="5"/>
      <c r="T9" s="5"/>
      <c r="U9" s="5"/>
      <c r="V9" s="5"/>
      <c r="W9" s="5"/>
    </row>
    <row r="10" spans="1:23">
      <c r="A10" s="386" t="s">
        <v>10</v>
      </c>
      <c r="B10" s="383"/>
      <c r="H10"/>
      <c r="P10" s="5"/>
      <c r="Q10" s="5"/>
      <c r="R10" s="5"/>
      <c r="S10" s="5"/>
      <c r="T10" s="5"/>
      <c r="U10" s="5"/>
      <c r="V10" s="5"/>
      <c r="W10" s="5"/>
    </row>
    <row r="11" spans="1:23">
      <c r="A11" s="384" t="s">
        <v>239</v>
      </c>
      <c r="B11" s="385">
        <v>4.0024596437426023</v>
      </c>
      <c r="C11" s="385">
        <v>0.3035837557396569</v>
      </c>
      <c r="D11" s="385">
        <v>-0.46187920309282915</v>
      </c>
      <c r="E11" s="385">
        <v>0.46699160287426866</v>
      </c>
      <c r="F11" s="385">
        <v>7.2708680619965937E-2</v>
      </c>
      <c r="H11"/>
      <c r="P11" s="5"/>
      <c r="Q11" s="5"/>
      <c r="R11" s="5"/>
      <c r="S11" s="5"/>
      <c r="T11" s="5"/>
      <c r="U11" s="5"/>
      <c r="V11" s="5"/>
      <c r="W11" s="5"/>
    </row>
    <row r="12" spans="1:23">
      <c r="A12" s="382" t="s">
        <v>61</v>
      </c>
      <c r="B12" s="381">
        <v>0.15202482434424647</v>
      </c>
      <c r="C12" s="381">
        <v>0.52175554039024741</v>
      </c>
      <c r="D12" s="381">
        <v>0.83201056236194548</v>
      </c>
      <c r="E12" s="381">
        <v>1.0095020270174031</v>
      </c>
      <c r="F12" s="381">
        <v>0.60126887606129442</v>
      </c>
      <c r="H12"/>
      <c r="P12" s="5"/>
      <c r="Q12" s="5"/>
      <c r="R12" s="5"/>
      <c r="S12" s="5"/>
      <c r="T12" s="5"/>
      <c r="U12" s="5"/>
      <c r="V12" s="5"/>
      <c r="W12" s="5"/>
    </row>
    <row r="13" spans="1:23">
      <c r="G13" s="3"/>
      <c r="H13"/>
      <c r="P13" s="5"/>
      <c r="Q13" s="5"/>
      <c r="R13" s="5"/>
      <c r="S13" s="5"/>
      <c r="T13" s="5"/>
      <c r="U13" s="5"/>
      <c r="V13" s="5"/>
      <c r="W13" s="5"/>
    </row>
    <row r="14" spans="1:23" s="3" customFormat="1">
      <c r="A14" s="375"/>
      <c r="B14" s="65"/>
      <c r="C14" s="65"/>
      <c r="D14" s="65"/>
      <c r="E14" s="65"/>
      <c r="F14" s="65"/>
      <c r="H14"/>
      <c r="I14"/>
      <c r="J14"/>
      <c r="K14"/>
      <c r="L14"/>
      <c r="M14"/>
      <c r="N14"/>
      <c r="O14"/>
      <c r="P14" s="5"/>
      <c r="Q14" s="5"/>
      <c r="R14" s="5"/>
      <c r="S14" s="5"/>
      <c r="T14" s="5"/>
      <c r="U14" s="5"/>
      <c r="V14" s="5"/>
      <c r="W14" s="5"/>
    </row>
    <row r="15" spans="1:23" s="3" customFormat="1">
      <c r="A15" s="376"/>
      <c r="B15" s="377"/>
      <c r="C15" s="377"/>
      <c r="D15" s="377"/>
      <c r="E15" s="377"/>
      <c r="F15" s="377"/>
      <c r="P15" s="5"/>
      <c r="Q15" s="5"/>
      <c r="R15" s="5"/>
      <c r="S15" s="5"/>
      <c r="T15" s="5"/>
      <c r="U15" s="5"/>
      <c r="V15" s="5"/>
      <c r="W15" s="5"/>
    </row>
    <row r="16" spans="1:23" s="3" customFormat="1">
      <c r="A16" s="11"/>
      <c r="B16" s="378"/>
      <c r="C16" s="378"/>
      <c r="D16" s="378"/>
      <c r="E16" s="378"/>
      <c r="F16" s="378"/>
      <c r="P16" s="5"/>
      <c r="Q16" s="5"/>
      <c r="R16" s="5"/>
      <c r="S16" s="5"/>
      <c r="T16" s="5"/>
      <c r="U16" s="5"/>
      <c r="V16" s="5"/>
      <c r="W16" s="5"/>
    </row>
    <row r="17" spans="1:23" s="3" customFormat="1">
      <c r="A17" s="12"/>
      <c r="B17" s="29"/>
      <c r="C17" s="29"/>
      <c r="D17" s="29"/>
      <c r="E17" s="29"/>
      <c r="F17" s="29"/>
      <c r="G17" s="291"/>
      <c r="P17" s="5"/>
      <c r="Q17" s="5"/>
      <c r="R17" s="5"/>
      <c r="S17" s="5"/>
      <c r="T17" s="5"/>
      <c r="U17" s="5"/>
      <c r="V17" s="5"/>
      <c r="W17" s="5"/>
    </row>
    <row r="18" spans="1:23">
      <c r="A18" s="13"/>
      <c r="B18" s="29"/>
      <c r="C18" s="29"/>
      <c r="D18" s="29"/>
      <c r="E18" s="29"/>
      <c r="F18" s="29"/>
      <c r="G18" s="3"/>
      <c r="H18" s="3"/>
      <c r="I18" s="3"/>
      <c r="J18" s="3"/>
      <c r="K18" s="3"/>
      <c r="L18" s="3"/>
      <c r="M18" s="3"/>
      <c r="N18" s="3"/>
      <c r="O18" s="3"/>
    </row>
    <row r="19" spans="1:23">
      <c r="A19" s="68"/>
      <c r="B19" s="1">
        <v>2016</v>
      </c>
      <c r="C19" s="1">
        <v>2017</v>
      </c>
      <c r="D19" s="1">
        <v>2018</v>
      </c>
      <c r="E19" s="1">
        <v>2019</v>
      </c>
      <c r="F19" s="1">
        <v>2020</v>
      </c>
      <c r="G19" s="3"/>
      <c r="H19" s="3"/>
    </row>
    <row r="20" spans="1:23">
      <c r="A20" s="71" t="s">
        <v>160</v>
      </c>
      <c r="B20" s="373">
        <v>2.1316482604363038</v>
      </c>
      <c r="C20" s="372">
        <v>1.9088294731946627</v>
      </c>
      <c r="D20" s="372">
        <v>1.5364946445807155</v>
      </c>
      <c r="E20" s="372">
        <v>3.2423349976003095</v>
      </c>
      <c r="F20" s="372">
        <v>3.0274868916040094</v>
      </c>
      <c r="G20" s="3"/>
      <c r="H20" s="3"/>
    </row>
    <row r="21" spans="1:23">
      <c r="A21" s="71" t="s">
        <v>63</v>
      </c>
      <c r="B21" s="373">
        <v>2.1316482604363038</v>
      </c>
      <c r="C21" s="373">
        <v>1.5802878995403835</v>
      </c>
      <c r="D21" s="373">
        <v>1.9780454290693306</v>
      </c>
      <c r="E21" s="373">
        <v>1.9677610098989939</v>
      </c>
      <c r="F21" s="373">
        <v>1.9944180368330642</v>
      </c>
    </row>
    <row r="22" spans="1:23">
      <c r="A22" s="71" t="s">
        <v>104</v>
      </c>
      <c r="B22" s="373">
        <v>2.1316482604363038</v>
      </c>
      <c r="C22" s="373">
        <v>1.8480431630990877</v>
      </c>
      <c r="D22" s="373">
        <v>2.3550384777299294</v>
      </c>
      <c r="E22" s="373">
        <v>2.4472291959339514</v>
      </c>
      <c r="F22" s="373">
        <v>2.3764085034453277</v>
      </c>
      <c r="G22" s="3"/>
      <c r="H22" s="3"/>
      <c r="I22" s="3"/>
    </row>
    <row r="23" spans="1:23">
      <c r="A23" s="3"/>
      <c r="B23" s="99"/>
      <c r="C23" s="99"/>
      <c r="D23" s="99"/>
      <c r="E23" s="99"/>
      <c r="F23" s="99"/>
      <c r="G23" s="99"/>
      <c r="H23" s="99"/>
      <c r="I23" s="3"/>
    </row>
    <row r="24" spans="1:23">
      <c r="A24" s="374"/>
      <c r="B24" s="65"/>
      <c r="C24" s="65"/>
      <c r="D24" s="65"/>
      <c r="E24" s="65"/>
      <c r="F24" s="65"/>
      <c r="G24" s="3"/>
      <c r="H24" s="291"/>
      <c r="I24" s="3"/>
    </row>
    <row r="25" spans="1:23">
      <c r="A25" s="375"/>
      <c r="B25" s="65"/>
      <c r="C25" s="65"/>
      <c r="D25" s="65"/>
      <c r="E25" s="65"/>
      <c r="F25" s="65"/>
      <c r="G25" s="3"/>
      <c r="H25" s="3"/>
      <c r="I25" s="3"/>
    </row>
    <row r="26" spans="1:23">
      <c r="A26" s="376"/>
      <c r="B26" s="377"/>
      <c r="C26" s="377"/>
      <c r="D26" s="377"/>
      <c r="E26" s="377"/>
      <c r="F26" s="377"/>
      <c r="G26" s="3"/>
      <c r="H26" s="3"/>
      <c r="I26" s="3"/>
    </row>
    <row r="27" spans="1:23">
      <c r="A27" s="11"/>
      <c r="B27" s="378"/>
      <c r="C27" s="378"/>
      <c r="D27" s="378"/>
      <c r="E27" s="378"/>
      <c r="F27" s="378"/>
      <c r="G27" s="3"/>
      <c r="H27" s="3"/>
      <c r="I27" s="3"/>
    </row>
    <row r="28" spans="1:23">
      <c r="A28" s="235"/>
      <c r="B28" s="29"/>
      <c r="C28" s="29"/>
      <c r="D28" s="29"/>
      <c r="E28" s="29"/>
      <c r="F28" s="29"/>
      <c r="G28" s="3"/>
      <c r="H28" s="291"/>
      <c r="I28" s="3"/>
    </row>
    <row r="29" spans="1:23">
      <c r="A29" s="13"/>
      <c r="B29" s="29"/>
      <c r="C29" s="29"/>
      <c r="D29" s="29"/>
      <c r="E29" s="29"/>
      <c r="F29" s="29"/>
      <c r="G29" s="3"/>
      <c r="H29" s="3"/>
      <c r="I29" s="3"/>
    </row>
    <row r="30" spans="1:23">
      <c r="A30" s="379"/>
      <c r="B30" s="380"/>
      <c r="C30" s="380"/>
      <c r="D30" s="380"/>
      <c r="E30" s="380"/>
      <c r="F30" s="380"/>
      <c r="G30" s="3"/>
      <c r="H30" s="3"/>
      <c r="I30" s="3"/>
    </row>
    <row r="31" spans="1:23">
      <c r="A31" s="72"/>
      <c r="B31" s="381"/>
      <c r="C31" s="381"/>
      <c r="D31" s="381"/>
      <c r="E31" s="381"/>
      <c r="F31" s="381"/>
      <c r="G31" s="3"/>
      <c r="H31" s="3"/>
      <c r="I31" s="3"/>
    </row>
    <row r="32" spans="1:23">
      <c r="A32" s="3"/>
      <c r="B32" s="3"/>
      <c r="C32" s="3"/>
      <c r="D32" s="3"/>
      <c r="E32" s="3"/>
      <c r="F32" s="3"/>
      <c r="G32" s="3"/>
      <c r="H32" s="3"/>
      <c r="I32" s="3"/>
    </row>
    <row r="33" spans="1:9">
      <c r="A33" s="3"/>
      <c r="B33" s="3"/>
      <c r="C33" s="3"/>
      <c r="D33" s="3"/>
      <c r="E33" s="3"/>
      <c r="F33" s="3"/>
      <c r="G33" s="3"/>
      <c r="H33" s="3"/>
      <c r="I33" s="3"/>
    </row>
    <row r="34" spans="1:9">
      <c r="A34" s="3"/>
      <c r="B34" s="3"/>
      <c r="C34" s="3"/>
      <c r="D34" s="3"/>
      <c r="E34" s="3"/>
      <c r="F34" s="3"/>
      <c r="G34" s="3"/>
      <c r="H34" s="3"/>
      <c r="I34" s="3"/>
    </row>
    <row r="35" spans="1:9">
      <c r="A35" s="374"/>
      <c r="B35" s="65"/>
      <c r="C35" s="65"/>
      <c r="D35" s="65"/>
      <c r="E35" s="65"/>
      <c r="F35" s="65"/>
      <c r="G35" s="65"/>
      <c r="H35" s="3"/>
      <c r="I35" s="3"/>
    </row>
    <row r="36" spans="1:9">
      <c r="A36" s="375"/>
      <c r="B36" s="65"/>
      <c r="C36" s="65"/>
      <c r="D36" s="65"/>
      <c r="E36" s="65"/>
      <c r="F36" s="65"/>
      <c r="G36" s="65"/>
      <c r="H36" s="3"/>
      <c r="I36" s="3"/>
    </row>
    <row r="37" spans="1:9">
      <c r="A37" s="376"/>
      <c r="B37" s="377"/>
      <c r="C37" s="377"/>
      <c r="D37" s="377"/>
      <c r="E37" s="377"/>
      <c r="F37" s="377"/>
      <c r="G37" s="3"/>
      <c r="H37" s="3"/>
      <c r="I37" s="3"/>
    </row>
    <row r="38" spans="1:9">
      <c r="A38" s="11"/>
      <c r="B38" s="378"/>
      <c r="C38" s="378"/>
      <c r="D38" s="378"/>
      <c r="E38" s="378"/>
      <c r="F38" s="378"/>
      <c r="G38" s="3"/>
      <c r="H38" s="3"/>
      <c r="I38" s="3"/>
    </row>
    <row r="39" spans="1:9">
      <c r="A39" s="235"/>
      <c r="B39" s="29"/>
      <c r="C39" s="29"/>
      <c r="D39" s="29"/>
      <c r="E39" s="29"/>
      <c r="F39" s="29"/>
      <c r="G39" s="3"/>
      <c r="H39" s="291"/>
      <c r="I39" s="3"/>
    </row>
    <row r="40" spans="1:9">
      <c r="A40" s="13"/>
      <c r="B40" s="29"/>
      <c r="C40" s="29"/>
      <c r="D40" s="29"/>
      <c r="E40" s="29"/>
      <c r="F40" s="29"/>
      <c r="G40" s="3"/>
      <c r="H40" s="3"/>
      <c r="I40" s="3"/>
    </row>
    <row r="41" spans="1:9">
      <c r="A41" s="379"/>
      <c r="B41" s="380"/>
      <c r="C41" s="380"/>
      <c r="D41" s="380"/>
      <c r="E41" s="380"/>
      <c r="F41" s="380"/>
      <c r="G41" s="3"/>
      <c r="H41" s="3"/>
      <c r="I41" s="3"/>
    </row>
    <row r="42" spans="1:9">
      <c r="A42" s="72"/>
      <c r="B42" s="381"/>
      <c r="C42" s="381"/>
      <c r="D42" s="381"/>
      <c r="E42" s="381"/>
      <c r="F42" s="381"/>
      <c r="G42" s="3"/>
      <c r="H42" s="3"/>
      <c r="I42" s="3"/>
    </row>
    <row r="43" spans="1:9">
      <c r="A43" s="3"/>
      <c r="B43" s="381"/>
      <c r="C43" s="381"/>
      <c r="D43" s="381"/>
      <c r="E43" s="381"/>
      <c r="F43" s="381"/>
      <c r="G43" s="3"/>
      <c r="H43" s="3"/>
      <c r="I43" s="3"/>
    </row>
    <row r="44" spans="1:9">
      <c r="A44" s="3"/>
      <c r="B44" s="3"/>
      <c r="C44" s="3"/>
      <c r="D44" s="3"/>
      <c r="E44" s="3"/>
      <c r="F44" s="3"/>
      <c r="G44" s="3"/>
      <c r="H44" s="3"/>
      <c r="I44" s="3"/>
    </row>
    <row r="45" spans="1:9">
      <c r="A45" s="3"/>
      <c r="B45" s="3"/>
      <c r="C45" s="3"/>
      <c r="D45" s="3"/>
      <c r="E45" s="3"/>
      <c r="F45" s="3"/>
      <c r="G45" s="3"/>
      <c r="H45" s="3"/>
      <c r="I45" s="3"/>
    </row>
    <row r="46" spans="1:9">
      <c r="A46" s="3"/>
      <c r="B46" s="3"/>
      <c r="C46" s="3"/>
      <c r="D46" s="3"/>
      <c r="E46" s="3"/>
      <c r="F46" s="3"/>
      <c r="G46" s="3"/>
      <c r="H46" s="3"/>
      <c r="I46" s="3"/>
    </row>
  </sheetData>
  <pageMargins left="0.7" right="0.7" top="0.75" bottom="0.75" header="0.3" footer="0.3"/>
  <pageSetup paperSize="9" scale="43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showGridLines="0" zoomScaleNormal="100" workbookViewId="0"/>
  </sheetViews>
  <sheetFormatPr defaultRowHeight="12.75"/>
  <cols>
    <col min="1" max="1" width="21" style="518" customWidth="1"/>
    <col min="2" max="2" width="14.85546875" style="518" customWidth="1"/>
    <col min="3" max="3" width="11.85546875" style="518" customWidth="1"/>
    <col min="4" max="4" width="18.7109375" style="518" customWidth="1"/>
    <col min="5" max="16384" width="9.140625" style="518"/>
  </cols>
  <sheetData>
    <row r="1" spans="1:6">
      <c r="A1" s="490" t="s">
        <v>505</v>
      </c>
    </row>
    <row r="2" spans="1:6">
      <c r="A2" s="526"/>
      <c r="B2" s="525" t="s">
        <v>504</v>
      </c>
    </row>
    <row r="3" spans="1:6">
      <c r="A3" s="524" t="s">
        <v>503</v>
      </c>
      <c r="B3" s="523">
        <v>0.40742388105697197</v>
      </c>
      <c r="F3" s="522"/>
    </row>
    <row r="4" spans="1:6">
      <c r="A4" s="524" t="s">
        <v>502</v>
      </c>
      <c r="B4" s="523">
        <v>0.2369375013700401</v>
      </c>
      <c r="F4" s="522"/>
    </row>
    <row r="5" spans="1:6">
      <c r="A5" s="521" t="s">
        <v>501</v>
      </c>
      <c r="B5" s="520">
        <v>-4.3953601730902278E-2</v>
      </c>
    </row>
    <row r="6" spans="1:6">
      <c r="A6" s="519"/>
      <c r="B6" s="519"/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W18"/>
  <sheetViews>
    <sheetView showGridLines="0" workbookViewId="0"/>
  </sheetViews>
  <sheetFormatPr defaultRowHeight="12.75"/>
  <cols>
    <col min="1" max="1" width="24.28515625" customWidth="1"/>
  </cols>
  <sheetData>
    <row r="1" spans="1:23">
      <c r="A1" s="387"/>
      <c r="B1" s="391" t="s">
        <v>167</v>
      </c>
      <c r="C1" s="391">
        <v>2000</v>
      </c>
      <c r="D1" s="391">
        <v>2001</v>
      </c>
      <c r="E1" s="391">
        <v>2002</v>
      </c>
      <c r="F1" s="391">
        <v>2003</v>
      </c>
      <c r="G1" s="391">
        <v>2004</v>
      </c>
      <c r="H1" s="391">
        <v>2005</v>
      </c>
      <c r="I1" s="391">
        <v>2006</v>
      </c>
      <c r="J1" s="391">
        <v>2007</v>
      </c>
      <c r="K1" s="391">
        <v>2008</v>
      </c>
      <c r="L1" s="391">
        <v>2009</v>
      </c>
      <c r="M1" s="391">
        <v>2010</v>
      </c>
      <c r="N1" s="391">
        <v>2011</v>
      </c>
      <c r="O1" s="391">
        <v>2012</v>
      </c>
      <c r="P1" s="391">
        <v>2013</v>
      </c>
      <c r="Q1" s="391">
        <v>2014</v>
      </c>
      <c r="R1" s="391">
        <v>2015</v>
      </c>
      <c r="S1" s="391">
        <v>2016</v>
      </c>
      <c r="T1" s="391">
        <v>2017</v>
      </c>
      <c r="U1" s="391">
        <v>2018</v>
      </c>
      <c r="V1" s="391">
        <v>2019</v>
      </c>
      <c r="W1" s="391">
        <v>2020</v>
      </c>
    </row>
    <row r="2" spans="1:23" s="5" customFormat="1">
      <c r="A2" s="388" t="s">
        <v>242</v>
      </c>
      <c r="B2" s="393">
        <v>-1.0677890000000001</v>
      </c>
      <c r="C2" s="393">
        <v>-3</v>
      </c>
      <c r="D2" s="393">
        <v>-3.6</v>
      </c>
      <c r="E2" s="393">
        <v>-3.2</v>
      </c>
      <c r="F2" s="393">
        <v>-2</v>
      </c>
      <c r="G2" s="393">
        <v>-1.3</v>
      </c>
      <c r="H2" s="393">
        <v>0</v>
      </c>
      <c r="I2" s="393">
        <v>2.4</v>
      </c>
      <c r="J2" s="393">
        <v>6.9</v>
      </c>
      <c r="K2" s="393">
        <v>7.1</v>
      </c>
      <c r="L2" s="393">
        <v>-2.1</v>
      </c>
      <c r="M2" s="393">
        <v>-0.6</v>
      </c>
      <c r="N2" s="393">
        <v>-1.2</v>
      </c>
      <c r="O2" s="393">
        <v>-2.1</v>
      </c>
      <c r="P2" s="393">
        <v>-2.7</v>
      </c>
      <c r="Q2" s="393">
        <v>-2.1</v>
      </c>
      <c r="R2" s="393">
        <v>-1.2</v>
      </c>
      <c r="S2" s="393">
        <v>-0.4</v>
      </c>
      <c r="T2" s="393">
        <v>0</v>
      </c>
      <c r="U2" s="393">
        <v>0.5</v>
      </c>
      <c r="V2" s="393">
        <v>1</v>
      </c>
      <c r="W2" s="393"/>
    </row>
    <row r="3" spans="1:23" s="5" customFormat="1">
      <c r="A3" s="388" t="s">
        <v>243</v>
      </c>
      <c r="B3" s="393">
        <v>-0.3433098646453222</v>
      </c>
      <c r="C3" s="393">
        <v>-1.3287960600396604</v>
      </c>
      <c r="D3" s="393">
        <v>-1.3503859443255672</v>
      </c>
      <c r="E3" s="393">
        <v>-1.1251347827135303</v>
      </c>
      <c r="F3" s="393">
        <v>-0.66158016512855411</v>
      </c>
      <c r="G3" s="393">
        <v>-1.3264983456888684</v>
      </c>
      <c r="H3" s="393">
        <v>-1.7628294460214422</v>
      </c>
      <c r="I3" s="393">
        <v>-1.1260288491925134</v>
      </c>
      <c r="J3" s="393">
        <v>2.1611949793378669</v>
      </c>
      <c r="K3" s="393">
        <v>2.4331977154343649</v>
      </c>
      <c r="L3" s="393">
        <v>-4.4903640946039252</v>
      </c>
      <c r="M3" s="393">
        <v>-1.0377285646708476</v>
      </c>
      <c r="N3" s="393">
        <v>-0.79757498961619122</v>
      </c>
      <c r="O3" s="393">
        <v>-1.1492135150198222</v>
      </c>
      <c r="P3" s="393">
        <v>-1.9531714805497817</v>
      </c>
      <c r="Q3" s="393">
        <v>-1.5715085583752106</v>
      </c>
      <c r="R3" s="393">
        <v>-0.75531757863283056</v>
      </c>
      <c r="S3" s="393">
        <v>-0.20997029082948238</v>
      </c>
      <c r="T3" s="393">
        <v>0.1538964153457161</v>
      </c>
      <c r="U3" s="393">
        <v>0.76466660384759766</v>
      </c>
      <c r="V3" s="393">
        <v>1.3475754184047233</v>
      </c>
      <c r="W3" s="393">
        <v>1.3407115494943964</v>
      </c>
    </row>
    <row r="4" spans="1:23" s="5" customFormat="1">
      <c r="A4" s="388" t="s">
        <v>244</v>
      </c>
      <c r="B4" s="394">
        <v>-1.0151235486861778</v>
      </c>
      <c r="C4" s="394">
        <v>-1.5721478825410202</v>
      </c>
      <c r="D4" s="394">
        <v>-1.3950876373126488</v>
      </c>
      <c r="E4" s="394">
        <v>-1.4137187425023201</v>
      </c>
      <c r="F4" s="394">
        <v>-1.3267991102440551</v>
      </c>
      <c r="G4" s="394">
        <v>-1.7083000639707264</v>
      </c>
      <c r="H4" s="394">
        <v>-1.5580959191484549</v>
      </c>
      <c r="I4" s="394">
        <v>-0.69383288571334911</v>
      </c>
      <c r="J4" s="394">
        <v>2.3145563280276642</v>
      </c>
      <c r="K4" s="394">
        <v>3.0620796635834977</v>
      </c>
      <c r="L4" s="394">
        <v>-4.2184701434880481</v>
      </c>
      <c r="M4" s="394">
        <v>-1.4851122612304761</v>
      </c>
      <c r="N4" s="394">
        <v>-0.94043704011899165</v>
      </c>
      <c r="O4" s="394">
        <v>-1.1881435938908818</v>
      </c>
      <c r="P4" s="394">
        <v>-1.6882887454103883</v>
      </c>
      <c r="Q4" s="395">
        <v>-1.694410152578544</v>
      </c>
      <c r="R4" s="395">
        <v>-0.911576300402688</v>
      </c>
      <c r="S4" s="395">
        <v>-0.61672013692599059</v>
      </c>
      <c r="T4" s="395">
        <v>-0.18781062524633202</v>
      </c>
      <c r="U4" s="393">
        <v>0.35222512174238996</v>
      </c>
      <c r="V4" s="393">
        <v>1.0816164552386889</v>
      </c>
      <c r="W4" s="393"/>
    </row>
    <row r="5" spans="1:23" s="5" customFormat="1">
      <c r="A5" s="388" t="s">
        <v>245</v>
      </c>
      <c r="B5" s="395">
        <v>7.2720802731318604E-2</v>
      </c>
      <c r="C5" s="396">
        <v>-1.42036687255226</v>
      </c>
      <c r="D5" s="396">
        <v>-1.2363222678130401</v>
      </c>
      <c r="E5" s="395">
        <v>-0.83095851898500295</v>
      </c>
      <c r="F5" s="395">
        <v>-0.78875102417865595</v>
      </c>
      <c r="G5" s="395">
        <v>-1.29608517428354</v>
      </c>
      <c r="H5" s="395">
        <v>-1.40382191003499</v>
      </c>
      <c r="I5" s="395">
        <v>2.5693451236205298E-3</v>
      </c>
      <c r="J5" s="395">
        <v>4.2695609182319396</v>
      </c>
      <c r="K5" s="395">
        <v>5.1116051440332697</v>
      </c>
      <c r="L5" s="395">
        <v>-2.56258610271792</v>
      </c>
      <c r="M5" s="395">
        <v>-0.74775429176896602</v>
      </c>
      <c r="N5" s="395">
        <v>3.3430312507909003E-2</v>
      </c>
      <c r="O5" s="395">
        <v>-0.21908324745730601</v>
      </c>
      <c r="P5" s="395">
        <v>-0.90972223587078804</v>
      </c>
      <c r="Q5" s="395">
        <v>-0.82979096518318995</v>
      </c>
      <c r="R5" s="395">
        <v>-3.5196478872608197E-2</v>
      </c>
      <c r="S5" s="395">
        <v>2.5114393913341498E-2</v>
      </c>
      <c r="T5" s="395">
        <v>-0.245674670273027</v>
      </c>
      <c r="U5" s="393">
        <v>4.0254237961519702E-2</v>
      </c>
      <c r="V5" s="393">
        <v>0.38578561717858201</v>
      </c>
      <c r="W5" s="393">
        <v>0.23237144449193001</v>
      </c>
    </row>
    <row r="6" spans="1:23" s="5" customFormat="1">
      <c r="A6" s="388" t="s">
        <v>246</v>
      </c>
      <c r="B6" s="397">
        <v>0.24537640352087101</v>
      </c>
      <c r="C6" s="397">
        <v>-1.58021425499529</v>
      </c>
      <c r="D6" s="397">
        <v>-4.3457119300643901E-2</v>
      </c>
      <c r="E6" s="397">
        <v>0.22911776822402</v>
      </c>
      <c r="F6" s="397">
        <v>0.265520515963729</v>
      </c>
      <c r="G6" s="397">
        <v>-0.48563435615718797</v>
      </c>
      <c r="H6" s="397">
        <v>-0.41179393024549499</v>
      </c>
      <c r="I6" s="397">
        <v>0.67023946271931401</v>
      </c>
      <c r="J6" s="397">
        <v>0.93567024721811198</v>
      </c>
      <c r="K6" s="397">
        <v>1.48822917339963</v>
      </c>
      <c r="L6" s="397">
        <v>-1.2697953682832499</v>
      </c>
      <c r="M6" s="397">
        <v>6.4960642684888201E-2</v>
      </c>
      <c r="N6" s="397">
        <v>0.56487357993340304</v>
      </c>
      <c r="O6" s="397">
        <v>0.25241911795489802</v>
      </c>
      <c r="P6" s="397">
        <v>-0.258525870988012</v>
      </c>
      <c r="Q6" s="397">
        <v>0.29328890944955999</v>
      </c>
      <c r="R6" s="397">
        <v>0.26646595429116099</v>
      </c>
      <c r="S6" s="397">
        <v>0.47178267296782</v>
      </c>
      <c r="T6" s="397">
        <v>0.80867811420176705</v>
      </c>
      <c r="U6" s="397">
        <v>0.84245028920745502</v>
      </c>
      <c r="V6" s="397">
        <v>0.89569349204704496</v>
      </c>
      <c r="W6" s="397">
        <v>4.7642665624291099E-2</v>
      </c>
    </row>
    <row r="7" spans="1:23" s="5" customFormat="1">
      <c r="A7" s="388" t="s">
        <v>247</v>
      </c>
      <c r="B7" s="393">
        <v>-1.4302124842166799</v>
      </c>
      <c r="C7" s="393">
        <v>0.85914656253425503</v>
      </c>
      <c r="D7" s="393">
        <v>1.1171754501370501</v>
      </c>
      <c r="E7" s="393">
        <v>0.37979643879451203</v>
      </c>
      <c r="F7" s="393">
        <v>1.25915942857332E-2</v>
      </c>
      <c r="G7" s="393">
        <v>-9.8803797521450396E-2</v>
      </c>
      <c r="H7" s="393">
        <v>1.0424968251803699</v>
      </c>
      <c r="I7" s="393">
        <v>2.8236585620137702</v>
      </c>
      <c r="J7" s="393">
        <v>3.85044654922239</v>
      </c>
      <c r="K7" s="393">
        <v>2.6143323748153602</v>
      </c>
      <c r="L7" s="393">
        <v>-4.0050525920408804</v>
      </c>
      <c r="M7" s="393">
        <v>-1.82732722255796</v>
      </c>
      <c r="N7" s="393">
        <v>-1.0511083787568001</v>
      </c>
      <c r="O7" s="393">
        <v>-1.75962934831151</v>
      </c>
      <c r="P7" s="393">
        <v>-1.921061734729</v>
      </c>
      <c r="Q7" s="393">
        <v>-0.15831280931498801</v>
      </c>
      <c r="R7" s="393">
        <v>1.42369373540343</v>
      </c>
      <c r="S7" s="393">
        <v>1.64194230693979</v>
      </c>
      <c r="T7" s="393">
        <v>2.6014440083133601</v>
      </c>
      <c r="U7" s="393">
        <v>2.4924671214127101</v>
      </c>
      <c r="V7" s="393">
        <v>1.3463411792353801</v>
      </c>
      <c r="W7" s="393">
        <v>0.78434984463456003</v>
      </c>
    </row>
    <row r="8" spans="1:23" s="5" customFormat="1">
      <c r="A8" s="389" t="s">
        <v>168</v>
      </c>
      <c r="B8" s="398">
        <v>-0.58972294854933172</v>
      </c>
      <c r="C8" s="398">
        <v>-1.3403964179323296</v>
      </c>
      <c r="D8" s="398">
        <v>-1.0846795864358085</v>
      </c>
      <c r="E8" s="398">
        <v>-0.99348297286372045</v>
      </c>
      <c r="F8" s="398">
        <v>-0.74983636488363381</v>
      </c>
      <c r="G8" s="398">
        <v>-1.0358869562702955</v>
      </c>
      <c r="H8" s="398">
        <v>-0.68234073004500206</v>
      </c>
      <c r="I8" s="398">
        <v>0.67943427249180699</v>
      </c>
      <c r="J8" s="398">
        <v>3.4052381703396617</v>
      </c>
      <c r="K8" s="398">
        <v>3.6349073452110212</v>
      </c>
      <c r="L8" s="398">
        <v>-3.1077113835223376</v>
      </c>
      <c r="M8" s="398">
        <v>-0.93882694959056023</v>
      </c>
      <c r="N8" s="398">
        <v>-0.56513608600844512</v>
      </c>
      <c r="O8" s="398">
        <v>-1.027275097787437</v>
      </c>
      <c r="P8" s="398">
        <v>-1.571795011257995</v>
      </c>
      <c r="Q8" s="398">
        <v>-1.0101222626670623</v>
      </c>
      <c r="R8" s="398">
        <v>-0.20198844470225594</v>
      </c>
      <c r="S8" s="398">
        <v>0.15202482434424647</v>
      </c>
      <c r="T8" s="398">
        <v>0.52175554039024741</v>
      </c>
      <c r="U8" s="398">
        <v>0.83201056236194548</v>
      </c>
      <c r="V8" s="398">
        <v>1.0095020270174031</v>
      </c>
      <c r="W8" s="398">
        <v>0.60126887606129442</v>
      </c>
    </row>
    <row r="9" spans="1:23" s="5" customFormat="1">
      <c r="A9" s="388" t="s">
        <v>251</v>
      </c>
      <c r="B9" s="393">
        <v>-0.72000000000000008</v>
      </c>
      <c r="C9" s="393">
        <v>-3.2275</v>
      </c>
      <c r="D9" s="393">
        <v>-4.0174999999999992</v>
      </c>
      <c r="E9" s="393">
        <v>-3.6074999999999995</v>
      </c>
      <c r="F9" s="393">
        <v>-2.5275000000000003</v>
      </c>
      <c r="G9" s="393">
        <v>-2.0149999999999997</v>
      </c>
      <c r="H9" s="393">
        <v>-0.46191850000000007</v>
      </c>
      <c r="I9" s="393">
        <v>2.0450000000000004</v>
      </c>
      <c r="J9" s="393">
        <v>6.169999999999999</v>
      </c>
      <c r="K9" s="393">
        <v>6.8074999999999992</v>
      </c>
      <c r="L9" s="393">
        <v>-2.0125000000000002</v>
      </c>
      <c r="M9" s="393">
        <v>-0.71250000000000002</v>
      </c>
      <c r="N9" s="393">
        <v>-1.0499999999999998</v>
      </c>
      <c r="O9" s="393">
        <v>-1.6150000000000002</v>
      </c>
      <c r="P9" s="393">
        <v>-2.1349999999999998</v>
      </c>
      <c r="Q9" s="393">
        <v>-1.5325000000000002</v>
      </c>
      <c r="R9" s="393">
        <v>0.47250000000000003</v>
      </c>
      <c r="S9" s="393">
        <v>2.2225000000000001</v>
      </c>
      <c r="T9" s="399"/>
      <c r="U9" s="399"/>
      <c r="V9" s="399"/>
      <c r="W9" s="399"/>
    </row>
    <row r="10" spans="1:23" s="5" customFormat="1">
      <c r="A10" s="233"/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</row>
    <row r="11" spans="1:23" s="5" customFormat="1">
      <c r="A11" s="244"/>
      <c r="B11" s="391" t="s">
        <v>167</v>
      </c>
      <c r="C11" s="391">
        <v>2000</v>
      </c>
      <c r="D11" s="391">
        <v>2001</v>
      </c>
      <c r="E11" s="391">
        <v>2002</v>
      </c>
      <c r="F11" s="391">
        <v>2003</v>
      </c>
      <c r="G11" s="391">
        <v>2004</v>
      </c>
      <c r="H11" s="391">
        <v>2005</v>
      </c>
      <c r="I11" s="391">
        <v>2006</v>
      </c>
      <c r="J11" s="391">
        <v>2007</v>
      </c>
      <c r="K11" s="391">
        <v>2008</v>
      </c>
      <c r="L11" s="391">
        <v>2009</v>
      </c>
      <c r="M11" s="391">
        <v>2010</v>
      </c>
      <c r="N11" s="391">
        <v>2011</v>
      </c>
      <c r="O11" s="391">
        <v>2012</v>
      </c>
      <c r="P11" s="391">
        <v>2013</v>
      </c>
      <c r="Q11" s="391">
        <v>2014</v>
      </c>
      <c r="R11" s="391">
        <v>2015</v>
      </c>
      <c r="S11" s="391">
        <v>2016</v>
      </c>
      <c r="T11" s="391">
        <v>2017</v>
      </c>
      <c r="U11" s="391">
        <v>2018</v>
      </c>
      <c r="V11" s="391">
        <v>2019</v>
      </c>
      <c r="W11" s="391">
        <v>2020</v>
      </c>
    </row>
    <row r="12" spans="1:23" s="5" customFormat="1">
      <c r="A12" s="390" t="s">
        <v>168</v>
      </c>
      <c r="B12" s="398">
        <f t="shared" ref="B12:W12" si="0">B8</f>
        <v>-0.58972294854933172</v>
      </c>
      <c r="C12" s="398">
        <f t="shared" si="0"/>
        <v>-1.3403964179323296</v>
      </c>
      <c r="D12" s="398">
        <f t="shared" si="0"/>
        <v>-1.0846795864358085</v>
      </c>
      <c r="E12" s="398">
        <f t="shared" si="0"/>
        <v>-0.99348297286372045</v>
      </c>
      <c r="F12" s="398">
        <f t="shared" si="0"/>
        <v>-0.74983636488363381</v>
      </c>
      <c r="G12" s="398">
        <f t="shared" si="0"/>
        <v>-1.0358869562702955</v>
      </c>
      <c r="H12" s="398">
        <f t="shared" si="0"/>
        <v>-0.68234073004500206</v>
      </c>
      <c r="I12" s="398">
        <f t="shared" si="0"/>
        <v>0.67943427249180699</v>
      </c>
      <c r="J12" s="398">
        <f t="shared" si="0"/>
        <v>3.4052381703396617</v>
      </c>
      <c r="K12" s="398">
        <f t="shared" si="0"/>
        <v>3.6349073452110212</v>
      </c>
      <c r="L12" s="398">
        <f t="shared" si="0"/>
        <v>-3.1077113835223376</v>
      </c>
      <c r="M12" s="398">
        <f t="shared" si="0"/>
        <v>-0.93882694959056023</v>
      </c>
      <c r="N12" s="398">
        <f t="shared" si="0"/>
        <v>-0.56513608600844512</v>
      </c>
      <c r="O12" s="398">
        <f t="shared" si="0"/>
        <v>-1.027275097787437</v>
      </c>
      <c r="P12" s="398">
        <f t="shared" si="0"/>
        <v>-1.571795011257995</v>
      </c>
      <c r="Q12" s="398">
        <f t="shared" si="0"/>
        <v>-1.0101222626670623</v>
      </c>
      <c r="R12" s="398">
        <f t="shared" si="0"/>
        <v>-0.20198844470225594</v>
      </c>
      <c r="S12" s="398">
        <f t="shared" si="0"/>
        <v>0.15202482434424647</v>
      </c>
      <c r="T12" s="398">
        <f t="shared" si="0"/>
        <v>0.52175554039024741</v>
      </c>
      <c r="U12" s="398">
        <f t="shared" si="0"/>
        <v>0.83201056236194548</v>
      </c>
      <c r="V12" s="398">
        <f t="shared" si="0"/>
        <v>1.0095020270174031</v>
      </c>
      <c r="W12" s="398">
        <f t="shared" si="0"/>
        <v>0.60126887606129442</v>
      </c>
    </row>
    <row r="13" spans="1:23" s="5" customFormat="1">
      <c r="A13" s="388" t="s">
        <v>248</v>
      </c>
      <c r="B13" s="393">
        <v>-0.60680178829240627</v>
      </c>
      <c r="C13" s="393">
        <v>-1.321556275517394</v>
      </c>
      <c r="D13" s="393">
        <v>-1.0398556688215816</v>
      </c>
      <c r="E13" s="393">
        <v>-0.96865315475905456</v>
      </c>
      <c r="F13" s="393">
        <v>-0.76543736606482871</v>
      </c>
      <c r="G13" s="393">
        <v>-1.0252417768492663</v>
      </c>
      <c r="H13" s="393">
        <v>-0.63435878636717591</v>
      </c>
      <c r="I13" s="393">
        <v>0.7830210591055099</v>
      </c>
      <c r="J13" s="393">
        <v>3.5287584253787698</v>
      </c>
      <c r="K13" s="393">
        <v>3.7218082855667221</v>
      </c>
      <c r="L13" s="393">
        <v>-3.1662735696673754</v>
      </c>
      <c r="M13" s="393">
        <v>-0.93957437481812234</v>
      </c>
      <c r="N13" s="393">
        <v>-0.52491081642834925</v>
      </c>
      <c r="O13" s="393">
        <v>-1.0662405582908463</v>
      </c>
      <c r="P13" s="393">
        <v>-1.593192095109879</v>
      </c>
      <c r="Q13" s="393">
        <v>-1.0326734176964656</v>
      </c>
      <c r="R13" s="393">
        <v>-0.17676930446834185</v>
      </c>
      <c r="S13" s="393">
        <v>0.20789272235087919</v>
      </c>
      <c r="T13" s="393">
        <v>0.17450259569044285</v>
      </c>
      <c r="U13" s="393">
        <v>0.5438459073646511</v>
      </c>
      <c r="V13" s="393">
        <v>0.8432934630212181</v>
      </c>
      <c r="W13" s="393">
        <v>0.45304457678450133</v>
      </c>
    </row>
    <row r="14" spans="1:23" s="5" customFormat="1">
      <c r="A14" s="388" t="s">
        <v>249</v>
      </c>
      <c r="B14" s="393">
        <v>-0.59106412162573951</v>
      </c>
      <c r="C14" s="393">
        <v>-1.2915082755173939</v>
      </c>
      <c r="D14" s="393">
        <v>-1.0021198354882483</v>
      </c>
      <c r="E14" s="393">
        <v>-0.92913032142572138</v>
      </c>
      <c r="F14" s="393">
        <v>-0.72757669939816205</v>
      </c>
      <c r="G14" s="393">
        <v>-0.99344977684926639</v>
      </c>
      <c r="H14" s="393">
        <v>-0.66095611970050927</v>
      </c>
      <c r="I14" s="393">
        <v>0.75779422577217659</v>
      </c>
      <c r="J14" s="393">
        <v>3.509418258712103</v>
      </c>
      <c r="K14" s="393">
        <v>3.713453618900056</v>
      </c>
      <c r="L14" s="393">
        <v>-3.1776845696673752</v>
      </c>
      <c r="M14" s="393">
        <v>-0.92875504148478905</v>
      </c>
      <c r="N14" s="393">
        <v>-0.48730731642834924</v>
      </c>
      <c r="O14" s="393">
        <v>-1.0242203916241797</v>
      </c>
      <c r="P14" s="393">
        <v>-1.5326142617765457</v>
      </c>
      <c r="Q14" s="393">
        <v>-0.97599041769646577</v>
      </c>
      <c r="R14" s="393">
        <v>-0.15559113780167519</v>
      </c>
      <c r="S14" s="393">
        <v>0.1561240556842125</v>
      </c>
      <c r="T14" s="393">
        <v>8.9901195690442831E-2</v>
      </c>
      <c r="U14" s="393">
        <v>0.34252150736465103</v>
      </c>
      <c r="V14" s="393">
        <v>0.71491686302121815</v>
      </c>
      <c r="W14" s="393">
        <v>0.51167776904600182</v>
      </c>
    </row>
    <row r="15" spans="1:23" s="5" customFormat="1">
      <c r="A15" s="388" t="s">
        <v>250</v>
      </c>
      <c r="B15" s="393">
        <v>-0.61122098652570644</v>
      </c>
      <c r="C15" s="393">
        <v>-1.3147639716696076</v>
      </c>
      <c r="D15" s="393">
        <v>-1.0287990307747452</v>
      </c>
      <c r="E15" s="393">
        <v>-0.95533863972837185</v>
      </c>
      <c r="F15" s="393">
        <v>-0.749954921587349</v>
      </c>
      <c r="G15" s="393">
        <v>-0.98480835126764488</v>
      </c>
      <c r="H15" s="393">
        <v>-0.68478586255248108</v>
      </c>
      <c r="I15" s="393">
        <v>0.76409326970249103</v>
      </c>
      <c r="J15" s="393">
        <v>3.5294797548993446</v>
      </c>
      <c r="K15" s="393">
        <v>3.7262975680951396</v>
      </c>
      <c r="L15" s="393">
        <v>-3.216250941637993</v>
      </c>
      <c r="M15" s="393">
        <v>-0.94493964203933212</v>
      </c>
      <c r="N15" s="393">
        <v>-0.50824649918059273</v>
      </c>
      <c r="O15" s="393">
        <v>-1.0620371481471524</v>
      </c>
      <c r="P15" s="393">
        <v>-1.5751023352624001</v>
      </c>
      <c r="Q15" s="393">
        <v>-1.0012373108004493</v>
      </c>
      <c r="R15" s="393">
        <v>-0.16413480852519743</v>
      </c>
      <c r="S15" s="393">
        <v>-0.10421966951045317</v>
      </c>
      <c r="T15" s="393">
        <v>0.11572197070954408</v>
      </c>
      <c r="U15" s="393">
        <v>0.29686315111838829</v>
      </c>
      <c r="V15" s="393">
        <v>0.59653702833520406</v>
      </c>
      <c r="W15" s="399"/>
    </row>
    <row r="16" spans="1:23" s="5" customFormat="1">
      <c r="A16" s="388"/>
      <c r="B16" s="388"/>
      <c r="C16" s="38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233"/>
    </row>
    <row r="18" spans="4:14">
      <c r="D18" s="92" t="s">
        <v>263</v>
      </c>
      <c r="N18" s="92" t="s">
        <v>264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I29"/>
  <sheetViews>
    <sheetView showGridLines="0" workbookViewId="0"/>
  </sheetViews>
  <sheetFormatPr defaultRowHeight="12.75"/>
  <cols>
    <col min="1" max="1" width="9.28515625" style="400" customWidth="1"/>
    <col min="2" max="2" width="18.7109375" style="400" customWidth="1"/>
    <col min="3" max="3" width="19.85546875" style="400" customWidth="1"/>
    <col min="4" max="4" width="12.7109375" style="400" customWidth="1"/>
    <col min="5" max="5" width="15.140625" style="400" customWidth="1"/>
    <col min="6" max="6" width="19.28515625" style="400" customWidth="1"/>
    <col min="7" max="16384" width="9.140625" style="400"/>
  </cols>
  <sheetData>
    <row r="1" spans="1:9">
      <c r="B1" s="401" t="s">
        <v>259</v>
      </c>
      <c r="C1" s="401" t="s">
        <v>260</v>
      </c>
      <c r="D1" s="401" t="s">
        <v>252</v>
      </c>
      <c r="E1" s="401" t="s">
        <v>61</v>
      </c>
      <c r="F1" s="408"/>
      <c r="G1" s="408"/>
      <c r="I1" s="92" t="s">
        <v>261</v>
      </c>
    </row>
    <row r="2" spans="1:9">
      <c r="A2" s="403">
        <v>1999</v>
      </c>
      <c r="B2" s="400">
        <v>-0.24487495928106362</v>
      </c>
      <c r="C2" s="400">
        <v>2.3476338450447939E-2</v>
      </c>
      <c r="D2" s="404">
        <v>-0.26835129773151156</v>
      </c>
      <c r="E2" s="404">
        <v>-0.58972294854933172</v>
      </c>
      <c r="F2" s="404"/>
    </row>
    <row r="3" spans="1:9">
      <c r="A3" s="403">
        <v>2000</v>
      </c>
      <c r="B3" s="400">
        <v>-0.21670109430276685</v>
      </c>
      <c r="C3" s="400">
        <v>4.7059008274634995E-2</v>
      </c>
      <c r="D3" s="404">
        <v>-0.26376010257740184</v>
      </c>
      <c r="E3" s="404">
        <v>-1.3403964179323296</v>
      </c>
      <c r="F3" s="404"/>
    </row>
    <row r="4" spans="1:9">
      <c r="A4" s="403">
        <v>2001</v>
      </c>
      <c r="B4" s="400">
        <v>-0.33221607704476663</v>
      </c>
      <c r="C4" s="400">
        <v>0.16368361573263862</v>
      </c>
      <c r="D4" s="404">
        <v>-0.49589969277740531</v>
      </c>
      <c r="E4" s="404">
        <v>-1.0846795864358085</v>
      </c>
      <c r="F4" s="404"/>
    </row>
    <row r="5" spans="1:9">
      <c r="A5" s="403">
        <v>2002</v>
      </c>
      <c r="B5" s="400">
        <v>-0.13268391921225609</v>
      </c>
      <c r="C5" s="400">
        <v>4.4374690818206372E-2</v>
      </c>
      <c r="D5" s="404">
        <v>-0.17705861003046247</v>
      </c>
      <c r="E5" s="404">
        <v>-0.99348297286372045</v>
      </c>
      <c r="F5" s="404"/>
    </row>
    <row r="6" spans="1:9">
      <c r="A6" s="403">
        <v>2003</v>
      </c>
      <c r="B6" s="400">
        <v>-0.2796841787536089</v>
      </c>
      <c r="C6" s="400">
        <v>8.0256085637094396E-2</v>
      </c>
      <c r="D6" s="404">
        <v>-0.35994026439070331</v>
      </c>
      <c r="E6" s="404">
        <v>-0.74983636488363381</v>
      </c>
      <c r="F6" s="404"/>
    </row>
    <row r="7" spans="1:9">
      <c r="A7" s="403">
        <v>2004</v>
      </c>
      <c r="B7" s="400">
        <v>-0.56934430361389565</v>
      </c>
      <c r="C7" s="400">
        <v>3.5917306974783736E-2</v>
      </c>
      <c r="D7" s="404">
        <v>-0.60526161058867933</v>
      </c>
      <c r="E7" s="404">
        <v>-1.0358869562702955</v>
      </c>
      <c r="F7" s="404"/>
    </row>
    <row r="8" spans="1:9">
      <c r="A8" s="403">
        <v>2005</v>
      </c>
      <c r="B8" s="400">
        <v>-0.14215985297800326</v>
      </c>
      <c r="C8" s="400">
        <v>-8.7570590359338799E-2</v>
      </c>
      <c r="D8" s="404">
        <v>-5.4589262618664459E-2</v>
      </c>
      <c r="E8" s="404">
        <v>-0.68234073004500206</v>
      </c>
      <c r="F8" s="404"/>
    </row>
    <row r="9" spans="1:9">
      <c r="A9" s="403">
        <v>2006</v>
      </c>
      <c r="B9" s="400">
        <v>0.14800455944988006</v>
      </c>
      <c r="C9" s="400">
        <v>-1.8635536318732618E-2</v>
      </c>
      <c r="D9" s="404">
        <v>0.16664009576861266</v>
      </c>
      <c r="E9" s="404">
        <v>0.67943427249180699</v>
      </c>
      <c r="F9" s="404"/>
    </row>
    <row r="10" spans="1:9">
      <c r="A10" s="403">
        <v>2007</v>
      </c>
      <c r="B10" s="400">
        <v>0.96720058717261415</v>
      </c>
      <c r="C10" s="400">
        <v>-5.6438001613016216E-2</v>
      </c>
      <c r="D10" s="404">
        <v>1.0236385887856303</v>
      </c>
      <c r="E10" s="404">
        <v>3.4052381703396617</v>
      </c>
      <c r="F10" s="404"/>
    </row>
    <row r="11" spans="1:9">
      <c r="A11" s="403">
        <v>2008</v>
      </c>
      <c r="B11" s="400">
        <v>1.1162171395275928</v>
      </c>
      <c r="C11" s="400">
        <v>3.5820764702070004E-2</v>
      </c>
      <c r="D11" s="404">
        <v>1.080396374825523</v>
      </c>
      <c r="E11" s="404">
        <v>3.6349073452110212</v>
      </c>
      <c r="F11" s="404"/>
    </row>
    <row r="12" spans="1:9">
      <c r="A12" s="403">
        <v>2009</v>
      </c>
      <c r="B12" s="400">
        <v>0.18639434687692538</v>
      </c>
      <c r="C12" s="400">
        <v>-8.9453664286012854E-2</v>
      </c>
      <c r="D12" s="409">
        <v>0.27584801116293822</v>
      </c>
      <c r="E12" s="409">
        <v>-3.1077113835223376</v>
      </c>
      <c r="F12" s="404"/>
    </row>
    <row r="13" spans="1:9">
      <c r="A13" s="403">
        <v>2010</v>
      </c>
      <c r="B13" s="400">
        <v>6.6147802958883353E-2</v>
      </c>
      <c r="C13" s="400">
        <v>-8.8563911172423446E-2</v>
      </c>
      <c r="D13" s="409">
        <v>0.1547117141313068</v>
      </c>
      <c r="E13" s="409">
        <v>-0.93882694959056023</v>
      </c>
      <c r="F13" s="404"/>
    </row>
    <row r="14" spans="1:9">
      <c r="A14" s="403">
        <v>2011</v>
      </c>
      <c r="B14" s="400">
        <v>0.12914848838043361</v>
      </c>
      <c r="C14" s="400">
        <v>-6.6619447874519946E-3</v>
      </c>
      <c r="D14" s="409">
        <v>0.1358104331678856</v>
      </c>
      <c r="E14" s="409">
        <v>-0.56513608600844512</v>
      </c>
      <c r="F14" s="404"/>
    </row>
    <row r="15" spans="1:9">
      <c r="A15" s="403">
        <v>2012</v>
      </c>
      <c r="B15" s="400">
        <v>-9.9010434812147469E-2</v>
      </c>
      <c r="C15" s="400">
        <v>-2.5218633573990167E-3</v>
      </c>
      <c r="D15" s="404">
        <v>-9.6488571454748442E-2</v>
      </c>
      <c r="E15" s="404">
        <v>-1.027275097787437</v>
      </c>
      <c r="F15" s="404"/>
    </row>
    <row r="16" spans="1:9">
      <c r="A16" s="403">
        <v>2013</v>
      </c>
      <c r="B16" s="400">
        <v>-0.50650699336271499</v>
      </c>
      <c r="C16" s="400">
        <v>-3.3891718803861631E-2</v>
      </c>
      <c r="D16" s="404">
        <v>-0.47261527455885327</v>
      </c>
      <c r="E16" s="404">
        <v>-1.571795011257995</v>
      </c>
      <c r="F16" s="404"/>
    </row>
    <row r="17" spans="1:9">
      <c r="A17" s="403">
        <v>2014</v>
      </c>
      <c r="B17" s="400">
        <v>-0.40581926557746717</v>
      </c>
      <c r="C17" s="400">
        <v>-5.07938567138774E-2</v>
      </c>
      <c r="D17" s="404">
        <v>-0.3550254088635898</v>
      </c>
      <c r="E17" s="404">
        <v>-1.0101222626670623</v>
      </c>
      <c r="F17" s="404"/>
    </row>
    <row r="18" spans="1:9">
      <c r="A18" s="403">
        <v>2015</v>
      </c>
      <c r="B18" s="400">
        <v>-0.17059699838514547</v>
      </c>
      <c r="C18" s="400">
        <v>6.4747437509227082E-4</v>
      </c>
      <c r="D18" s="404">
        <v>-0.17124447276023774</v>
      </c>
      <c r="E18" s="404">
        <v>-0.20198844470225594</v>
      </c>
      <c r="F18" s="404"/>
    </row>
    <row r="19" spans="1:9">
      <c r="A19" s="403">
        <v>2016</v>
      </c>
      <c r="B19" s="400">
        <v>-6.5716277347026689E-2</v>
      </c>
      <c r="C19" s="400">
        <v>6.7737335644700206E-2</v>
      </c>
      <c r="D19" s="409">
        <v>-0.13345361299172692</v>
      </c>
      <c r="E19" s="409">
        <v>0.15202482434424647</v>
      </c>
      <c r="F19" s="404"/>
    </row>
    <row r="20" spans="1:9">
      <c r="A20" s="403">
        <v>2017</v>
      </c>
      <c r="B20" s="400">
        <v>6.0893018522852907E-2</v>
      </c>
      <c r="C20" s="400">
        <v>5.7714509378227342E-2</v>
      </c>
      <c r="D20" s="409">
        <v>3.1785091446255688E-3</v>
      </c>
      <c r="E20" s="409">
        <v>0.52175554039024741</v>
      </c>
      <c r="F20" s="404"/>
    </row>
    <row r="21" spans="1:9">
      <c r="A21" s="403">
        <v>2018</v>
      </c>
      <c r="B21" s="400">
        <v>0.15258576822874551</v>
      </c>
      <c r="C21" s="400">
        <v>3.755719874596003E-2</v>
      </c>
      <c r="D21" s="407">
        <v>0.11502856948278546</v>
      </c>
      <c r="E21" s="407">
        <v>0.83201056236194548</v>
      </c>
      <c r="F21" s="404"/>
    </row>
    <row r="22" spans="1:9">
      <c r="A22" s="403">
        <v>2019</v>
      </c>
      <c r="B22" s="400">
        <v>0.16957752915006366</v>
      </c>
      <c r="C22" s="400">
        <v>4.417778619366515E-2</v>
      </c>
      <c r="D22" s="407">
        <v>0.12539974295639852</v>
      </c>
      <c r="E22" s="407">
        <v>1.0095020270174031</v>
      </c>
      <c r="F22" s="410"/>
    </row>
    <row r="23" spans="1:9">
      <c r="A23" s="403">
        <v>2020</v>
      </c>
      <c r="B23" s="400">
        <v>0.18665661388219973</v>
      </c>
      <c r="C23" s="400">
        <v>3.5882819927319981E-2</v>
      </c>
      <c r="D23" s="407">
        <v>0.15077379395487975</v>
      </c>
      <c r="E23" s="407">
        <v>0.60126887606129442</v>
      </c>
    </row>
    <row r="24" spans="1:9">
      <c r="I24" s="402"/>
    </row>
    <row r="26" spans="1:9">
      <c r="B26" s="404"/>
      <c r="C26" s="404"/>
      <c r="D26" s="404"/>
      <c r="E26" s="404"/>
      <c r="F26" s="404"/>
      <c r="G26" s="404"/>
    </row>
    <row r="27" spans="1:9">
      <c r="B27" s="404"/>
      <c r="C27" s="404"/>
      <c r="D27" s="404"/>
      <c r="E27" s="404"/>
      <c r="F27" s="404"/>
      <c r="G27" s="404"/>
    </row>
    <row r="28" spans="1:9">
      <c r="B28" s="404"/>
      <c r="C28" s="404"/>
      <c r="D28" s="404"/>
      <c r="E28" s="404"/>
      <c r="F28" s="404"/>
      <c r="G28" s="404"/>
    </row>
    <row r="29" spans="1:9">
      <c r="B29" s="404"/>
      <c r="C29" s="404"/>
      <c r="D29" s="404"/>
      <c r="E29" s="404"/>
      <c r="F29" s="404"/>
      <c r="G29" s="404"/>
    </row>
  </sheetData>
  <pageMargins left="0.7" right="0.7" top="0.75" bottom="0.75" header="0.3" footer="0.3"/>
  <pageSetup paperSize="9" scale="68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P70"/>
  <sheetViews>
    <sheetView showGridLines="0" workbookViewId="0"/>
  </sheetViews>
  <sheetFormatPr defaultRowHeight="12.75"/>
  <cols>
    <col min="1" max="1" width="9.28515625" style="400" customWidth="1"/>
    <col min="2" max="2" width="10.5703125" style="400" customWidth="1"/>
    <col min="3" max="3" width="12.85546875" style="400" customWidth="1"/>
    <col min="4" max="4" width="13.140625" style="400" customWidth="1"/>
    <col min="5" max="5" width="12.7109375" style="400" customWidth="1"/>
    <col min="6" max="6" width="15.140625" style="400" customWidth="1"/>
    <col min="7" max="7" width="19.28515625" style="400" customWidth="1"/>
    <col min="8" max="16384" width="9.140625" style="400"/>
  </cols>
  <sheetData>
    <row r="2" spans="1:10">
      <c r="B2" s="401" t="s">
        <v>252</v>
      </c>
      <c r="C2" s="401" t="s">
        <v>253</v>
      </c>
      <c r="D2" s="401" t="s">
        <v>254</v>
      </c>
      <c r="E2" s="401" t="s">
        <v>255</v>
      </c>
      <c r="F2" s="401" t="s">
        <v>256</v>
      </c>
      <c r="G2" s="401" t="s">
        <v>257</v>
      </c>
      <c r="H2" s="401" t="s">
        <v>258</v>
      </c>
      <c r="J2" s="92" t="s">
        <v>262</v>
      </c>
    </row>
    <row r="3" spans="1:10">
      <c r="A3" s="403">
        <v>1999</v>
      </c>
      <c r="B3" s="404">
        <v>-0.26835129773151156</v>
      </c>
      <c r="C3" s="400">
        <v>-1.6753530770205943E-2</v>
      </c>
      <c r="D3" s="400">
        <v>-2.2439033776690247E-2</v>
      </c>
      <c r="E3" s="400">
        <v>-7.6195477344754695E-2</v>
      </c>
      <c r="F3" s="400">
        <v>-0.12948691738941276</v>
      </c>
      <c r="G3" s="400">
        <v>2.3476338450447939E-2</v>
      </c>
      <c r="H3" s="400">
        <v>0</v>
      </c>
    </row>
    <row r="4" spans="1:10">
      <c r="A4" s="403">
        <v>2000</v>
      </c>
      <c r="B4" s="404">
        <v>-0.26376010257740184</v>
      </c>
      <c r="C4" s="400">
        <v>-8.0841963821059154E-2</v>
      </c>
      <c r="D4" s="400">
        <v>5.3162452904242499E-2</v>
      </c>
      <c r="E4" s="400">
        <v>0.1721955685156463</v>
      </c>
      <c r="F4" s="400">
        <v>-0.36121715190159653</v>
      </c>
      <c r="G4" s="400">
        <v>4.6204696395017793E-2</v>
      </c>
      <c r="H4" s="400">
        <v>8.5431187961720477E-4</v>
      </c>
    </row>
    <row r="5" spans="1:10">
      <c r="A5" s="403">
        <v>2001</v>
      </c>
      <c r="B5" s="404">
        <v>-0.49589969277740531</v>
      </c>
      <c r="C5" s="400">
        <v>-3.7831456542024078E-2</v>
      </c>
      <c r="D5" s="400">
        <v>-1.2710296650118712E-2</v>
      </c>
      <c r="E5" s="400">
        <v>-5.9215265312082967E-2</v>
      </c>
      <c r="F5" s="400">
        <v>-0.22245905854054088</v>
      </c>
      <c r="G5" s="400">
        <v>1.7435612502823886E-2</v>
      </c>
      <c r="H5" s="400">
        <v>0.14624800322981474</v>
      </c>
    </row>
    <row r="6" spans="1:10">
      <c r="A6" s="403">
        <v>2002</v>
      </c>
      <c r="B6" s="404">
        <v>-0.17705861003046247</v>
      </c>
      <c r="C6" s="400">
        <v>-5.0028814056427125E-2</v>
      </c>
      <c r="D6" s="400">
        <v>2.1634297234237217E-2</v>
      </c>
      <c r="E6" s="400">
        <v>7.3192795482831696E-2</v>
      </c>
      <c r="F6" s="400">
        <v>-0.17748219787289787</v>
      </c>
      <c r="G6" s="400">
        <v>1.7362308940305979E-2</v>
      </c>
      <c r="H6" s="400">
        <v>2.70123818779004E-2</v>
      </c>
    </row>
    <row r="7" spans="1:10">
      <c r="A7" s="403">
        <v>2003</v>
      </c>
      <c r="B7" s="404">
        <v>-0.35994026439070331</v>
      </c>
      <c r="C7" s="400">
        <v>-2.9689291362615222E-2</v>
      </c>
      <c r="D7" s="400">
        <v>-4.3023839510890789E-3</v>
      </c>
      <c r="E7" s="400">
        <v>-2.5085739263442992E-2</v>
      </c>
      <c r="F7" s="400">
        <v>-0.22060676417646166</v>
      </c>
      <c r="G7" s="400">
        <v>6.6475462404889593E-3</v>
      </c>
      <c r="H7" s="400">
        <v>7.3608539396605444E-2</v>
      </c>
    </row>
    <row r="8" spans="1:10">
      <c r="A8" s="403">
        <v>2004</v>
      </c>
      <c r="B8" s="404">
        <v>-0.60526161058867933</v>
      </c>
      <c r="C8" s="400">
        <v>1.3741600142612857E-2</v>
      </c>
      <c r="D8" s="400">
        <v>-9.4771912021660604E-2</v>
      </c>
      <c r="E8" s="400">
        <v>-0.38677079003437748</v>
      </c>
      <c r="F8" s="400">
        <v>-0.10154320170047046</v>
      </c>
      <c r="G8" s="400">
        <v>1.5141354082422393E-2</v>
      </c>
      <c r="H8" s="400">
        <v>2.0775952892361338E-2</v>
      </c>
    </row>
    <row r="9" spans="1:10">
      <c r="A9" s="403">
        <v>2005</v>
      </c>
      <c r="B9" s="404">
        <v>-5.4589262618664459E-2</v>
      </c>
      <c r="C9" s="400">
        <v>-1.8267612627492644E-2</v>
      </c>
      <c r="D9" s="400">
        <v>-1.901148621108999E-2</v>
      </c>
      <c r="E9" s="400">
        <v>-7.554164019036666E-2</v>
      </c>
      <c r="F9" s="400">
        <v>-2.9339113949053978E-2</v>
      </c>
      <c r="G9" s="400">
        <v>2.2659843300001092E-3</v>
      </c>
      <c r="H9" s="400">
        <v>-8.9836574689338894E-2</v>
      </c>
    </row>
    <row r="10" spans="1:10">
      <c r="A10" s="403">
        <v>2006</v>
      </c>
      <c r="B10" s="404">
        <v>0.16664009576861266</v>
      </c>
      <c r="C10" s="400">
        <v>4.2273548664762559E-2</v>
      </c>
      <c r="D10" s="400">
        <v>-1.894058135735345E-2</v>
      </c>
      <c r="E10" s="400">
        <v>-6.1304565086755941E-2</v>
      </c>
      <c r="F10" s="400">
        <v>0.18597615722922689</v>
      </c>
      <c r="G10" s="400">
        <v>-2.9491691193417545E-3</v>
      </c>
      <c r="H10" s="400">
        <v>-1.5686367199390865E-2</v>
      </c>
    </row>
    <row r="11" spans="1:10">
      <c r="A11" s="403">
        <v>2007</v>
      </c>
      <c r="B11" s="404">
        <v>1.0236385887856303</v>
      </c>
      <c r="C11" s="400">
        <v>0.11165924747128385</v>
      </c>
      <c r="D11" s="400">
        <v>7.4078436608128698E-2</v>
      </c>
      <c r="E11" s="400">
        <v>0.27138569402013413</v>
      </c>
      <c r="F11" s="400">
        <v>0.51007720907306742</v>
      </c>
      <c r="G11" s="400">
        <v>-7.4262052929469548E-3</v>
      </c>
      <c r="H11" s="400">
        <v>-4.9011796320069259E-2</v>
      </c>
    </row>
    <row r="12" spans="1:10">
      <c r="A12" s="403">
        <v>2008</v>
      </c>
      <c r="B12" s="404">
        <v>1.080396374825523</v>
      </c>
      <c r="C12" s="400">
        <v>0.1396664371828229</v>
      </c>
      <c r="D12" s="400">
        <v>4.9039577275303996E-2</v>
      </c>
      <c r="E12" s="400">
        <v>0.20044631253362596</v>
      </c>
      <c r="F12" s="400">
        <v>0.72706481253584021</v>
      </c>
      <c r="G12" s="400">
        <v>-1.8371267765707428E-2</v>
      </c>
      <c r="H12" s="400">
        <v>5.4192032467777436E-2</v>
      </c>
    </row>
    <row r="13" spans="1:10">
      <c r="A13" s="403">
        <v>2009</v>
      </c>
      <c r="B13" s="404">
        <v>0.27584801116293822</v>
      </c>
      <c r="C13" s="400">
        <v>-0.11375518551665628</v>
      </c>
      <c r="D13" s="400">
        <v>-2.9934607213397055E-2</v>
      </c>
      <c r="E13" s="400">
        <v>-0.11203027366916453</v>
      </c>
      <c r="F13" s="400">
        <v>0.4421144132761432</v>
      </c>
      <c r="G13" s="400">
        <v>-1.4038998638323658E-2</v>
      </c>
      <c r="H13" s="400">
        <v>-7.5414665647689186E-2</v>
      </c>
    </row>
    <row r="14" spans="1:10">
      <c r="A14" s="403">
        <v>2010</v>
      </c>
      <c r="B14" s="404">
        <v>0.1547117141313068</v>
      </c>
      <c r="C14" s="400">
        <v>-1.7963169375015374E-2</v>
      </c>
      <c r="D14" s="400">
        <v>-2.833774289560111E-2</v>
      </c>
      <c r="E14" s="400">
        <v>-0.12782469407320296</v>
      </c>
      <c r="F14" s="400">
        <v>0.2402734093027028</v>
      </c>
      <c r="G14" s="400">
        <v>1.2892364645571022E-2</v>
      </c>
      <c r="H14" s="400">
        <v>-0.10145627581799448</v>
      </c>
    </row>
    <row r="15" spans="1:10">
      <c r="A15" s="403">
        <v>2011</v>
      </c>
      <c r="B15" s="404">
        <v>0.1358104331678856</v>
      </c>
      <c r="C15" s="400">
        <v>-2.1962383523607121E-2</v>
      </c>
      <c r="D15" s="400">
        <v>-1.1385421922442576E-3</v>
      </c>
      <c r="E15" s="400">
        <v>-3.5755901357571703E-3</v>
      </c>
      <c r="F15" s="400">
        <v>0.15582500423204215</v>
      </c>
      <c r="G15" s="400">
        <v>-8.3101706309209749E-4</v>
      </c>
      <c r="H15" s="400">
        <v>-5.8309277243598964E-3</v>
      </c>
    </row>
    <row r="16" spans="1:10">
      <c r="A16" s="403">
        <v>2012</v>
      </c>
      <c r="B16" s="404">
        <v>-9.6488571454748442E-2</v>
      </c>
      <c r="C16" s="400">
        <v>-2.1657948705703436E-2</v>
      </c>
      <c r="D16" s="400">
        <v>-3.4556915729742441E-2</v>
      </c>
      <c r="E16" s="400">
        <v>-0.13252132694081925</v>
      </c>
      <c r="F16" s="400">
        <v>8.9725756564117659E-2</v>
      </c>
      <c r="G16" s="400">
        <v>2.6721319883999243E-3</v>
      </c>
      <c r="H16" s="400">
        <v>-5.1939953457989414E-3</v>
      </c>
    </row>
    <row r="17" spans="1:16">
      <c r="A17" s="403">
        <v>2013</v>
      </c>
      <c r="B17" s="404">
        <v>-0.47261527455885327</v>
      </c>
      <c r="C17" s="400">
        <v>-2.1960839856489989E-2</v>
      </c>
      <c r="D17" s="400">
        <v>-7.4250567708691192E-2</v>
      </c>
      <c r="E17" s="400">
        <v>-0.32082153622881426</v>
      </c>
      <c r="F17" s="400">
        <v>-8.9474049568719474E-2</v>
      </c>
      <c r="G17" s="400">
        <v>1.9689854449343295E-2</v>
      </c>
      <c r="H17" s="400">
        <v>-5.358157325320493E-2</v>
      </c>
    </row>
    <row r="18" spans="1:16">
      <c r="A18" s="403">
        <v>2014</v>
      </c>
      <c r="B18" s="404">
        <v>-0.3550254088635898</v>
      </c>
      <c r="C18" s="400">
        <v>-1.8931502556404512E-2</v>
      </c>
      <c r="D18" s="400">
        <v>-4.0806629775429135E-2</v>
      </c>
      <c r="E18" s="400">
        <v>-0.17253438912013289</v>
      </c>
      <c r="F18" s="400">
        <v>-0.17354674412550067</v>
      </c>
      <c r="G18" s="400">
        <v>1.6789405520972182E-2</v>
      </c>
      <c r="H18" s="400">
        <v>-6.7583262234849589E-2</v>
      </c>
    </row>
    <row r="19" spans="1:16">
      <c r="A19" s="403">
        <v>2015</v>
      </c>
      <c r="B19" s="404">
        <v>-0.17124447276023774</v>
      </c>
      <c r="C19" s="400">
        <v>-2.2100353316702716E-2</v>
      </c>
      <c r="D19" s="400">
        <v>1.6294957337104801E-2</v>
      </c>
      <c r="E19" s="400">
        <v>5.8033117379691024E-2</v>
      </c>
      <c r="F19" s="400">
        <v>-0.2228247197852386</v>
      </c>
      <c r="G19" s="400">
        <v>1.0014078139393033E-2</v>
      </c>
      <c r="H19" s="400">
        <v>-9.366603764300761E-3</v>
      </c>
    </row>
    <row r="20" spans="1:16">
      <c r="A20" s="403">
        <v>2016</v>
      </c>
      <c r="B20" s="404">
        <v>-0.13345361299172692</v>
      </c>
      <c r="C20" s="400">
        <v>-2.0932980950212007E-2</v>
      </c>
      <c r="D20" s="400">
        <v>3.8030141516815004E-2</v>
      </c>
      <c r="E20" s="400">
        <v>0.15483306461199076</v>
      </c>
      <c r="F20" s="400">
        <v>-0.23764650252562042</v>
      </c>
      <c r="G20" s="400">
        <v>-6.8004465392029008E-4</v>
      </c>
      <c r="H20" s="400">
        <v>6.8417380298620489E-2</v>
      </c>
    </row>
    <row r="21" spans="1:16">
      <c r="A21" s="403">
        <v>2017</v>
      </c>
      <c r="B21" s="404">
        <v>3.1785091446255688E-3</v>
      </c>
      <c r="C21" s="400">
        <v>-7.3640620358422166E-3</v>
      </c>
      <c r="D21" s="400">
        <v>4.558362432863082E-2</v>
      </c>
      <c r="E21" s="400">
        <v>0.19675636977562039</v>
      </c>
      <c r="F21" s="400">
        <v>-0.17408291354555608</v>
      </c>
      <c r="G21" s="400">
        <v>-1.1263924576416319E-2</v>
      </c>
      <c r="H21" s="400">
        <v>6.8978433954643661E-2</v>
      </c>
    </row>
    <row r="22" spans="1:16">
      <c r="A22" s="403">
        <v>2018</v>
      </c>
      <c r="B22" s="404">
        <v>0.11502856948278546</v>
      </c>
      <c r="C22" s="400">
        <v>5.1428649588218115E-3</v>
      </c>
      <c r="D22" s="400">
        <v>5.0903146783637818E-2</v>
      </c>
      <c r="E22" s="400">
        <v>0.21708595660867466</v>
      </c>
      <c r="F22" s="400">
        <v>-0.1205462001223888</v>
      </c>
      <c r="G22" s="400">
        <v>-1.2118717626745566E-2</v>
      </c>
      <c r="H22" s="400">
        <v>4.9675916372705596E-2</v>
      </c>
    </row>
    <row r="23" spans="1:16">
      <c r="A23" s="403">
        <v>2019</v>
      </c>
      <c r="B23" s="404">
        <v>0.12539974295639852</v>
      </c>
      <c r="C23" s="400">
        <v>2.3955824880270954E-2</v>
      </c>
      <c r="D23" s="400">
        <v>3.8761142739851005E-2</v>
      </c>
      <c r="E23" s="400">
        <v>0.16273573603613425</v>
      </c>
      <c r="F23" s="400">
        <v>-5.5875174506192539E-2</v>
      </c>
      <c r="G23" s="400">
        <v>-8.3061007227390425E-3</v>
      </c>
      <c r="H23" s="400">
        <v>5.2483886916404189E-2</v>
      </c>
    </row>
    <row r="24" spans="1:16">
      <c r="A24" s="403">
        <v>2020</v>
      </c>
      <c r="B24" s="404">
        <v>0.15077379395487975</v>
      </c>
      <c r="C24" s="400">
        <v>8.986986485008076E-3</v>
      </c>
      <c r="D24" s="400">
        <v>3.1073188254823178E-2</v>
      </c>
      <c r="E24" s="400">
        <v>0.12809025713552846</v>
      </c>
      <c r="F24" s="400">
        <v>1.8506182006840018E-2</v>
      </c>
      <c r="G24" s="400">
        <v>-5.4934750869304839E-3</v>
      </c>
      <c r="H24" s="400">
        <v>4.1376295014250462E-2</v>
      </c>
    </row>
    <row r="26" spans="1:16">
      <c r="A26" s="405"/>
      <c r="B26" s="405"/>
      <c r="C26" s="405"/>
      <c r="D26" s="405"/>
      <c r="E26" s="405"/>
      <c r="F26" s="405"/>
      <c r="G26" s="405"/>
    </row>
    <row r="27" spans="1:16">
      <c r="A27" s="405"/>
      <c r="B27" s="405"/>
      <c r="C27" s="405"/>
      <c r="D27" s="405"/>
      <c r="E27" s="405"/>
      <c r="F27" s="405"/>
      <c r="G27" s="405"/>
    </row>
    <row r="28" spans="1:16">
      <c r="A28" s="406"/>
      <c r="B28" s="407"/>
      <c r="C28" s="405"/>
      <c r="D28" s="407"/>
      <c r="E28" s="407"/>
      <c r="F28" s="405"/>
      <c r="G28" s="405"/>
      <c r="O28" s="404"/>
      <c r="P28" s="404"/>
    </row>
    <row r="29" spans="1:16">
      <c r="A29" s="406"/>
      <c r="B29" s="407"/>
      <c r="C29" s="405"/>
      <c r="D29" s="407"/>
      <c r="E29" s="407"/>
      <c r="F29" s="405"/>
      <c r="G29" s="405"/>
      <c r="O29" s="404"/>
      <c r="P29" s="404"/>
    </row>
    <row r="30" spans="1:16">
      <c r="A30" s="406"/>
      <c r="B30" s="407"/>
      <c r="C30" s="405"/>
      <c r="D30" s="407"/>
      <c r="E30" s="407"/>
      <c r="F30" s="405"/>
      <c r="G30" s="405"/>
      <c r="O30" s="404"/>
      <c r="P30" s="404"/>
    </row>
    <row r="31" spans="1:16">
      <c r="A31" s="406"/>
      <c r="B31" s="407"/>
      <c r="C31" s="405"/>
      <c r="D31" s="407"/>
      <c r="E31" s="407"/>
      <c r="F31" s="405"/>
      <c r="G31" s="405"/>
      <c r="O31" s="404"/>
      <c r="P31" s="404"/>
    </row>
    <row r="32" spans="1:16">
      <c r="A32" s="406"/>
      <c r="B32" s="407"/>
      <c r="C32" s="405"/>
      <c r="D32" s="405"/>
      <c r="E32" s="405"/>
      <c r="F32" s="405"/>
      <c r="G32" s="405"/>
      <c r="O32" s="404"/>
      <c r="P32" s="404"/>
    </row>
    <row r="33" spans="1:16">
      <c r="A33" s="406"/>
      <c r="B33" s="407"/>
      <c r="C33" s="405"/>
      <c r="D33" s="405"/>
      <c r="E33" s="405"/>
      <c r="F33" s="405"/>
      <c r="G33" s="405"/>
      <c r="O33" s="404"/>
      <c r="P33" s="404"/>
    </row>
    <row r="34" spans="1:16">
      <c r="A34" s="406"/>
      <c r="B34" s="407"/>
      <c r="C34" s="405"/>
      <c r="D34" s="405"/>
      <c r="E34" s="405"/>
      <c r="F34" s="405"/>
      <c r="G34" s="405"/>
      <c r="O34" s="404"/>
      <c r="P34" s="404"/>
    </row>
    <row r="35" spans="1:16">
      <c r="A35" s="406"/>
      <c r="B35" s="407"/>
      <c r="C35" s="405"/>
      <c r="D35" s="405"/>
      <c r="E35" s="405"/>
      <c r="F35" s="405"/>
      <c r="G35" s="405"/>
      <c r="O35" s="404"/>
      <c r="P35" s="404"/>
    </row>
    <row r="36" spans="1:16">
      <c r="A36" s="405"/>
      <c r="B36" s="405"/>
      <c r="C36" s="405"/>
      <c r="D36" s="405"/>
      <c r="E36" s="405"/>
      <c r="F36" s="405"/>
      <c r="G36" s="405"/>
      <c r="O36" s="404"/>
      <c r="P36" s="404"/>
    </row>
    <row r="37" spans="1:16">
      <c r="A37" s="405"/>
      <c r="B37" s="405"/>
      <c r="C37" s="405"/>
      <c r="D37" s="405"/>
      <c r="E37" s="405"/>
      <c r="F37" s="405"/>
      <c r="G37" s="405"/>
      <c r="O37" s="404"/>
      <c r="P37" s="404"/>
    </row>
    <row r="38" spans="1:16">
      <c r="A38" s="405"/>
      <c r="B38" s="405"/>
      <c r="C38" s="405"/>
      <c r="D38" s="405"/>
      <c r="E38" s="405"/>
      <c r="F38" s="405"/>
      <c r="G38" s="405"/>
      <c r="O38" s="404"/>
      <c r="P38" s="404"/>
    </row>
    <row r="39" spans="1:16">
      <c r="A39" s="405"/>
      <c r="B39" s="405"/>
      <c r="C39" s="405"/>
      <c r="D39" s="405"/>
      <c r="E39" s="405"/>
      <c r="F39" s="405"/>
      <c r="G39" s="405"/>
      <c r="O39" s="404"/>
      <c r="P39" s="404"/>
    </row>
    <row r="40" spans="1:16">
      <c r="A40" s="405"/>
      <c r="B40" s="405"/>
      <c r="C40" s="405"/>
      <c r="D40" s="405"/>
      <c r="E40" s="405"/>
      <c r="F40" s="405"/>
      <c r="G40" s="405"/>
      <c r="O40" s="404"/>
      <c r="P40" s="404"/>
    </row>
    <row r="41" spans="1:16">
      <c r="A41" s="405"/>
      <c r="B41" s="405"/>
      <c r="C41" s="405"/>
      <c r="D41" s="405"/>
      <c r="E41" s="405"/>
      <c r="F41" s="405"/>
      <c r="G41" s="405"/>
      <c r="O41" s="404"/>
      <c r="P41" s="404"/>
    </row>
    <row r="42" spans="1:16">
      <c r="A42" s="405"/>
      <c r="B42" s="405"/>
      <c r="C42" s="405"/>
      <c r="D42" s="405"/>
      <c r="E42" s="405"/>
      <c r="F42" s="405"/>
      <c r="G42" s="405"/>
      <c r="O42" s="404"/>
      <c r="P42" s="404"/>
    </row>
    <row r="43" spans="1:16">
      <c r="A43" s="405"/>
      <c r="B43" s="405"/>
      <c r="C43" s="405"/>
      <c r="D43" s="405"/>
      <c r="E43" s="405"/>
      <c r="F43" s="405"/>
      <c r="G43" s="405"/>
      <c r="O43" s="404"/>
      <c r="P43" s="404"/>
    </row>
    <row r="44" spans="1:16">
      <c r="A44" s="405"/>
      <c r="B44" s="405"/>
      <c r="C44" s="405"/>
      <c r="D44" s="405"/>
      <c r="E44" s="405"/>
      <c r="F44" s="405"/>
      <c r="G44" s="405"/>
      <c r="O44" s="404"/>
      <c r="P44" s="404"/>
    </row>
    <row r="45" spans="1:16">
      <c r="A45" s="405"/>
      <c r="B45" s="405"/>
      <c r="C45" s="405"/>
      <c r="D45" s="405"/>
      <c r="E45" s="405"/>
      <c r="F45" s="405"/>
      <c r="G45" s="405"/>
      <c r="O45" s="404"/>
      <c r="P45" s="404"/>
    </row>
    <row r="46" spans="1:16">
      <c r="A46" s="405"/>
      <c r="B46" s="405"/>
      <c r="C46" s="405"/>
      <c r="D46" s="405"/>
      <c r="E46" s="405"/>
      <c r="F46" s="405"/>
      <c r="G46" s="405"/>
      <c r="O46" s="404"/>
      <c r="P46" s="404"/>
    </row>
    <row r="47" spans="1:16">
      <c r="A47" s="405"/>
      <c r="B47" s="405"/>
      <c r="C47" s="405"/>
      <c r="D47" s="405"/>
      <c r="E47" s="405"/>
      <c r="F47" s="405"/>
      <c r="G47" s="405"/>
      <c r="O47" s="404"/>
      <c r="P47" s="404"/>
    </row>
    <row r="48" spans="1:16">
      <c r="A48" s="405"/>
      <c r="B48" s="405"/>
      <c r="C48" s="405"/>
      <c r="D48" s="405"/>
      <c r="E48" s="405"/>
      <c r="F48" s="405"/>
      <c r="G48" s="405"/>
    </row>
    <row r="49" spans="1:8">
      <c r="A49" s="405"/>
      <c r="B49" s="405"/>
      <c r="C49" s="405"/>
      <c r="D49" s="407"/>
      <c r="E49" s="407"/>
      <c r="F49" s="407"/>
      <c r="G49" s="407"/>
      <c r="H49" s="404"/>
    </row>
    <row r="50" spans="1:8">
      <c r="A50" s="405"/>
      <c r="B50" s="405"/>
      <c r="C50" s="405"/>
      <c r="D50" s="407"/>
      <c r="E50" s="407"/>
      <c r="F50" s="407"/>
      <c r="G50" s="407"/>
      <c r="H50" s="404"/>
    </row>
    <row r="51" spans="1:8">
      <c r="A51" s="405"/>
      <c r="B51" s="405"/>
      <c r="C51" s="405"/>
      <c r="D51" s="407"/>
      <c r="E51" s="407"/>
      <c r="F51" s="407"/>
      <c r="G51" s="407"/>
      <c r="H51" s="404"/>
    </row>
    <row r="52" spans="1:8">
      <c r="A52" s="405"/>
      <c r="B52" s="405"/>
      <c r="C52" s="407"/>
      <c r="D52" s="407"/>
      <c r="E52" s="407"/>
      <c r="F52" s="407"/>
      <c r="G52" s="407"/>
      <c r="H52" s="404"/>
    </row>
    <row r="53" spans="1:8">
      <c r="A53" s="405"/>
      <c r="B53" s="405"/>
      <c r="C53" s="407"/>
      <c r="D53" s="407"/>
      <c r="E53" s="407"/>
      <c r="F53" s="407"/>
      <c r="G53" s="407"/>
      <c r="H53" s="404"/>
    </row>
    <row r="54" spans="1:8">
      <c r="A54" s="405"/>
      <c r="B54" s="405"/>
      <c r="C54" s="407"/>
      <c r="D54" s="407"/>
      <c r="E54" s="407"/>
      <c r="F54" s="407"/>
      <c r="G54" s="407"/>
      <c r="H54" s="404"/>
    </row>
    <row r="55" spans="1:8">
      <c r="C55" s="404"/>
      <c r="D55" s="404"/>
      <c r="E55" s="404"/>
      <c r="F55" s="404"/>
      <c r="G55" s="404"/>
      <c r="H55" s="404"/>
    </row>
    <row r="56" spans="1:8">
      <c r="C56" s="404"/>
      <c r="D56" s="404"/>
      <c r="E56" s="404"/>
      <c r="F56" s="404"/>
      <c r="G56" s="404"/>
      <c r="H56" s="404"/>
    </row>
    <row r="57" spans="1:8">
      <c r="C57" s="404"/>
      <c r="D57" s="404"/>
      <c r="E57" s="404"/>
      <c r="F57" s="404"/>
      <c r="G57" s="404"/>
      <c r="H57" s="404"/>
    </row>
    <row r="58" spans="1:8">
      <c r="C58" s="404"/>
      <c r="D58" s="404"/>
      <c r="E58" s="404"/>
      <c r="F58" s="404"/>
      <c r="G58" s="404"/>
      <c r="H58" s="404"/>
    </row>
    <row r="59" spans="1:8">
      <c r="C59" s="404"/>
      <c r="D59" s="404"/>
      <c r="E59" s="404"/>
      <c r="F59" s="404"/>
      <c r="G59" s="404"/>
      <c r="H59" s="404"/>
    </row>
    <row r="60" spans="1:8">
      <c r="C60" s="404"/>
      <c r="D60" s="404"/>
      <c r="E60" s="404"/>
      <c r="F60" s="404"/>
      <c r="G60" s="404"/>
      <c r="H60" s="404"/>
    </row>
    <row r="61" spans="1:8">
      <c r="C61" s="404"/>
      <c r="D61" s="404"/>
      <c r="E61" s="404"/>
      <c r="F61" s="404"/>
      <c r="G61" s="404"/>
      <c r="H61" s="404"/>
    </row>
    <row r="62" spans="1:8">
      <c r="C62" s="404"/>
      <c r="D62" s="404"/>
      <c r="E62" s="404"/>
      <c r="F62" s="404"/>
      <c r="G62" s="404"/>
      <c r="H62" s="404"/>
    </row>
    <row r="63" spans="1:8">
      <c r="C63" s="404"/>
      <c r="D63" s="404"/>
      <c r="E63" s="404"/>
      <c r="F63" s="404"/>
      <c r="G63" s="404"/>
      <c r="H63" s="404"/>
    </row>
    <row r="64" spans="1:8">
      <c r="C64" s="404"/>
      <c r="D64" s="404"/>
      <c r="E64" s="404"/>
      <c r="F64" s="404"/>
      <c r="G64" s="404"/>
      <c r="H64" s="404"/>
    </row>
    <row r="65" spans="3:8">
      <c r="C65" s="404"/>
      <c r="D65" s="404"/>
      <c r="E65" s="404"/>
      <c r="F65" s="404"/>
      <c r="G65" s="404"/>
      <c r="H65" s="404"/>
    </row>
    <row r="66" spans="3:8">
      <c r="C66" s="404"/>
      <c r="D66" s="404"/>
      <c r="E66" s="404"/>
      <c r="F66" s="404"/>
      <c r="G66" s="404"/>
      <c r="H66" s="404"/>
    </row>
    <row r="67" spans="3:8">
      <c r="C67" s="404"/>
      <c r="D67" s="404"/>
      <c r="E67" s="404"/>
      <c r="F67" s="404"/>
      <c r="G67" s="404"/>
      <c r="H67" s="404"/>
    </row>
    <row r="68" spans="3:8">
      <c r="C68" s="404"/>
      <c r="D68" s="404"/>
      <c r="E68" s="404"/>
      <c r="F68" s="404"/>
      <c r="G68" s="404"/>
      <c r="H68" s="404"/>
    </row>
    <row r="69" spans="3:8">
      <c r="C69" s="404"/>
      <c r="D69" s="404"/>
      <c r="E69" s="404"/>
      <c r="F69" s="404"/>
      <c r="G69" s="404"/>
      <c r="H69" s="404"/>
    </row>
    <row r="70" spans="3:8">
      <c r="C70" s="404"/>
      <c r="D70" s="404"/>
      <c r="E70" s="404"/>
      <c r="F70" s="404"/>
      <c r="G70" s="404"/>
      <c r="H70" s="404"/>
    </row>
  </sheetData>
  <pageMargins left="0.7" right="0.7" top="0.75" bottom="0.75" header="0.3" footer="0.3"/>
  <pageSetup paperSize="9" scale="7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showGridLines="0" workbookViewId="0">
      <selection sqref="A1:E1"/>
    </sheetView>
  </sheetViews>
  <sheetFormatPr defaultRowHeight="15"/>
  <cols>
    <col min="1" max="1" width="47.85546875" style="530" customWidth="1"/>
    <col min="2" max="2" width="9.140625" style="530" customWidth="1"/>
    <col min="3" max="3" width="9.140625" style="530"/>
    <col min="4" max="4" width="9" style="530" customWidth="1"/>
    <col min="5" max="16384" width="9.140625" style="530"/>
  </cols>
  <sheetData>
    <row r="1" spans="1:5">
      <c r="A1" s="1489" t="s">
        <v>540</v>
      </c>
      <c r="B1" s="1489"/>
      <c r="C1" s="1489"/>
      <c r="D1" s="1489"/>
      <c r="E1" s="1489"/>
    </row>
    <row r="2" spans="1:5">
      <c r="A2" s="531"/>
      <c r="B2" s="532" t="s">
        <v>541</v>
      </c>
      <c r="C2" s="532">
        <v>2018</v>
      </c>
      <c r="D2" s="533">
        <v>2019</v>
      </c>
      <c r="E2" s="534">
        <v>2020</v>
      </c>
    </row>
    <row r="3" spans="1:5" ht="15" customHeight="1">
      <c r="A3" s="589" t="s">
        <v>542</v>
      </c>
      <c r="B3" s="590">
        <f>B5+B6+B7+B14</f>
        <v>332.02938449463215</v>
      </c>
      <c r="C3" s="591">
        <f>C5+C6+C7+C14</f>
        <v>573.74607354688771</v>
      </c>
      <c r="D3" s="591">
        <f>D5+D6+D7+D14</f>
        <v>821.26246579193958</v>
      </c>
      <c r="E3" s="590">
        <f>E5+E6+E7+E14</f>
        <v>1011.7132644941054</v>
      </c>
    </row>
    <row r="4" spans="1:5">
      <c r="A4" s="535" t="s">
        <v>509</v>
      </c>
      <c r="B4" s="538">
        <v>0.39152385914979798</v>
      </c>
      <c r="C4" s="592">
        <v>0.63954266204957688</v>
      </c>
      <c r="D4" s="593">
        <v>0.8600373581514319</v>
      </c>
      <c r="E4" s="538">
        <v>0.99920425296872173</v>
      </c>
    </row>
    <row r="5" spans="1:5">
      <c r="A5" s="541" t="s">
        <v>543</v>
      </c>
      <c r="B5" s="557">
        <v>1.0463844946321501</v>
      </c>
      <c r="C5" s="543">
        <v>-133.32692645311224</v>
      </c>
      <c r="D5" s="544">
        <v>97.851465791939575</v>
      </c>
      <c r="E5" s="542">
        <v>131.60126449410541</v>
      </c>
    </row>
    <row r="6" spans="1:5">
      <c r="A6" s="541" t="s">
        <v>544</v>
      </c>
      <c r="B6" s="542">
        <v>24.9</v>
      </c>
      <c r="C6" s="543">
        <v>10</v>
      </c>
      <c r="D6" s="544">
        <v>10</v>
      </c>
      <c r="E6" s="542">
        <v>10</v>
      </c>
    </row>
    <row r="7" spans="1:5">
      <c r="A7" s="541" t="s">
        <v>545</v>
      </c>
      <c r="B7" s="542">
        <f t="shared" ref="B7:E7" si="0">SUM(B8:B13)</f>
        <v>242.80199999999999</v>
      </c>
      <c r="C7" s="543">
        <f t="shared" si="0"/>
        <v>697.07299999999998</v>
      </c>
      <c r="D7" s="544">
        <f t="shared" si="0"/>
        <v>713.41099999999994</v>
      </c>
      <c r="E7" s="542">
        <f t="shared" si="0"/>
        <v>870.11199999999997</v>
      </c>
    </row>
    <row r="8" spans="1:5">
      <c r="A8" s="545" t="s">
        <v>546</v>
      </c>
      <c r="B8" s="549">
        <v>14.201000000000001</v>
      </c>
      <c r="C8" s="550">
        <v>106.65300000000001</v>
      </c>
      <c r="D8" s="551">
        <v>195.357</v>
      </c>
      <c r="E8" s="549">
        <v>196.357</v>
      </c>
    </row>
    <row r="9" spans="1:5">
      <c r="A9" s="545" t="s">
        <v>547</v>
      </c>
      <c r="B9" s="549">
        <v>4.7569999999999997</v>
      </c>
      <c r="C9" s="550">
        <v>167.77099999999999</v>
      </c>
      <c r="D9" s="551">
        <v>303.27300000000002</v>
      </c>
      <c r="E9" s="549">
        <v>458.72199999999998</v>
      </c>
    </row>
    <row r="10" spans="1:5">
      <c r="A10" s="545" t="s">
        <v>548</v>
      </c>
      <c r="B10" s="549">
        <v>103.33499999999999</v>
      </c>
      <c r="C10" s="550">
        <v>124.206</v>
      </c>
      <c r="D10" s="551">
        <v>170</v>
      </c>
      <c r="E10" s="549">
        <v>170</v>
      </c>
    </row>
    <row r="11" spans="1:5">
      <c r="A11" s="545" t="s">
        <v>549</v>
      </c>
      <c r="B11" s="549">
        <v>88.741</v>
      </c>
      <c r="C11" s="550">
        <v>158.44300000000001</v>
      </c>
      <c r="D11" s="551">
        <v>44.780999999999999</v>
      </c>
      <c r="E11" s="549">
        <v>45.033000000000001</v>
      </c>
    </row>
    <row r="12" spans="1:5">
      <c r="A12" s="545" t="s">
        <v>550</v>
      </c>
      <c r="B12" s="549">
        <v>31.768000000000001</v>
      </c>
      <c r="C12" s="550">
        <v>0</v>
      </c>
      <c r="D12" s="551">
        <v>0</v>
      </c>
      <c r="E12" s="549">
        <v>0</v>
      </c>
    </row>
    <row r="13" spans="1:5">
      <c r="A13" s="552" t="s">
        <v>551</v>
      </c>
      <c r="B13" s="594">
        <v>0</v>
      </c>
      <c r="C13" s="554">
        <v>140</v>
      </c>
      <c r="D13" s="555">
        <v>0</v>
      </c>
      <c r="E13" s="553">
        <v>0</v>
      </c>
    </row>
    <row r="14" spans="1:5">
      <c r="A14" s="595" t="s">
        <v>552</v>
      </c>
      <c r="B14" s="553">
        <v>63.280999999999999</v>
      </c>
      <c r="C14" s="554">
        <v>0</v>
      </c>
      <c r="D14" s="555">
        <v>0</v>
      </c>
      <c r="E14" s="553">
        <v>0</v>
      </c>
    </row>
    <row r="15" spans="1:5">
      <c r="A15" s="595" t="s">
        <v>553</v>
      </c>
      <c r="B15" s="1493" t="s">
        <v>535</v>
      </c>
      <c r="C15" s="1493"/>
      <c r="D15" s="1493"/>
      <c r="E15" s="1494"/>
    </row>
    <row r="16" spans="1:5">
      <c r="A16" s="596" t="s">
        <v>538</v>
      </c>
      <c r="E16" s="597" t="s">
        <v>3</v>
      </c>
    </row>
    <row r="17" spans="1:1">
      <c r="A17" s="596" t="s">
        <v>554</v>
      </c>
    </row>
  </sheetData>
  <mergeCells count="2">
    <mergeCell ref="A1:E1"/>
    <mergeCell ref="B15:E15"/>
  </mergeCells>
  <pageMargins left="0.7" right="0.7" top="0.75" bottom="0.75" header="0.3" footer="0.3"/>
  <pageSetup paperSize="9" scale="40" orientation="portrait" r:id="rId1"/>
  <ignoredErrors>
    <ignoredError sqref="B7:E7" formulaRange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BL227"/>
  <sheetViews>
    <sheetView showGridLines="0" workbookViewId="0">
      <pane xSplit="1" ySplit="1" topLeftCell="N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/>
  <cols>
    <col min="1" max="1" width="6.7109375" style="434" customWidth="1"/>
    <col min="2" max="3" width="11.140625" style="412" customWidth="1"/>
    <col min="4" max="4" width="11.140625" style="413" customWidth="1"/>
    <col min="5" max="6" width="11.140625" style="414" customWidth="1"/>
    <col min="7" max="8" width="11.140625" style="412" customWidth="1"/>
    <col min="9" max="9" width="22.5703125" style="434" customWidth="1"/>
    <col min="10" max="11" width="12.5703125" style="421" customWidth="1"/>
    <col min="12" max="12" width="12.5703125" style="418" customWidth="1"/>
    <col min="13" max="15" width="12.5703125" style="421" customWidth="1"/>
    <col min="16" max="16384" width="9.140625" style="419"/>
  </cols>
  <sheetData>
    <row r="1" spans="1:27">
      <c r="A1" s="411" t="s">
        <v>265</v>
      </c>
      <c r="H1" s="415"/>
      <c r="I1" s="416"/>
      <c r="J1" s="417" t="s">
        <v>266</v>
      </c>
      <c r="K1" s="417" t="s">
        <v>266</v>
      </c>
      <c r="L1" s="418" t="s">
        <v>266</v>
      </c>
      <c r="M1" s="417" t="s">
        <v>266</v>
      </c>
      <c r="N1" s="417" t="s">
        <v>266</v>
      </c>
      <c r="O1" s="417" t="s">
        <v>266</v>
      </c>
    </row>
    <row r="2" spans="1:27">
      <c r="A2" s="411"/>
      <c r="B2" s="414" t="s">
        <v>267</v>
      </c>
      <c r="C2" s="412" t="s">
        <v>268</v>
      </c>
      <c r="D2" s="413" t="s">
        <v>269</v>
      </c>
      <c r="E2" s="414" t="s">
        <v>267</v>
      </c>
      <c r="F2" s="414" t="s">
        <v>270</v>
      </c>
      <c r="G2" s="415" t="s">
        <v>271</v>
      </c>
      <c r="H2" s="415"/>
      <c r="I2" s="416"/>
      <c r="J2" s="420" t="s">
        <v>267</v>
      </c>
      <c r="K2" s="421" t="s">
        <v>268</v>
      </c>
      <c r="L2" s="422" t="s">
        <v>269</v>
      </c>
      <c r="M2" s="420" t="s">
        <v>267</v>
      </c>
      <c r="N2" s="420" t="s">
        <v>270</v>
      </c>
      <c r="O2" s="423" t="s">
        <v>271</v>
      </c>
    </row>
    <row r="3" spans="1:27">
      <c r="A3" s="424" t="s">
        <v>272</v>
      </c>
      <c r="B3" s="425">
        <v>-19</v>
      </c>
      <c r="C3" s="425">
        <v>8</v>
      </c>
      <c r="D3" s="426">
        <v>82</v>
      </c>
      <c r="E3" s="427">
        <v>-19.666666666666668</v>
      </c>
      <c r="F3" s="427">
        <v>33</v>
      </c>
      <c r="G3" s="425">
        <v>52.198736347994952</v>
      </c>
      <c r="H3" s="425">
        <v>2041.1209523809525</v>
      </c>
      <c r="I3" s="428"/>
      <c r="J3" s="429">
        <f t="shared" ref="J3:J34" si="0">AVERAGE(B$3:B$82)</f>
        <v>-40.437500000000007</v>
      </c>
      <c r="K3" s="429">
        <f t="shared" ref="K3:K34" si="1">AVERAGE(C$3:C$82)</f>
        <v>7.9499999999999984</v>
      </c>
      <c r="L3" s="430">
        <f t="shared" ref="L3:L34" si="2">AVERAGE(D$3:D$82)</f>
        <v>81.512500000000003</v>
      </c>
      <c r="M3" s="429">
        <f t="shared" ref="M3:M34" si="3">AVERAGE(E$3:E$82)</f>
        <v>-12.558333333333334</v>
      </c>
      <c r="N3" s="429">
        <f t="shared" ref="N3:N34" si="4">AVERAGE(F$3:F$82)</f>
        <v>16.76250000000001</v>
      </c>
      <c r="O3" s="429">
        <f t="shared" ref="O3:O34" si="5">AVERAGE(G$3:G$82)</f>
        <v>88.164932701036122</v>
      </c>
      <c r="Q3" s="431" t="s">
        <v>273</v>
      </c>
      <c r="AA3" s="431" t="s">
        <v>293</v>
      </c>
    </row>
    <row r="4" spans="1:27">
      <c r="A4" s="424" t="s">
        <v>275</v>
      </c>
      <c r="B4" s="425">
        <v>-17.666666666666668</v>
      </c>
      <c r="C4" s="425">
        <v>5.666666666666667</v>
      </c>
      <c r="D4" s="426">
        <v>82</v>
      </c>
      <c r="E4" s="427">
        <v>-23</v>
      </c>
      <c r="F4" s="427">
        <v>30.666666666666668</v>
      </c>
      <c r="G4" s="425">
        <v>54.020741259259758</v>
      </c>
      <c r="H4" s="425">
        <v>2227.612461538462</v>
      </c>
      <c r="I4" s="428"/>
      <c r="J4" s="429">
        <f t="shared" si="0"/>
        <v>-40.437500000000007</v>
      </c>
      <c r="K4" s="429">
        <f t="shared" si="1"/>
        <v>7.9499999999999984</v>
      </c>
      <c r="L4" s="430">
        <f t="shared" si="2"/>
        <v>81.512500000000003</v>
      </c>
      <c r="M4" s="429">
        <f t="shared" si="3"/>
        <v>-12.558333333333334</v>
      </c>
      <c r="N4" s="429">
        <f t="shared" si="4"/>
        <v>16.76250000000001</v>
      </c>
      <c r="O4" s="429">
        <f t="shared" si="5"/>
        <v>88.164932701036122</v>
      </c>
    </row>
    <row r="5" spans="1:27">
      <c r="A5" s="424" t="s">
        <v>276</v>
      </c>
      <c r="B5" s="425">
        <v>-7.333333333333333</v>
      </c>
      <c r="C5" s="425">
        <v>5</v>
      </c>
      <c r="D5" s="426">
        <v>83</v>
      </c>
      <c r="E5" s="427">
        <v>-7.666666666666667</v>
      </c>
      <c r="F5" s="427">
        <v>37.666666666666664</v>
      </c>
      <c r="G5" s="425">
        <v>55.248329622687123</v>
      </c>
      <c r="H5" s="425">
        <v>2547.8945454545456</v>
      </c>
      <c r="I5" s="428"/>
      <c r="J5" s="429">
        <f t="shared" si="0"/>
        <v>-40.437500000000007</v>
      </c>
      <c r="K5" s="429">
        <f t="shared" si="1"/>
        <v>7.9499999999999984</v>
      </c>
      <c r="L5" s="430">
        <f t="shared" si="2"/>
        <v>81.512500000000003</v>
      </c>
      <c r="M5" s="429">
        <f t="shared" si="3"/>
        <v>-12.558333333333334</v>
      </c>
      <c r="N5" s="429">
        <f t="shared" si="4"/>
        <v>16.76250000000001</v>
      </c>
      <c r="O5" s="429">
        <f t="shared" si="5"/>
        <v>88.164932701036122</v>
      </c>
    </row>
    <row r="6" spans="1:27">
      <c r="A6" s="424" t="s">
        <v>277</v>
      </c>
      <c r="B6" s="425">
        <v>-15.333333333333334</v>
      </c>
      <c r="C6" s="425">
        <v>4.666666666666667</v>
      </c>
      <c r="D6" s="426">
        <v>82</v>
      </c>
      <c r="E6" s="427">
        <v>-4.333333333333333</v>
      </c>
      <c r="F6" s="427">
        <v>6.666666666666667</v>
      </c>
      <c r="G6" s="425">
        <v>55.812281284433197</v>
      </c>
      <c r="H6" s="425">
        <v>2454.8057575757566</v>
      </c>
      <c r="I6" s="428"/>
      <c r="J6" s="429">
        <f t="shared" si="0"/>
        <v>-40.437500000000007</v>
      </c>
      <c r="K6" s="429">
        <f t="shared" si="1"/>
        <v>7.9499999999999984</v>
      </c>
      <c r="L6" s="430">
        <f t="shared" si="2"/>
        <v>81.512500000000003</v>
      </c>
      <c r="M6" s="429">
        <f t="shared" si="3"/>
        <v>-12.558333333333334</v>
      </c>
      <c r="N6" s="429">
        <f t="shared" si="4"/>
        <v>16.76250000000001</v>
      </c>
      <c r="O6" s="429">
        <f t="shared" si="5"/>
        <v>88.164932701036122</v>
      </c>
    </row>
    <row r="7" spans="1:27">
      <c r="A7" s="424" t="s">
        <v>278</v>
      </c>
      <c r="B7" s="425">
        <v>-28</v>
      </c>
      <c r="C7" s="425">
        <v>4.333333333333333</v>
      </c>
      <c r="D7" s="426">
        <v>83</v>
      </c>
      <c r="E7" s="427">
        <v>-9.6666666666666661</v>
      </c>
      <c r="F7" s="427">
        <v>26.666666666666668</v>
      </c>
      <c r="G7" s="425">
        <v>56.639603318231508</v>
      </c>
      <c r="H7" s="425">
        <v>2792.7703174603171</v>
      </c>
      <c r="I7" s="428"/>
      <c r="J7" s="429">
        <f t="shared" si="0"/>
        <v>-40.437500000000007</v>
      </c>
      <c r="K7" s="429">
        <f t="shared" si="1"/>
        <v>7.9499999999999984</v>
      </c>
      <c r="L7" s="430">
        <f t="shared" si="2"/>
        <v>81.512500000000003</v>
      </c>
      <c r="M7" s="429">
        <f t="shared" si="3"/>
        <v>-12.558333333333334</v>
      </c>
      <c r="N7" s="429">
        <f t="shared" si="4"/>
        <v>16.76250000000001</v>
      </c>
      <c r="O7" s="429">
        <f t="shared" si="5"/>
        <v>88.164932701036122</v>
      </c>
      <c r="P7" s="432"/>
      <c r="Q7" s="432"/>
      <c r="R7" s="432"/>
    </row>
    <row r="8" spans="1:27">
      <c r="A8" s="424" t="s">
        <v>279</v>
      </c>
      <c r="B8" s="425">
        <v>-20.666666666666668</v>
      </c>
      <c r="C8" s="425">
        <v>4.666666666666667</v>
      </c>
      <c r="D8" s="426">
        <v>84</v>
      </c>
      <c r="E8" s="427">
        <v>-10.333333333333334</v>
      </c>
      <c r="F8" s="427">
        <v>25.333333333333332</v>
      </c>
      <c r="G8" s="425">
        <v>56.773824081003703</v>
      </c>
      <c r="H8" s="425">
        <v>3303.5238333333341</v>
      </c>
      <c r="I8" s="428"/>
      <c r="J8" s="429">
        <f t="shared" si="0"/>
        <v>-40.437500000000007</v>
      </c>
      <c r="K8" s="429">
        <f t="shared" si="1"/>
        <v>7.9499999999999984</v>
      </c>
      <c r="L8" s="430">
        <f t="shared" si="2"/>
        <v>81.512500000000003</v>
      </c>
      <c r="M8" s="429">
        <f t="shared" si="3"/>
        <v>-12.558333333333334</v>
      </c>
      <c r="N8" s="429">
        <f t="shared" si="4"/>
        <v>16.76250000000001</v>
      </c>
      <c r="O8" s="429">
        <f t="shared" si="5"/>
        <v>88.164932701036122</v>
      </c>
    </row>
    <row r="9" spans="1:27">
      <c r="A9" s="424" t="s">
        <v>280</v>
      </c>
      <c r="B9" s="425">
        <v>-16.333333333333332</v>
      </c>
      <c r="C9" s="425">
        <v>5.666666666666667</v>
      </c>
      <c r="D9" s="426">
        <v>86</v>
      </c>
      <c r="E9" s="427">
        <v>-18.666666666666668</v>
      </c>
      <c r="F9" s="427">
        <v>29.333333333333332</v>
      </c>
      <c r="G9" s="425">
        <v>56.73173703997039</v>
      </c>
      <c r="H9" s="425">
        <v>3234.9733333333338</v>
      </c>
      <c r="I9" s="428"/>
      <c r="J9" s="429">
        <f t="shared" si="0"/>
        <v>-40.437500000000007</v>
      </c>
      <c r="K9" s="429">
        <f t="shared" si="1"/>
        <v>7.9499999999999984</v>
      </c>
      <c r="L9" s="430">
        <f t="shared" si="2"/>
        <v>81.512500000000003</v>
      </c>
      <c r="M9" s="429">
        <f t="shared" si="3"/>
        <v>-12.558333333333334</v>
      </c>
      <c r="N9" s="429">
        <f t="shared" si="4"/>
        <v>16.76250000000001</v>
      </c>
      <c r="O9" s="429">
        <f t="shared" si="5"/>
        <v>88.164932701036122</v>
      </c>
    </row>
    <row r="10" spans="1:27">
      <c r="A10" s="424" t="s">
        <v>281</v>
      </c>
      <c r="B10" s="425">
        <v>-40</v>
      </c>
      <c r="C10" s="425">
        <v>3.3333333333333335</v>
      </c>
      <c r="D10" s="426">
        <v>84</v>
      </c>
      <c r="E10" s="427">
        <v>-19.666666666666668</v>
      </c>
      <c r="F10" s="427">
        <v>43</v>
      </c>
      <c r="G10" s="425">
        <v>57.36082516433607</v>
      </c>
      <c r="H10" s="425">
        <v>2957.1050793650802</v>
      </c>
      <c r="I10" s="428"/>
      <c r="J10" s="429">
        <f t="shared" si="0"/>
        <v>-40.437500000000007</v>
      </c>
      <c r="K10" s="429">
        <f t="shared" si="1"/>
        <v>7.9499999999999984</v>
      </c>
      <c r="L10" s="430">
        <f t="shared" si="2"/>
        <v>81.512500000000003</v>
      </c>
      <c r="M10" s="429">
        <f t="shared" si="3"/>
        <v>-12.558333333333334</v>
      </c>
      <c r="N10" s="429">
        <f t="shared" si="4"/>
        <v>16.76250000000001</v>
      </c>
      <c r="O10" s="429">
        <f t="shared" si="5"/>
        <v>88.164932701036122</v>
      </c>
    </row>
    <row r="11" spans="1:27">
      <c r="A11" s="424" t="s">
        <v>282</v>
      </c>
      <c r="B11" s="425">
        <v>-66.333333333333329</v>
      </c>
      <c r="C11" s="425">
        <v>2.6666666666666665</v>
      </c>
      <c r="D11" s="426">
        <v>81</v>
      </c>
      <c r="E11" s="427">
        <v>-46.333333333333336</v>
      </c>
      <c r="F11" s="427">
        <v>4.333333333333333</v>
      </c>
      <c r="G11" s="425">
        <v>58.076715848305263</v>
      </c>
      <c r="H11" s="425">
        <v>3497.1925396825386</v>
      </c>
      <c r="I11" s="428"/>
      <c r="J11" s="429">
        <f t="shared" si="0"/>
        <v>-40.437500000000007</v>
      </c>
      <c r="K11" s="429">
        <f t="shared" si="1"/>
        <v>7.9499999999999984</v>
      </c>
      <c r="L11" s="430">
        <f t="shared" si="2"/>
        <v>81.512500000000003</v>
      </c>
      <c r="M11" s="429">
        <f t="shared" si="3"/>
        <v>-12.558333333333334</v>
      </c>
      <c r="N11" s="429">
        <f t="shared" si="4"/>
        <v>16.76250000000001</v>
      </c>
      <c r="O11" s="429">
        <f t="shared" si="5"/>
        <v>88.164932701036122</v>
      </c>
    </row>
    <row r="12" spans="1:27">
      <c r="A12" s="424" t="s">
        <v>283</v>
      </c>
      <c r="B12" s="425">
        <v>-83</v>
      </c>
      <c r="C12" s="425">
        <v>2</v>
      </c>
      <c r="D12" s="426">
        <v>82</v>
      </c>
      <c r="E12" s="427">
        <v>-27.666666666666668</v>
      </c>
      <c r="F12" s="427">
        <v>0</v>
      </c>
      <c r="G12" s="425">
        <v>59.530565516238447</v>
      </c>
      <c r="H12" s="425">
        <v>3701.5038709677438</v>
      </c>
      <c r="I12" s="428"/>
      <c r="J12" s="429">
        <f t="shared" si="0"/>
        <v>-40.437500000000007</v>
      </c>
      <c r="K12" s="429">
        <f t="shared" si="1"/>
        <v>7.9499999999999984</v>
      </c>
      <c r="L12" s="430">
        <f t="shared" si="2"/>
        <v>81.512500000000003</v>
      </c>
      <c r="M12" s="429">
        <f t="shared" si="3"/>
        <v>-12.558333333333334</v>
      </c>
      <c r="N12" s="429">
        <f t="shared" si="4"/>
        <v>16.76250000000001</v>
      </c>
      <c r="O12" s="429">
        <f t="shared" si="5"/>
        <v>88.164932701036122</v>
      </c>
    </row>
    <row r="13" spans="1:27">
      <c r="A13" s="424" t="s">
        <v>284</v>
      </c>
      <c r="B13" s="425">
        <v>-87</v>
      </c>
      <c r="C13" s="425">
        <v>2</v>
      </c>
      <c r="D13" s="426">
        <v>83</v>
      </c>
      <c r="E13" s="427">
        <v>-19.333333333333332</v>
      </c>
      <c r="F13" s="427">
        <v>1.3333333333333333</v>
      </c>
      <c r="G13" s="425">
        <v>61.023337087643718</v>
      </c>
      <c r="H13" s="425">
        <v>3770.1180303030301</v>
      </c>
      <c r="I13" s="428"/>
      <c r="J13" s="429">
        <f t="shared" si="0"/>
        <v>-40.437500000000007</v>
      </c>
      <c r="K13" s="429">
        <f t="shared" si="1"/>
        <v>7.9499999999999984</v>
      </c>
      <c r="L13" s="430">
        <f t="shared" si="2"/>
        <v>81.512500000000003</v>
      </c>
      <c r="M13" s="429">
        <f t="shared" si="3"/>
        <v>-12.558333333333334</v>
      </c>
      <c r="N13" s="429">
        <f t="shared" si="4"/>
        <v>16.76250000000001</v>
      </c>
      <c r="O13" s="429">
        <f t="shared" si="5"/>
        <v>88.164932701036122</v>
      </c>
    </row>
    <row r="14" spans="1:27">
      <c r="A14" s="424" t="s">
        <v>285</v>
      </c>
      <c r="B14" s="425">
        <v>-76.333333333333329</v>
      </c>
      <c r="C14" s="425">
        <v>1.3333333333333333</v>
      </c>
      <c r="D14" s="426">
        <v>81</v>
      </c>
      <c r="E14" s="427">
        <v>-15.333333333333334</v>
      </c>
      <c r="F14" s="427">
        <v>14.666666666666666</v>
      </c>
      <c r="G14" s="425">
        <v>63.199849164602767</v>
      </c>
      <c r="H14" s="425">
        <v>4165.8838461538471</v>
      </c>
      <c r="I14" s="428"/>
      <c r="J14" s="429">
        <f t="shared" si="0"/>
        <v>-40.437500000000007</v>
      </c>
      <c r="K14" s="429">
        <f t="shared" si="1"/>
        <v>7.9499999999999984</v>
      </c>
      <c r="L14" s="430">
        <f t="shared" si="2"/>
        <v>81.512500000000003</v>
      </c>
      <c r="M14" s="429">
        <f t="shared" si="3"/>
        <v>-12.558333333333334</v>
      </c>
      <c r="N14" s="429">
        <f t="shared" si="4"/>
        <v>16.76250000000001</v>
      </c>
      <c r="O14" s="429">
        <f t="shared" si="5"/>
        <v>88.164932701036122</v>
      </c>
    </row>
    <row r="15" spans="1:27">
      <c r="A15" s="424" t="s">
        <v>286</v>
      </c>
      <c r="B15" s="425">
        <v>-66.666666666666671</v>
      </c>
      <c r="C15" s="425">
        <v>1.3333333333333333</v>
      </c>
      <c r="D15" s="426">
        <v>84</v>
      </c>
      <c r="E15" s="427">
        <v>-15.666666666666666</v>
      </c>
      <c r="F15" s="427">
        <v>9.3333333333333339</v>
      </c>
      <c r="G15" s="425">
        <v>65.581617857489178</v>
      </c>
      <c r="H15" s="425">
        <v>5049.0253846153819</v>
      </c>
      <c r="I15" s="428"/>
      <c r="J15" s="429">
        <f t="shared" si="0"/>
        <v>-40.437500000000007</v>
      </c>
      <c r="K15" s="429">
        <f t="shared" si="1"/>
        <v>7.9499999999999984</v>
      </c>
      <c r="L15" s="430">
        <f t="shared" si="2"/>
        <v>81.512500000000003</v>
      </c>
      <c r="M15" s="429">
        <f t="shared" si="3"/>
        <v>-12.558333333333334</v>
      </c>
      <c r="N15" s="429">
        <f t="shared" si="4"/>
        <v>16.76250000000001</v>
      </c>
      <c r="O15" s="429">
        <f t="shared" si="5"/>
        <v>88.164932701036122</v>
      </c>
    </row>
    <row r="16" spans="1:27">
      <c r="A16" s="424" t="s">
        <v>287</v>
      </c>
      <c r="B16" s="425">
        <v>-67.666666666666671</v>
      </c>
      <c r="C16" s="425">
        <v>1.3333333333333333</v>
      </c>
      <c r="D16" s="426">
        <v>85</v>
      </c>
      <c r="E16" s="427">
        <v>-10.333333333333334</v>
      </c>
      <c r="F16" s="427">
        <v>13.666666666666666</v>
      </c>
      <c r="G16" s="425">
        <v>67.565518588154347</v>
      </c>
      <c r="H16" s="425">
        <v>5201.834677419356</v>
      </c>
      <c r="I16" s="428"/>
      <c r="J16" s="429">
        <f t="shared" si="0"/>
        <v>-40.437500000000007</v>
      </c>
      <c r="K16" s="429">
        <f t="shared" si="1"/>
        <v>7.9499999999999984</v>
      </c>
      <c r="L16" s="430">
        <f t="shared" si="2"/>
        <v>81.512500000000003</v>
      </c>
      <c r="M16" s="429">
        <f t="shared" si="3"/>
        <v>-12.558333333333334</v>
      </c>
      <c r="N16" s="429">
        <f t="shared" si="4"/>
        <v>16.76250000000001</v>
      </c>
      <c r="O16" s="429">
        <f t="shared" si="5"/>
        <v>88.164932701036122</v>
      </c>
    </row>
    <row r="17" spans="1:27">
      <c r="A17" s="424" t="s">
        <v>288</v>
      </c>
      <c r="B17" s="425">
        <v>-61</v>
      </c>
      <c r="C17" s="425">
        <v>1.6666666666666667</v>
      </c>
      <c r="D17" s="426">
        <v>86</v>
      </c>
      <c r="E17" s="427">
        <v>-6.333333333333333</v>
      </c>
      <c r="F17" s="427">
        <v>17</v>
      </c>
      <c r="G17" s="425">
        <v>69.21655782272228</v>
      </c>
      <c r="H17" s="425">
        <v>5170.3173846153859</v>
      </c>
      <c r="I17" s="428"/>
      <c r="J17" s="429">
        <f t="shared" si="0"/>
        <v>-40.437500000000007</v>
      </c>
      <c r="K17" s="429">
        <f t="shared" si="1"/>
        <v>7.9499999999999984</v>
      </c>
      <c r="L17" s="430">
        <f t="shared" si="2"/>
        <v>81.512500000000003</v>
      </c>
      <c r="M17" s="429">
        <f t="shared" si="3"/>
        <v>-12.558333333333334</v>
      </c>
      <c r="N17" s="429">
        <f t="shared" si="4"/>
        <v>16.76250000000001</v>
      </c>
      <c r="O17" s="429">
        <f t="shared" si="5"/>
        <v>88.164932701036122</v>
      </c>
    </row>
    <row r="18" spans="1:27">
      <c r="A18" s="424" t="s">
        <v>289</v>
      </c>
      <c r="B18" s="425">
        <v>-57.333333333333336</v>
      </c>
      <c r="C18" s="425">
        <v>2</v>
      </c>
      <c r="D18" s="426">
        <v>86</v>
      </c>
      <c r="E18" s="427">
        <v>-10.666666666666666</v>
      </c>
      <c r="F18" s="427">
        <v>15.333333333333334</v>
      </c>
      <c r="G18" s="425">
        <v>70.620223343702236</v>
      </c>
      <c r="H18" s="425">
        <v>4889.6723809523819</v>
      </c>
      <c r="I18" s="428"/>
      <c r="J18" s="429">
        <f t="shared" si="0"/>
        <v>-40.437500000000007</v>
      </c>
      <c r="K18" s="429">
        <f t="shared" si="1"/>
        <v>7.9499999999999984</v>
      </c>
      <c r="L18" s="430">
        <f t="shared" si="2"/>
        <v>81.512500000000003</v>
      </c>
      <c r="M18" s="429">
        <f t="shared" si="3"/>
        <v>-12.558333333333334</v>
      </c>
      <c r="N18" s="429">
        <f t="shared" si="4"/>
        <v>16.76250000000001</v>
      </c>
      <c r="O18" s="429">
        <f t="shared" si="5"/>
        <v>88.164932701036122</v>
      </c>
    </row>
    <row r="19" spans="1:27">
      <c r="A19" s="424" t="s">
        <v>290</v>
      </c>
      <c r="B19" s="425">
        <v>-46.666666666666664</v>
      </c>
      <c r="C19" s="425">
        <v>1.3333333333333333</v>
      </c>
      <c r="D19" s="426">
        <v>86</v>
      </c>
      <c r="E19" s="427">
        <v>-15.333333333333334</v>
      </c>
      <c r="F19" s="427">
        <v>22.666666666666668</v>
      </c>
      <c r="G19" s="425">
        <v>69.880255731050411</v>
      </c>
      <c r="H19" s="425">
        <v>4482.9470312500016</v>
      </c>
      <c r="I19" s="428"/>
      <c r="J19" s="429">
        <f t="shared" si="0"/>
        <v>-40.437500000000007</v>
      </c>
      <c r="K19" s="429">
        <f t="shared" si="1"/>
        <v>7.9499999999999984</v>
      </c>
      <c r="L19" s="430">
        <f t="shared" si="2"/>
        <v>81.512500000000003</v>
      </c>
      <c r="M19" s="429">
        <f t="shared" si="3"/>
        <v>-12.558333333333334</v>
      </c>
      <c r="N19" s="429">
        <f t="shared" si="4"/>
        <v>16.76250000000001</v>
      </c>
      <c r="O19" s="429">
        <f t="shared" si="5"/>
        <v>88.164932701036122</v>
      </c>
    </row>
    <row r="20" spans="1:27">
      <c r="A20" s="424" t="s">
        <v>291</v>
      </c>
      <c r="B20" s="425">
        <v>-49.333333333333336</v>
      </c>
      <c r="C20" s="425">
        <v>1.6666666666666667</v>
      </c>
      <c r="D20" s="426">
        <v>87</v>
      </c>
      <c r="E20" s="427">
        <v>3</v>
      </c>
      <c r="F20" s="427">
        <v>26.666666666666668</v>
      </c>
      <c r="G20" s="425">
        <v>68.399760580702363</v>
      </c>
      <c r="H20" s="425">
        <v>4361.7009677419355</v>
      </c>
      <c r="I20" s="428"/>
      <c r="J20" s="429">
        <f t="shared" si="0"/>
        <v>-40.437500000000007</v>
      </c>
      <c r="K20" s="429">
        <f t="shared" si="1"/>
        <v>7.9499999999999984</v>
      </c>
      <c r="L20" s="430">
        <f t="shared" si="2"/>
        <v>81.512500000000003</v>
      </c>
      <c r="M20" s="429">
        <f t="shared" si="3"/>
        <v>-12.558333333333334</v>
      </c>
      <c r="N20" s="429">
        <f t="shared" si="4"/>
        <v>16.76250000000001</v>
      </c>
      <c r="O20" s="429">
        <f t="shared" si="5"/>
        <v>88.164932701036122</v>
      </c>
      <c r="Q20" s="431" t="s">
        <v>292</v>
      </c>
      <c r="AA20" s="431" t="s">
        <v>274</v>
      </c>
    </row>
    <row r="21" spans="1:27">
      <c r="A21" s="424" t="s">
        <v>294</v>
      </c>
      <c r="B21" s="425">
        <v>-52.666666666666664</v>
      </c>
      <c r="C21" s="425">
        <v>2</v>
      </c>
      <c r="D21" s="426">
        <v>82</v>
      </c>
      <c r="E21" s="427">
        <v>-4</v>
      </c>
      <c r="F21" s="427">
        <v>39</v>
      </c>
      <c r="G21" s="425">
        <v>67.154916946336968</v>
      </c>
      <c r="H21" s="425">
        <v>3749.5166153846139</v>
      </c>
      <c r="I21" s="428"/>
      <c r="J21" s="429">
        <f t="shared" si="0"/>
        <v>-40.437500000000007</v>
      </c>
      <c r="K21" s="429">
        <f t="shared" si="1"/>
        <v>7.9499999999999984</v>
      </c>
      <c r="L21" s="430">
        <f t="shared" si="2"/>
        <v>81.512500000000003</v>
      </c>
      <c r="M21" s="429">
        <f t="shared" si="3"/>
        <v>-12.558333333333334</v>
      </c>
      <c r="N21" s="429">
        <f t="shared" si="4"/>
        <v>16.76250000000001</v>
      </c>
      <c r="O21" s="429">
        <f t="shared" si="5"/>
        <v>88.164932701036122</v>
      </c>
    </row>
    <row r="22" spans="1:27">
      <c r="A22" s="424" t="s">
        <v>295</v>
      </c>
      <c r="B22" s="425">
        <v>-51.666666666666664</v>
      </c>
      <c r="C22" s="425">
        <v>2</v>
      </c>
      <c r="D22" s="426">
        <v>81</v>
      </c>
      <c r="E22" s="427">
        <v>-10</v>
      </c>
      <c r="F22" s="427">
        <v>49.333333333333336</v>
      </c>
      <c r="G22" s="425">
        <v>66.930532751800172</v>
      </c>
      <c r="H22" s="425">
        <v>3598.6603174603192</v>
      </c>
      <c r="I22" s="428"/>
      <c r="J22" s="429">
        <f t="shared" si="0"/>
        <v>-40.437500000000007</v>
      </c>
      <c r="K22" s="429">
        <f t="shared" si="1"/>
        <v>7.9499999999999984</v>
      </c>
      <c r="L22" s="430">
        <f t="shared" si="2"/>
        <v>81.512500000000003</v>
      </c>
      <c r="M22" s="429">
        <f t="shared" si="3"/>
        <v>-12.558333333333334</v>
      </c>
      <c r="N22" s="429">
        <f t="shared" si="4"/>
        <v>16.76250000000001</v>
      </c>
      <c r="O22" s="429">
        <f t="shared" si="5"/>
        <v>88.164932701036122</v>
      </c>
    </row>
    <row r="23" spans="1:27">
      <c r="A23" s="424" t="s">
        <v>296</v>
      </c>
      <c r="B23" s="425">
        <v>-44</v>
      </c>
      <c r="C23" s="425">
        <v>3</v>
      </c>
      <c r="D23" s="426">
        <v>78</v>
      </c>
      <c r="E23" s="427">
        <v>-10.333333333333334</v>
      </c>
      <c r="F23" s="427">
        <v>23.666666666666668</v>
      </c>
      <c r="G23" s="425">
        <v>68.116643299872635</v>
      </c>
      <c r="H23" s="425">
        <v>3655.8708064516122</v>
      </c>
      <c r="I23" s="428"/>
      <c r="J23" s="429">
        <f t="shared" si="0"/>
        <v>-40.437500000000007</v>
      </c>
      <c r="K23" s="429">
        <f t="shared" si="1"/>
        <v>7.9499999999999984</v>
      </c>
      <c r="L23" s="430">
        <f t="shared" si="2"/>
        <v>81.512500000000003</v>
      </c>
      <c r="M23" s="429">
        <f t="shared" si="3"/>
        <v>-12.558333333333334</v>
      </c>
      <c r="N23" s="429">
        <f t="shared" si="4"/>
        <v>16.76250000000001</v>
      </c>
      <c r="O23" s="429">
        <f t="shared" si="5"/>
        <v>88.164932701036122</v>
      </c>
    </row>
    <row r="24" spans="1:27">
      <c r="A24" s="424" t="s">
        <v>297</v>
      </c>
      <c r="B24" s="425">
        <v>-32.333333333333336</v>
      </c>
      <c r="C24" s="425">
        <v>4</v>
      </c>
      <c r="D24" s="426">
        <v>80</v>
      </c>
      <c r="E24" s="427">
        <v>-5.666666666666667</v>
      </c>
      <c r="F24" s="427">
        <v>23.333333333333332</v>
      </c>
      <c r="G24" s="425">
        <v>69.670963259704692</v>
      </c>
      <c r="H24" s="425">
        <v>3437.6650793650797</v>
      </c>
      <c r="I24" s="428"/>
      <c r="J24" s="429">
        <f t="shared" si="0"/>
        <v>-40.437500000000007</v>
      </c>
      <c r="K24" s="429">
        <f t="shared" si="1"/>
        <v>7.9499999999999984</v>
      </c>
      <c r="L24" s="430">
        <f t="shared" si="2"/>
        <v>81.512500000000003</v>
      </c>
      <c r="M24" s="429">
        <f t="shared" si="3"/>
        <v>-12.558333333333334</v>
      </c>
      <c r="N24" s="429">
        <f t="shared" si="4"/>
        <v>16.76250000000001</v>
      </c>
      <c r="O24" s="429">
        <f t="shared" si="5"/>
        <v>88.164932701036122</v>
      </c>
    </row>
    <row r="25" spans="1:27">
      <c r="A25" s="424" t="s">
        <v>298</v>
      </c>
      <c r="B25" s="425">
        <v>-27.666666666666668</v>
      </c>
      <c r="C25" s="425">
        <v>4.666666666666667</v>
      </c>
      <c r="D25" s="426">
        <v>80</v>
      </c>
      <c r="E25" s="427">
        <v>-2.6666666666666665</v>
      </c>
      <c r="F25" s="427">
        <v>26.333333333333332</v>
      </c>
      <c r="G25" s="425">
        <v>71.102971684732708</v>
      </c>
      <c r="H25" s="425">
        <v>2658.2127272727275</v>
      </c>
      <c r="I25" s="428"/>
      <c r="J25" s="429">
        <f t="shared" si="0"/>
        <v>-40.437500000000007</v>
      </c>
      <c r="K25" s="429">
        <f t="shared" si="1"/>
        <v>7.9499999999999984</v>
      </c>
      <c r="L25" s="430">
        <f t="shared" si="2"/>
        <v>81.512500000000003</v>
      </c>
      <c r="M25" s="429">
        <f t="shared" si="3"/>
        <v>-12.558333333333334</v>
      </c>
      <c r="N25" s="429">
        <f t="shared" si="4"/>
        <v>16.76250000000001</v>
      </c>
      <c r="O25" s="429">
        <f t="shared" si="5"/>
        <v>88.164932701036122</v>
      </c>
    </row>
    <row r="26" spans="1:27">
      <c r="A26" s="424" t="s">
        <v>299</v>
      </c>
      <c r="B26" s="425">
        <v>-32.666666666666664</v>
      </c>
      <c r="C26" s="425">
        <v>4</v>
      </c>
      <c r="D26" s="426">
        <v>79</v>
      </c>
      <c r="E26" s="427">
        <v>-0.33333333333333331</v>
      </c>
      <c r="F26" s="427">
        <v>19.333333333333332</v>
      </c>
      <c r="G26" s="425">
        <v>71.776877538481983</v>
      </c>
      <c r="H26" s="425">
        <v>2473.0083870967742</v>
      </c>
      <c r="I26" s="428"/>
      <c r="J26" s="429">
        <f t="shared" si="0"/>
        <v>-40.437500000000007</v>
      </c>
      <c r="K26" s="429">
        <f t="shared" si="1"/>
        <v>7.9499999999999984</v>
      </c>
      <c r="L26" s="430">
        <f t="shared" si="2"/>
        <v>81.512500000000003</v>
      </c>
      <c r="M26" s="429">
        <f t="shared" si="3"/>
        <v>-12.558333333333334</v>
      </c>
      <c r="N26" s="429">
        <f t="shared" si="4"/>
        <v>16.76250000000001</v>
      </c>
      <c r="O26" s="429">
        <f t="shared" si="5"/>
        <v>88.164932701036122</v>
      </c>
    </row>
    <row r="27" spans="1:27">
      <c r="A27" s="424" t="s">
        <v>300</v>
      </c>
      <c r="B27" s="425">
        <v>-38</v>
      </c>
      <c r="C27" s="425">
        <v>2.6666666666666665</v>
      </c>
      <c r="D27" s="426">
        <v>81</v>
      </c>
      <c r="E27" s="427">
        <v>-23.666666666666668</v>
      </c>
      <c r="F27" s="427">
        <v>27.333333333333332</v>
      </c>
      <c r="G27" s="425">
        <v>72.621682105867137</v>
      </c>
      <c r="H27" s="425">
        <v>2214.7111111111112</v>
      </c>
      <c r="I27" s="428"/>
      <c r="J27" s="429">
        <f t="shared" si="0"/>
        <v>-40.437500000000007</v>
      </c>
      <c r="K27" s="429">
        <f t="shared" si="1"/>
        <v>7.9499999999999984</v>
      </c>
      <c r="L27" s="430">
        <f t="shared" si="2"/>
        <v>81.512500000000003</v>
      </c>
      <c r="M27" s="429">
        <f t="shared" si="3"/>
        <v>-12.558333333333334</v>
      </c>
      <c r="N27" s="429">
        <f t="shared" si="4"/>
        <v>16.76250000000001</v>
      </c>
      <c r="O27" s="429">
        <f t="shared" si="5"/>
        <v>88.164932701036122</v>
      </c>
    </row>
    <row r="28" spans="1:27">
      <c r="A28" s="424" t="s">
        <v>301</v>
      </c>
      <c r="B28" s="425">
        <v>-38.666666666666664</v>
      </c>
      <c r="C28" s="425">
        <v>3.6666666666666665</v>
      </c>
      <c r="D28" s="426">
        <v>82</v>
      </c>
      <c r="E28" s="427">
        <v>-7.666666666666667</v>
      </c>
      <c r="F28" s="427">
        <v>9.3333333333333339</v>
      </c>
      <c r="G28" s="425">
        <v>72.735643713596914</v>
      </c>
      <c r="H28" s="425">
        <v>2340.4785714285713</v>
      </c>
      <c r="I28" s="428"/>
      <c r="J28" s="429">
        <f t="shared" si="0"/>
        <v>-40.437500000000007</v>
      </c>
      <c r="K28" s="429">
        <f t="shared" si="1"/>
        <v>7.9499999999999984</v>
      </c>
      <c r="L28" s="430">
        <f t="shared" si="2"/>
        <v>81.512500000000003</v>
      </c>
      <c r="M28" s="429">
        <f t="shared" si="3"/>
        <v>-12.558333333333334</v>
      </c>
      <c r="N28" s="429">
        <f t="shared" si="4"/>
        <v>16.76250000000001</v>
      </c>
      <c r="O28" s="429">
        <f t="shared" si="5"/>
        <v>88.164932701036122</v>
      </c>
    </row>
    <row r="29" spans="1:27">
      <c r="A29" s="424" t="s">
        <v>302</v>
      </c>
      <c r="B29" s="425">
        <v>-41</v>
      </c>
      <c r="C29" s="425">
        <v>7</v>
      </c>
      <c r="D29" s="426">
        <v>82</v>
      </c>
      <c r="E29" s="427">
        <v>-14</v>
      </c>
      <c r="F29" s="427">
        <v>16</v>
      </c>
      <c r="G29" s="425">
        <v>73.954763381591832</v>
      </c>
      <c r="H29" s="425">
        <v>2511.4536363636362</v>
      </c>
      <c r="I29" s="428"/>
      <c r="J29" s="429">
        <f t="shared" si="0"/>
        <v>-40.437500000000007</v>
      </c>
      <c r="K29" s="429">
        <f t="shared" si="1"/>
        <v>7.9499999999999984</v>
      </c>
      <c r="L29" s="430">
        <f t="shared" si="2"/>
        <v>81.512500000000003</v>
      </c>
      <c r="M29" s="429">
        <f t="shared" si="3"/>
        <v>-12.558333333333334</v>
      </c>
      <c r="N29" s="429">
        <f t="shared" si="4"/>
        <v>16.76250000000001</v>
      </c>
      <c r="O29" s="429">
        <f t="shared" si="5"/>
        <v>88.164932701036122</v>
      </c>
    </row>
    <row r="30" spans="1:27">
      <c r="A30" s="424" t="s">
        <v>303</v>
      </c>
      <c r="B30" s="425">
        <v>-36.333333333333336</v>
      </c>
      <c r="C30" s="425">
        <v>6.666666666666667</v>
      </c>
      <c r="D30" s="426">
        <v>86</v>
      </c>
      <c r="E30" s="427">
        <v>-11.666666666666666</v>
      </c>
      <c r="F30" s="427">
        <v>27.333333333333332</v>
      </c>
      <c r="G30" s="425">
        <v>77.194081893688008</v>
      </c>
      <c r="H30" s="425">
        <v>2610.8773437500008</v>
      </c>
      <c r="I30" s="428"/>
      <c r="J30" s="429">
        <f t="shared" si="0"/>
        <v>-40.437500000000007</v>
      </c>
      <c r="K30" s="429">
        <f t="shared" si="1"/>
        <v>7.9499999999999984</v>
      </c>
      <c r="L30" s="430">
        <f t="shared" si="2"/>
        <v>81.512500000000003</v>
      </c>
      <c r="M30" s="429">
        <f t="shared" si="3"/>
        <v>-12.558333333333334</v>
      </c>
      <c r="N30" s="429">
        <f t="shared" si="4"/>
        <v>16.76250000000001</v>
      </c>
      <c r="O30" s="429">
        <f t="shared" si="5"/>
        <v>88.164932701036122</v>
      </c>
    </row>
    <row r="31" spans="1:27">
      <c r="A31" s="424" t="s">
        <v>304</v>
      </c>
      <c r="B31" s="425">
        <v>-43.666666666666664</v>
      </c>
      <c r="C31" s="425">
        <v>2.6666666666666665</v>
      </c>
      <c r="D31" s="426">
        <v>84</v>
      </c>
      <c r="E31" s="427">
        <v>-12</v>
      </c>
      <c r="F31" s="427">
        <v>-1.3333333333333333</v>
      </c>
      <c r="G31" s="425">
        <v>79.086895208726816</v>
      </c>
      <c r="H31" s="425">
        <v>2847.8506249999978</v>
      </c>
      <c r="I31" s="428"/>
      <c r="J31" s="429">
        <f t="shared" si="0"/>
        <v>-40.437500000000007</v>
      </c>
      <c r="K31" s="429">
        <f t="shared" si="1"/>
        <v>7.9499999999999984</v>
      </c>
      <c r="L31" s="430">
        <f t="shared" si="2"/>
        <v>81.512500000000003</v>
      </c>
      <c r="M31" s="429">
        <f t="shared" si="3"/>
        <v>-12.558333333333334</v>
      </c>
      <c r="N31" s="429">
        <f t="shared" si="4"/>
        <v>16.76250000000001</v>
      </c>
      <c r="O31" s="429">
        <f t="shared" si="5"/>
        <v>88.164932701036122</v>
      </c>
    </row>
    <row r="32" spans="1:27">
      <c r="A32" s="424" t="s">
        <v>305</v>
      </c>
      <c r="B32" s="425">
        <v>-44.333333333333336</v>
      </c>
      <c r="C32" s="425">
        <v>3</v>
      </c>
      <c r="D32" s="426">
        <v>81</v>
      </c>
      <c r="E32" s="427">
        <v>-24</v>
      </c>
      <c r="F32" s="427">
        <v>10.333333333333334</v>
      </c>
      <c r="G32" s="425">
        <v>81.246075670940328</v>
      </c>
      <c r="H32" s="425">
        <v>2792.8441269841269</v>
      </c>
      <c r="I32" s="428"/>
      <c r="J32" s="429">
        <f t="shared" si="0"/>
        <v>-40.437500000000007</v>
      </c>
      <c r="K32" s="429">
        <f t="shared" si="1"/>
        <v>7.9499999999999984</v>
      </c>
      <c r="L32" s="430">
        <f t="shared" si="2"/>
        <v>81.512500000000003</v>
      </c>
      <c r="M32" s="429">
        <f t="shared" si="3"/>
        <v>-12.558333333333334</v>
      </c>
      <c r="N32" s="429">
        <f t="shared" si="4"/>
        <v>16.76250000000001</v>
      </c>
      <c r="O32" s="429">
        <f t="shared" si="5"/>
        <v>88.164932701036122</v>
      </c>
    </row>
    <row r="33" spans="1:27">
      <c r="A33" s="424" t="s">
        <v>306</v>
      </c>
      <c r="B33" s="425">
        <v>-34.333333333333336</v>
      </c>
      <c r="C33" s="425">
        <v>5.333333333333333</v>
      </c>
      <c r="D33" s="426">
        <v>83</v>
      </c>
      <c r="E33" s="427">
        <v>-5</v>
      </c>
      <c r="F33" s="427">
        <v>3.3333333333333335</v>
      </c>
      <c r="G33" s="425">
        <v>81.90868715866327</v>
      </c>
      <c r="H33" s="425">
        <v>2708.6512121212122</v>
      </c>
      <c r="I33" s="428"/>
      <c r="J33" s="429">
        <f t="shared" si="0"/>
        <v>-40.437500000000007</v>
      </c>
      <c r="K33" s="429">
        <f t="shared" si="1"/>
        <v>7.9499999999999984</v>
      </c>
      <c r="L33" s="430">
        <f t="shared" si="2"/>
        <v>81.512500000000003</v>
      </c>
      <c r="M33" s="429">
        <f t="shared" si="3"/>
        <v>-12.558333333333334</v>
      </c>
      <c r="N33" s="429">
        <f t="shared" si="4"/>
        <v>16.76250000000001</v>
      </c>
      <c r="O33" s="429">
        <f t="shared" si="5"/>
        <v>88.164932701036122</v>
      </c>
    </row>
    <row r="34" spans="1:27">
      <c r="A34" s="424" t="s">
        <v>307</v>
      </c>
      <c r="B34" s="425">
        <v>-31</v>
      </c>
      <c r="C34" s="425">
        <v>6</v>
      </c>
      <c r="D34" s="426">
        <v>86</v>
      </c>
      <c r="E34" s="427">
        <v>-4.333333333333333</v>
      </c>
      <c r="F34" s="427">
        <v>-11</v>
      </c>
      <c r="G34" s="425">
        <v>83.909622700240377</v>
      </c>
      <c r="H34" s="425">
        <v>2869.6849999999995</v>
      </c>
      <c r="I34" s="428"/>
      <c r="J34" s="429">
        <f t="shared" si="0"/>
        <v>-40.437500000000007</v>
      </c>
      <c r="K34" s="429">
        <f t="shared" si="1"/>
        <v>7.9499999999999984</v>
      </c>
      <c r="L34" s="430">
        <f t="shared" si="2"/>
        <v>81.512500000000003</v>
      </c>
      <c r="M34" s="429">
        <f t="shared" si="3"/>
        <v>-12.558333333333334</v>
      </c>
      <c r="N34" s="429">
        <f t="shared" si="4"/>
        <v>16.76250000000001</v>
      </c>
      <c r="O34" s="429">
        <f t="shared" si="5"/>
        <v>88.164932701036122</v>
      </c>
    </row>
    <row r="35" spans="1:27">
      <c r="A35" s="424" t="s">
        <v>308</v>
      </c>
      <c r="B35" s="425">
        <v>-26.333333333333332</v>
      </c>
      <c r="C35" s="425">
        <v>2</v>
      </c>
      <c r="D35" s="426">
        <v>81</v>
      </c>
      <c r="E35" s="427">
        <v>-2.6666666666666665</v>
      </c>
      <c r="F35" s="427">
        <v>-2</v>
      </c>
      <c r="G35" s="425">
        <v>84.26372290232716</v>
      </c>
      <c r="H35" s="425">
        <v>3024.1514516129041</v>
      </c>
      <c r="I35" s="428"/>
      <c r="J35" s="429">
        <f t="shared" ref="J35:J67" si="6">AVERAGE(B$3:B$82)</f>
        <v>-40.437500000000007</v>
      </c>
      <c r="K35" s="429">
        <f t="shared" ref="K35:K67" si="7">AVERAGE(C$3:C$82)</f>
        <v>7.9499999999999984</v>
      </c>
      <c r="L35" s="430">
        <f t="shared" ref="L35:L67" si="8">AVERAGE(D$3:D$82)</f>
        <v>81.512500000000003</v>
      </c>
      <c r="M35" s="429">
        <f t="shared" ref="M35:M67" si="9">AVERAGE(E$3:E$82)</f>
        <v>-12.558333333333334</v>
      </c>
      <c r="N35" s="429">
        <f t="shared" ref="N35:N67" si="10">AVERAGE(F$3:F$82)</f>
        <v>16.76250000000001</v>
      </c>
      <c r="O35" s="429">
        <f t="shared" ref="O35:O67" si="11">AVERAGE(G$3:G$82)</f>
        <v>88.164932701036122</v>
      </c>
    </row>
    <row r="36" spans="1:27">
      <c r="A36" s="424" t="s">
        <v>309</v>
      </c>
      <c r="B36" s="425">
        <v>-23.333333333333332</v>
      </c>
      <c r="C36" s="425">
        <v>5.333333333333333</v>
      </c>
      <c r="D36" s="426">
        <v>84</v>
      </c>
      <c r="E36" s="427">
        <v>-8.3333333333333339</v>
      </c>
      <c r="F36" s="427">
        <v>13</v>
      </c>
      <c r="G36" s="425">
        <v>86.738537364022179</v>
      </c>
      <c r="H36" s="425">
        <v>3063.7187692307684</v>
      </c>
      <c r="I36" s="428"/>
      <c r="J36" s="429">
        <f t="shared" si="6"/>
        <v>-40.437500000000007</v>
      </c>
      <c r="K36" s="429">
        <f t="shared" si="7"/>
        <v>7.9499999999999984</v>
      </c>
      <c r="L36" s="430">
        <f t="shared" si="8"/>
        <v>81.512500000000003</v>
      </c>
      <c r="M36" s="429">
        <f t="shared" si="9"/>
        <v>-12.558333333333334</v>
      </c>
      <c r="N36" s="429">
        <f t="shared" si="10"/>
        <v>16.76250000000001</v>
      </c>
      <c r="O36" s="429">
        <f t="shared" si="11"/>
        <v>88.164932701036122</v>
      </c>
    </row>
    <row r="37" spans="1:27">
      <c r="A37" s="424" t="s">
        <v>310</v>
      </c>
      <c r="B37" s="425">
        <v>-27.333333333333332</v>
      </c>
      <c r="C37" s="425">
        <v>12</v>
      </c>
      <c r="D37" s="426">
        <v>84</v>
      </c>
      <c r="E37" s="427">
        <v>-8</v>
      </c>
      <c r="F37" s="427">
        <v>16.666666666666668</v>
      </c>
      <c r="G37" s="425">
        <v>87.180750018897967</v>
      </c>
      <c r="H37" s="425">
        <v>3307.970151515151</v>
      </c>
      <c r="I37" s="428"/>
      <c r="J37" s="429">
        <f t="shared" si="6"/>
        <v>-40.437500000000007</v>
      </c>
      <c r="K37" s="429">
        <f t="shared" si="7"/>
        <v>7.9499999999999984</v>
      </c>
      <c r="L37" s="430">
        <f t="shared" si="8"/>
        <v>81.512500000000003</v>
      </c>
      <c r="M37" s="429">
        <f t="shared" si="9"/>
        <v>-12.558333333333334</v>
      </c>
      <c r="N37" s="429">
        <f t="shared" si="10"/>
        <v>16.76250000000001</v>
      </c>
      <c r="O37" s="429">
        <f t="shared" si="11"/>
        <v>88.164932701036122</v>
      </c>
      <c r="Q37" s="431" t="s">
        <v>311</v>
      </c>
      <c r="AA37" s="431" t="s">
        <v>312</v>
      </c>
    </row>
    <row r="38" spans="1:27">
      <c r="A38" s="424" t="s">
        <v>313</v>
      </c>
      <c r="B38" s="425">
        <v>-20.666666666666668</v>
      </c>
      <c r="C38" s="425">
        <v>12</v>
      </c>
      <c r="D38" s="426">
        <v>85</v>
      </c>
      <c r="E38" s="427">
        <v>-9</v>
      </c>
      <c r="F38" s="427">
        <v>33.333333333333336</v>
      </c>
      <c r="G38" s="425">
        <v>90.098660606128931</v>
      </c>
      <c r="H38" s="425">
        <v>3430.4812499999985</v>
      </c>
      <c r="I38" s="428"/>
      <c r="J38" s="429">
        <f t="shared" si="6"/>
        <v>-40.437500000000007</v>
      </c>
      <c r="K38" s="429">
        <f t="shared" si="7"/>
        <v>7.9499999999999984</v>
      </c>
      <c r="L38" s="430">
        <f t="shared" si="8"/>
        <v>81.512500000000003</v>
      </c>
      <c r="M38" s="429">
        <f t="shared" si="9"/>
        <v>-12.558333333333334</v>
      </c>
      <c r="N38" s="429">
        <f t="shared" si="10"/>
        <v>16.76250000000001</v>
      </c>
      <c r="O38" s="429">
        <f t="shared" si="11"/>
        <v>88.164932701036122</v>
      </c>
    </row>
    <row r="39" spans="1:27">
      <c r="A39" s="424" t="s">
        <v>314</v>
      </c>
      <c r="B39" s="425">
        <v>-21</v>
      </c>
      <c r="C39" s="425">
        <v>4.333333333333333</v>
      </c>
      <c r="D39" s="426">
        <v>83</v>
      </c>
      <c r="E39" s="427">
        <v>-10</v>
      </c>
      <c r="F39" s="427">
        <v>27</v>
      </c>
      <c r="G39" s="425">
        <v>92.529441482904687</v>
      </c>
      <c r="H39" s="425">
        <v>3729.4133846153859</v>
      </c>
      <c r="I39" s="428"/>
      <c r="J39" s="429">
        <f t="shared" si="6"/>
        <v>-40.437500000000007</v>
      </c>
      <c r="K39" s="429">
        <f t="shared" si="7"/>
        <v>7.9499999999999984</v>
      </c>
      <c r="L39" s="430">
        <f t="shared" si="8"/>
        <v>81.512500000000003</v>
      </c>
      <c r="M39" s="429">
        <f t="shared" si="9"/>
        <v>-12.558333333333334</v>
      </c>
      <c r="N39" s="429">
        <f t="shared" si="10"/>
        <v>16.76250000000001</v>
      </c>
      <c r="O39" s="429">
        <f t="shared" si="11"/>
        <v>88.164932701036122</v>
      </c>
    </row>
    <row r="40" spans="1:27">
      <c r="A40" s="424" t="s">
        <v>315</v>
      </c>
      <c r="B40" s="425">
        <v>-15.666666666666666</v>
      </c>
      <c r="C40" s="425">
        <v>15.666666666666666</v>
      </c>
      <c r="D40" s="426">
        <v>84</v>
      </c>
      <c r="E40" s="427">
        <v>-0.66666666666666663</v>
      </c>
      <c r="F40" s="427">
        <v>25.333333333333332</v>
      </c>
      <c r="G40" s="425">
        <v>94.202026189025901</v>
      </c>
      <c r="H40" s="425">
        <v>3690.1599999999985</v>
      </c>
      <c r="I40" s="428"/>
      <c r="J40" s="429">
        <f t="shared" si="6"/>
        <v>-40.437500000000007</v>
      </c>
      <c r="K40" s="429">
        <f t="shared" si="7"/>
        <v>7.9499999999999984</v>
      </c>
      <c r="L40" s="430">
        <f t="shared" si="8"/>
        <v>81.512500000000003</v>
      </c>
      <c r="M40" s="429">
        <f t="shared" si="9"/>
        <v>-12.558333333333334</v>
      </c>
      <c r="N40" s="429">
        <f t="shared" si="10"/>
        <v>16.76250000000001</v>
      </c>
      <c r="O40" s="429">
        <f t="shared" si="11"/>
        <v>88.164932701036122</v>
      </c>
    </row>
    <row r="41" spans="1:27">
      <c r="A41" s="424" t="s">
        <v>316</v>
      </c>
      <c r="B41" s="425">
        <v>-12</v>
      </c>
      <c r="C41" s="425">
        <v>27</v>
      </c>
      <c r="D41" s="426">
        <v>87</v>
      </c>
      <c r="E41" s="427">
        <v>-1.3333333333333333</v>
      </c>
      <c r="F41" s="427">
        <v>32.666666666666664</v>
      </c>
      <c r="G41" s="425">
        <v>94.819081166024148</v>
      </c>
      <c r="H41" s="425">
        <v>3726.7956923076931</v>
      </c>
      <c r="I41" s="428"/>
      <c r="J41" s="429">
        <f t="shared" si="6"/>
        <v>-40.437500000000007</v>
      </c>
      <c r="K41" s="429">
        <f t="shared" si="7"/>
        <v>7.9499999999999984</v>
      </c>
      <c r="L41" s="430">
        <f t="shared" si="8"/>
        <v>81.512500000000003</v>
      </c>
      <c r="M41" s="429">
        <f t="shared" si="9"/>
        <v>-12.558333333333334</v>
      </c>
      <c r="N41" s="429">
        <f t="shared" si="10"/>
        <v>16.76250000000001</v>
      </c>
      <c r="O41" s="429">
        <f t="shared" si="11"/>
        <v>88.164932701036122</v>
      </c>
    </row>
    <row r="42" spans="1:27">
      <c r="A42" s="424" t="s">
        <v>317</v>
      </c>
      <c r="B42" s="425">
        <v>-16.333333333333332</v>
      </c>
      <c r="C42" s="425">
        <v>29.333333333333332</v>
      </c>
      <c r="D42" s="426">
        <v>86</v>
      </c>
      <c r="E42" s="427">
        <v>8</v>
      </c>
      <c r="F42" s="427">
        <v>36.666666666666664</v>
      </c>
      <c r="G42" s="425">
        <v>97.093110709476889</v>
      </c>
      <c r="H42" s="425">
        <v>4031.1193650793648</v>
      </c>
      <c r="I42" s="428"/>
      <c r="J42" s="429">
        <f t="shared" si="6"/>
        <v>-40.437500000000007</v>
      </c>
      <c r="K42" s="429">
        <f t="shared" si="7"/>
        <v>7.9499999999999984</v>
      </c>
      <c r="L42" s="430">
        <f t="shared" si="8"/>
        <v>81.512500000000003</v>
      </c>
      <c r="M42" s="429">
        <f t="shared" si="9"/>
        <v>-12.558333333333334</v>
      </c>
      <c r="N42" s="429">
        <f t="shared" si="10"/>
        <v>16.76250000000001</v>
      </c>
      <c r="O42" s="429">
        <f t="shared" si="11"/>
        <v>88.164932701036122</v>
      </c>
    </row>
    <row r="43" spans="1:27">
      <c r="A43" s="424" t="s">
        <v>318</v>
      </c>
      <c r="B43" s="425">
        <v>-18</v>
      </c>
      <c r="C43" s="425">
        <v>21</v>
      </c>
      <c r="D43" s="426">
        <v>88</v>
      </c>
      <c r="E43" s="427">
        <v>1</v>
      </c>
      <c r="F43" s="427">
        <v>34.333333333333336</v>
      </c>
      <c r="G43" s="425">
        <v>98.36822706764211</v>
      </c>
      <c r="H43" s="425">
        <v>4150.9932812499992</v>
      </c>
      <c r="I43" s="428"/>
      <c r="J43" s="429">
        <f t="shared" si="6"/>
        <v>-40.437500000000007</v>
      </c>
      <c r="K43" s="429">
        <f t="shared" si="7"/>
        <v>7.9499999999999984</v>
      </c>
      <c r="L43" s="430">
        <f t="shared" si="8"/>
        <v>81.512500000000003</v>
      </c>
      <c r="M43" s="429">
        <f t="shared" si="9"/>
        <v>-12.558333333333334</v>
      </c>
      <c r="N43" s="429">
        <f t="shared" si="10"/>
        <v>16.76250000000001</v>
      </c>
      <c r="O43" s="429">
        <f t="shared" si="11"/>
        <v>88.164932701036122</v>
      </c>
    </row>
    <row r="44" spans="1:27">
      <c r="A44" s="424" t="s">
        <v>319</v>
      </c>
      <c r="B44" s="425">
        <v>-22.666666666666668</v>
      </c>
      <c r="C44" s="425">
        <v>26.333333333333332</v>
      </c>
      <c r="D44" s="426">
        <v>87</v>
      </c>
      <c r="E44" s="427">
        <v>7.333333333333333</v>
      </c>
      <c r="F44" s="427">
        <v>35.333333333333336</v>
      </c>
      <c r="G44" s="425">
        <v>99.262005432508843</v>
      </c>
      <c r="H44" s="425">
        <v>4420.9560317460318</v>
      </c>
      <c r="I44" s="428"/>
      <c r="J44" s="429">
        <f t="shared" si="6"/>
        <v>-40.437500000000007</v>
      </c>
      <c r="K44" s="429">
        <f t="shared" si="7"/>
        <v>7.9499999999999984</v>
      </c>
      <c r="L44" s="430">
        <f t="shared" si="8"/>
        <v>81.512500000000003</v>
      </c>
      <c r="M44" s="429">
        <f t="shared" si="9"/>
        <v>-12.558333333333334</v>
      </c>
      <c r="N44" s="429">
        <f t="shared" si="10"/>
        <v>16.76250000000001</v>
      </c>
      <c r="O44" s="429">
        <f t="shared" si="11"/>
        <v>88.164932701036122</v>
      </c>
    </row>
    <row r="45" spans="1:27">
      <c r="A45" s="424" t="s">
        <v>320</v>
      </c>
      <c r="B45" s="425">
        <v>-19.666666666666668</v>
      </c>
      <c r="C45" s="425">
        <v>32.333333333333336</v>
      </c>
      <c r="D45" s="426">
        <v>85</v>
      </c>
      <c r="E45" s="427">
        <v>3.3333333333333335</v>
      </c>
      <c r="F45" s="427">
        <v>29.666666666666668</v>
      </c>
      <c r="G45" s="425">
        <v>100.52797824497797</v>
      </c>
      <c r="H45" s="425">
        <v>4317.5635384615398</v>
      </c>
      <c r="I45" s="428"/>
      <c r="J45" s="429">
        <f t="shared" si="6"/>
        <v>-40.437500000000007</v>
      </c>
      <c r="K45" s="429">
        <f t="shared" si="7"/>
        <v>7.9499999999999984</v>
      </c>
      <c r="L45" s="430">
        <f t="shared" si="8"/>
        <v>81.512500000000003</v>
      </c>
      <c r="M45" s="429">
        <f t="shared" si="9"/>
        <v>-12.558333333333334</v>
      </c>
      <c r="N45" s="429">
        <f t="shared" si="10"/>
        <v>16.76250000000001</v>
      </c>
      <c r="O45" s="429">
        <f t="shared" si="11"/>
        <v>88.164932701036122</v>
      </c>
    </row>
    <row r="46" spans="1:27">
      <c r="A46" s="424" t="s">
        <v>321</v>
      </c>
      <c r="B46" s="425">
        <v>-23</v>
      </c>
      <c r="C46" s="425">
        <v>36.666666666666664</v>
      </c>
      <c r="D46" s="426">
        <v>88</v>
      </c>
      <c r="E46" s="427">
        <v>-0.33333333333333331</v>
      </c>
      <c r="F46" s="427">
        <v>34.333333333333336</v>
      </c>
      <c r="G46" s="425">
        <v>101.727993322145</v>
      </c>
      <c r="H46" s="425">
        <v>4377.7543750000004</v>
      </c>
      <c r="I46" s="428"/>
      <c r="J46" s="429">
        <f t="shared" si="6"/>
        <v>-40.437500000000007</v>
      </c>
      <c r="K46" s="429">
        <f t="shared" si="7"/>
        <v>7.9499999999999984</v>
      </c>
      <c r="L46" s="430">
        <f t="shared" si="8"/>
        <v>81.512500000000003</v>
      </c>
      <c r="M46" s="429">
        <f t="shared" si="9"/>
        <v>-12.558333333333334</v>
      </c>
      <c r="N46" s="429">
        <f t="shared" si="10"/>
        <v>16.76250000000001</v>
      </c>
      <c r="O46" s="429">
        <f t="shared" si="11"/>
        <v>88.164932701036122</v>
      </c>
    </row>
    <row r="47" spans="1:27">
      <c r="A47" s="424" t="s">
        <v>322</v>
      </c>
      <c r="B47" s="425">
        <v>-23.333333333333332</v>
      </c>
      <c r="C47" s="425">
        <v>29.333333333333332</v>
      </c>
      <c r="D47" s="426">
        <v>85</v>
      </c>
      <c r="E47" s="427">
        <v>-2.6666666666666665</v>
      </c>
      <c r="F47" s="427">
        <v>42</v>
      </c>
      <c r="G47" s="425">
        <v>103.17148200069261</v>
      </c>
      <c r="H47" s="425">
        <v>3809.6587096774188</v>
      </c>
      <c r="I47" s="428"/>
      <c r="J47" s="429">
        <f t="shared" si="6"/>
        <v>-40.437500000000007</v>
      </c>
      <c r="K47" s="429">
        <f t="shared" si="7"/>
        <v>7.9499999999999984</v>
      </c>
      <c r="L47" s="430">
        <f t="shared" si="8"/>
        <v>81.512500000000003</v>
      </c>
      <c r="M47" s="429">
        <f t="shared" si="9"/>
        <v>-12.558333333333334</v>
      </c>
      <c r="N47" s="429">
        <f t="shared" si="10"/>
        <v>16.76250000000001</v>
      </c>
      <c r="O47" s="429">
        <f t="shared" si="11"/>
        <v>88.164932701036122</v>
      </c>
    </row>
    <row r="48" spans="1:27">
      <c r="A48" s="424" t="s">
        <v>323</v>
      </c>
      <c r="B48" s="425">
        <v>-21</v>
      </c>
      <c r="C48" s="425">
        <v>36.666666666666664</v>
      </c>
      <c r="D48" s="426">
        <v>86</v>
      </c>
      <c r="E48" s="427">
        <v>-5</v>
      </c>
      <c r="F48" s="427">
        <v>38.333333333333336</v>
      </c>
      <c r="G48" s="425">
        <v>102.64637989868015</v>
      </c>
      <c r="H48" s="425">
        <v>3705.5916923076916</v>
      </c>
      <c r="I48" s="428"/>
      <c r="J48" s="429">
        <f t="shared" si="6"/>
        <v>-40.437500000000007</v>
      </c>
      <c r="K48" s="429">
        <f t="shared" si="7"/>
        <v>7.9499999999999984</v>
      </c>
      <c r="L48" s="430">
        <f t="shared" si="8"/>
        <v>81.512500000000003</v>
      </c>
      <c r="M48" s="429">
        <f t="shared" si="9"/>
        <v>-12.558333333333334</v>
      </c>
      <c r="N48" s="429">
        <f t="shared" si="10"/>
        <v>16.76250000000001</v>
      </c>
      <c r="O48" s="429">
        <f t="shared" si="11"/>
        <v>88.164932701036122</v>
      </c>
    </row>
    <row r="49" spans="1:15">
      <c r="A49" s="424" t="s">
        <v>324</v>
      </c>
      <c r="B49" s="425">
        <v>-21.666666666666668</v>
      </c>
      <c r="C49" s="425">
        <v>38.333333333333336</v>
      </c>
      <c r="D49" s="426">
        <v>84</v>
      </c>
      <c r="E49" s="427">
        <v>-4.333333333333333</v>
      </c>
      <c r="F49" s="427">
        <v>30.666666666666668</v>
      </c>
      <c r="G49" s="425">
        <v>102.33948776686168</v>
      </c>
      <c r="H49" s="425">
        <v>3278.7572727272714</v>
      </c>
      <c r="I49" s="428"/>
      <c r="J49" s="429">
        <f t="shared" si="6"/>
        <v>-40.437500000000007</v>
      </c>
      <c r="K49" s="429">
        <f t="shared" si="7"/>
        <v>7.9499999999999984</v>
      </c>
      <c r="L49" s="430">
        <f t="shared" si="8"/>
        <v>81.512500000000003</v>
      </c>
      <c r="M49" s="429">
        <f t="shared" si="9"/>
        <v>-12.558333333333334</v>
      </c>
      <c r="N49" s="429">
        <f t="shared" si="10"/>
        <v>16.76250000000001</v>
      </c>
      <c r="O49" s="429">
        <f t="shared" si="11"/>
        <v>88.164932701036122</v>
      </c>
    </row>
    <row r="50" spans="1:15">
      <c r="A50" s="424" t="s">
        <v>325</v>
      </c>
      <c r="B50" s="425">
        <v>-30</v>
      </c>
      <c r="C50" s="425">
        <v>33</v>
      </c>
      <c r="D50" s="426">
        <v>82</v>
      </c>
      <c r="E50" s="427">
        <v>-27.333333333333332</v>
      </c>
      <c r="F50" s="427">
        <v>17.333333333333332</v>
      </c>
      <c r="G50" s="425">
        <v>94.515767486059147</v>
      </c>
      <c r="H50" s="425">
        <v>2501.4226562500003</v>
      </c>
      <c r="I50" s="428"/>
      <c r="J50" s="429">
        <f t="shared" si="6"/>
        <v>-40.437500000000007</v>
      </c>
      <c r="K50" s="429">
        <f t="shared" si="7"/>
        <v>7.9499999999999984</v>
      </c>
      <c r="L50" s="430">
        <f t="shared" si="8"/>
        <v>81.512500000000003</v>
      </c>
      <c r="M50" s="429">
        <f t="shared" si="9"/>
        <v>-12.558333333333334</v>
      </c>
      <c r="N50" s="429">
        <f t="shared" si="10"/>
        <v>16.76250000000001</v>
      </c>
      <c r="O50" s="429">
        <f t="shared" si="11"/>
        <v>88.164932701036122</v>
      </c>
    </row>
    <row r="51" spans="1:15">
      <c r="A51" s="424" t="s">
        <v>326</v>
      </c>
      <c r="B51" s="425">
        <v>-33.333333333333336</v>
      </c>
      <c r="C51" s="425">
        <v>7</v>
      </c>
      <c r="D51" s="426">
        <v>71</v>
      </c>
      <c r="E51" s="427">
        <v>-37.333333333333336</v>
      </c>
      <c r="F51" s="427">
        <v>1.6666666666666667</v>
      </c>
      <c r="G51" s="425">
        <v>84.374649829970352</v>
      </c>
      <c r="H51" s="425">
        <v>2161.9695238095233</v>
      </c>
      <c r="I51" s="428"/>
      <c r="J51" s="429">
        <f t="shared" si="6"/>
        <v>-40.437500000000007</v>
      </c>
      <c r="K51" s="429">
        <f t="shared" si="7"/>
        <v>7.9499999999999984</v>
      </c>
      <c r="L51" s="430">
        <f t="shared" si="8"/>
        <v>81.512500000000003</v>
      </c>
      <c r="M51" s="429">
        <f t="shared" si="9"/>
        <v>-12.558333333333334</v>
      </c>
      <c r="N51" s="429">
        <f t="shared" si="10"/>
        <v>16.76250000000001</v>
      </c>
      <c r="O51" s="429">
        <f t="shared" si="11"/>
        <v>88.164932701036122</v>
      </c>
    </row>
    <row r="52" spans="1:15">
      <c r="A52" s="424" t="s">
        <v>327</v>
      </c>
      <c r="B52" s="425">
        <v>-58</v>
      </c>
      <c r="C52" s="425">
        <v>3.6666666666666665</v>
      </c>
      <c r="D52" s="426">
        <v>69</v>
      </c>
      <c r="E52" s="427">
        <v>-40.333333333333336</v>
      </c>
      <c r="F52" s="427">
        <v>-24.666666666666668</v>
      </c>
      <c r="G52" s="425">
        <v>84.707118665722717</v>
      </c>
      <c r="H52" s="425">
        <v>2380.649365079365</v>
      </c>
      <c r="I52" s="428"/>
      <c r="J52" s="429">
        <f t="shared" si="6"/>
        <v>-40.437500000000007</v>
      </c>
      <c r="K52" s="429">
        <f t="shared" si="7"/>
        <v>7.9499999999999984</v>
      </c>
      <c r="L52" s="430">
        <f t="shared" si="8"/>
        <v>81.512500000000003</v>
      </c>
      <c r="M52" s="429">
        <f t="shared" si="9"/>
        <v>-12.558333333333334</v>
      </c>
      <c r="N52" s="429">
        <f t="shared" si="10"/>
        <v>16.76250000000001</v>
      </c>
      <c r="O52" s="429">
        <f t="shared" si="11"/>
        <v>88.164932701036122</v>
      </c>
    </row>
    <row r="53" spans="1:15">
      <c r="A53" s="424" t="s">
        <v>328</v>
      </c>
      <c r="B53" s="425">
        <v>-66</v>
      </c>
      <c r="C53" s="425">
        <v>4.666666666666667</v>
      </c>
      <c r="D53" s="426">
        <v>68</v>
      </c>
      <c r="E53" s="427">
        <v>-34.666666666666664</v>
      </c>
      <c r="F53" s="427">
        <v>-25.666666666666668</v>
      </c>
      <c r="G53" s="425">
        <v>88.778446675886173</v>
      </c>
      <c r="H53" s="425">
        <v>2660.5816666666665</v>
      </c>
      <c r="I53" s="428"/>
      <c r="J53" s="429">
        <f t="shared" si="6"/>
        <v>-40.437500000000007</v>
      </c>
      <c r="K53" s="429">
        <f t="shared" si="7"/>
        <v>7.9499999999999984</v>
      </c>
      <c r="L53" s="430">
        <f t="shared" si="8"/>
        <v>81.512500000000003</v>
      </c>
      <c r="M53" s="429">
        <f t="shared" si="9"/>
        <v>-12.558333333333334</v>
      </c>
      <c r="N53" s="429">
        <f t="shared" si="10"/>
        <v>16.76250000000001</v>
      </c>
      <c r="O53" s="429">
        <f t="shared" si="11"/>
        <v>88.164932701036122</v>
      </c>
    </row>
    <row r="54" spans="1:15">
      <c r="A54" s="424" t="s">
        <v>329</v>
      </c>
      <c r="B54" s="425">
        <v>-66</v>
      </c>
      <c r="C54" s="425">
        <v>3</v>
      </c>
      <c r="D54" s="426">
        <v>74</v>
      </c>
      <c r="E54" s="427">
        <v>-31.333333333333332</v>
      </c>
      <c r="F54" s="427">
        <v>-22.333333333333332</v>
      </c>
      <c r="G54" s="425">
        <v>93.175435919894127</v>
      </c>
      <c r="H54" s="425">
        <v>2872.7398461538455</v>
      </c>
      <c r="I54" s="428"/>
      <c r="J54" s="429">
        <f t="shared" si="6"/>
        <v>-40.437500000000007</v>
      </c>
      <c r="K54" s="429">
        <f t="shared" si="7"/>
        <v>7.9499999999999984</v>
      </c>
      <c r="L54" s="430">
        <f t="shared" si="8"/>
        <v>81.512500000000003</v>
      </c>
      <c r="M54" s="429">
        <f t="shared" si="9"/>
        <v>-12.558333333333334</v>
      </c>
      <c r="N54" s="429">
        <f t="shared" si="10"/>
        <v>16.76250000000001</v>
      </c>
      <c r="O54" s="429">
        <f t="shared" si="11"/>
        <v>88.164932701036122</v>
      </c>
    </row>
    <row r="55" spans="1:15">
      <c r="A55" s="424" t="s">
        <v>330</v>
      </c>
      <c r="B55" s="425">
        <v>-61</v>
      </c>
      <c r="C55" s="425">
        <v>1</v>
      </c>
      <c r="D55" s="426">
        <v>74</v>
      </c>
      <c r="E55" s="427">
        <v>-26</v>
      </c>
      <c r="F55" s="427">
        <v>-21.333333333333332</v>
      </c>
      <c r="G55" s="425">
        <v>96.109556320402973</v>
      </c>
      <c r="H55" s="425">
        <v>2848.9652380952366</v>
      </c>
      <c r="I55" s="428"/>
      <c r="J55" s="429">
        <f t="shared" si="6"/>
        <v>-40.437500000000007</v>
      </c>
      <c r="K55" s="429">
        <f t="shared" si="7"/>
        <v>7.9499999999999984</v>
      </c>
      <c r="L55" s="430">
        <f t="shared" si="8"/>
        <v>81.512500000000003</v>
      </c>
      <c r="M55" s="429">
        <f t="shared" si="9"/>
        <v>-12.558333333333334</v>
      </c>
      <c r="N55" s="429">
        <f t="shared" si="10"/>
        <v>16.76250000000001</v>
      </c>
      <c r="O55" s="429">
        <f t="shared" si="11"/>
        <v>88.164932701036122</v>
      </c>
    </row>
    <row r="56" spans="1:15">
      <c r="A56" s="424" t="s">
        <v>331</v>
      </c>
      <c r="B56" s="425">
        <v>-55.666666666666664</v>
      </c>
      <c r="C56" s="425">
        <v>2.3333333333333335</v>
      </c>
      <c r="D56" s="426">
        <v>73</v>
      </c>
      <c r="E56" s="427">
        <v>-23.333333333333332</v>
      </c>
      <c r="F56" s="427">
        <v>-11</v>
      </c>
      <c r="G56" s="425">
        <v>99.569744799079174</v>
      </c>
      <c r="H56" s="425">
        <v>2735.6698412698406</v>
      </c>
      <c r="I56" s="428"/>
      <c r="J56" s="429">
        <f t="shared" si="6"/>
        <v>-40.437500000000007</v>
      </c>
      <c r="K56" s="429">
        <f t="shared" si="7"/>
        <v>7.9499999999999984</v>
      </c>
      <c r="L56" s="430">
        <f t="shared" si="8"/>
        <v>81.512500000000003</v>
      </c>
      <c r="M56" s="429">
        <f t="shared" si="9"/>
        <v>-12.558333333333334</v>
      </c>
      <c r="N56" s="429">
        <f t="shared" si="10"/>
        <v>16.76250000000001</v>
      </c>
      <c r="O56" s="429">
        <f t="shared" si="11"/>
        <v>88.164932701036122</v>
      </c>
    </row>
    <row r="57" spans="1:15">
      <c r="A57" s="424" t="s">
        <v>332</v>
      </c>
      <c r="B57" s="425">
        <v>-54.333333333333336</v>
      </c>
      <c r="C57" s="425">
        <v>3</v>
      </c>
      <c r="D57" s="426">
        <v>75</v>
      </c>
      <c r="E57" s="427">
        <v>-20</v>
      </c>
      <c r="F57" s="427">
        <v>3.6666666666666665</v>
      </c>
      <c r="G57" s="425">
        <v>100.97525262301269</v>
      </c>
      <c r="H57" s="425">
        <v>2715.9395454545443</v>
      </c>
      <c r="I57" s="428"/>
      <c r="J57" s="429">
        <f t="shared" si="6"/>
        <v>-40.437500000000007</v>
      </c>
      <c r="K57" s="429">
        <f t="shared" si="7"/>
        <v>7.9499999999999984</v>
      </c>
      <c r="L57" s="430">
        <f t="shared" si="8"/>
        <v>81.512500000000003</v>
      </c>
      <c r="M57" s="429">
        <f t="shared" si="9"/>
        <v>-12.558333333333334</v>
      </c>
      <c r="N57" s="429">
        <f t="shared" si="10"/>
        <v>16.76250000000001</v>
      </c>
      <c r="O57" s="429">
        <f t="shared" si="11"/>
        <v>88.164932701036122</v>
      </c>
    </row>
    <row r="58" spans="1:15">
      <c r="A58" s="424" t="s">
        <v>333</v>
      </c>
      <c r="B58" s="425">
        <v>-52.333333333333336</v>
      </c>
      <c r="C58" s="425">
        <v>2.3333333333333335</v>
      </c>
      <c r="D58" s="426">
        <v>84</v>
      </c>
      <c r="E58" s="427">
        <v>-11.666666666666666</v>
      </c>
      <c r="F58" s="427">
        <v>13.333333333333334</v>
      </c>
      <c r="G58" s="425">
        <v>103.34544625750522</v>
      </c>
      <c r="H58" s="425">
        <v>2817.7637878787878</v>
      </c>
      <c r="I58" s="428"/>
      <c r="J58" s="429">
        <f t="shared" si="6"/>
        <v>-40.437500000000007</v>
      </c>
      <c r="K58" s="429">
        <f t="shared" si="7"/>
        <v>7.9499999999999984</v>
      </c>
      <c r="L58" s="430">
        <f t="shared" si="8"/>
        <v>81.512500000000003</v>
      </c>
      <c r="M58" s="429">
        <f t="shared" si="9"/>
        <v>-12.558333333333334</v>
      </c>
      <c r="N58" s="429">
        <f t="shared" si="10"/>
        <v>16.76250000000001</v>
      </c>
      <c r="O58" s="429">
        <f t="shared" si="11"/>
        <v>88.164932701036122</v>
      </c>
    </row>
    <row r="59" spans="1:15">
      <c r="A59" s="424" t="s">
        <v>334</v>
      </c>
      <c r="B59" s="425">
        <v>-50.666666666666664</v>
      </c>
      <c r="C59" s="425">
        <v>1.3333333333333333</v>
      </c>
      <c r="D59" s="426">
        <v>81</v>
      </c>
      <c r="E59" s="427">
        <v>-8.3333333333333339</v>
      </c>
      <c r="F59" s="427">
        <v>19.666666666666668</v>
      </c>
      <c r="G59" s="425">
        <v>104.56386821879504</v>
      </c>
      <c r="H59" s="425">
        <v>2932.93015625</v>
      </c>
      <c r="I59" s="428"/>
      <c r="J59" s="429">
        <f t="shared" si="6"/>
        <v>-40.437500000000007</v>
      </c>
      <c r="K59" s="429">
        <f t="shared" si="7"/>
        <v>7.9499999999999984</v>
      </c>
      <c r="L59" s="430">
        <f t="shared" si="8"/>
        <v>81.512500000000003</v>
      </c>
      <c r="M59" s="429">
        <f t="shared" si="9"/>
        <v>-12.558333333333334</v>
      </c>
      <c r="N59" s="429">
        <f t="shared" si="10"/>
        <v>16.76250000000001</v>
      </c>
      <c r="O59" s="429">
        <f t="shared" si="11"/>
        <v>88.164932701036122</v>
      </c>
    </row>
    <row r="60" spans="1:15">
      <c r="A60" s="424" t="s">
        <v>335</v>
      </c>
      <c r="B60" s="425">
        <v>-53.666666666666664</v>
      </c>
      <c r="C60" s="425">
        <v>1.3333333333333333</v>
      </c>
      <c r="D60" s="426">
        <v>77</v>
      </c>
      <c r="E60" s="427">
        <v>-14</v>
      </c>
      <c r="F60" s="427">
        <v>17.333333333333332</v>
      </c>
      <c r="G60" s="425">
        <v>104.09141720986868</v>
      </c>
      <c r="H60" s="425">
        <v>2862.6706349206347</v>
      </c>
      <c r="I60" s="428"/>
      <c r="J60" s="429">
        <f t="shared" si="6"/>
        <v>-40.437500000000007</v>
      </c>
      <c r="K60" s="429">
        <f t="shared" si="7"/>
        <v>7.9499999999999984</v>
      </c>
      <c r="L60" s="430">
        <f t="shared" si="8"/>
        <v>81.512500000000003</v>
      </c>
      <c r="M60" s="429">
        <f t="shared" si="9"/>
        <v>-12.558333333333334</v>
      </c>
      <c r="N60" s="429">
        <f t="shared" si="10"/>
        <v>16.76250000000001</v>
      </c>
      <c r="O60" s="429">
        <f t="shared" si="11"/>
        <v>88.164932701036122</v>
      </c>
    </row>
    <row r="61" spans="1:15">
      <c r="A61" s="424" t="s">
        <v>336</v>
      </c>
      <c r="B61" s="425">
        <v>-59.333333333333336</v>
      </c>
      <c r="C61" s="425">
        <v>2.3333333333333335</v>
      </c>
      <c r="D61" s="426">
        <v>76</v>
      </c>
      <c r="E61" s="427">
        <v>-23</v>
      </c>
      <c r="F61" s="427">
        <v>17</v>
      </c>
      <c r="G61" s="425">
        <v>105.28059432699081</v>
      </c>
      <c r="H61" s="425">
        <v>2381.5675757575759</v>
      </c>
      <c r="I61" s="428"/>
      <c r="J61" s="429">
        <f t="shared" si="6"/>
        <v>-40.437500000000007</v>
      </c>
      <c r="K61" s="429">
        <f t="shared" si="7"/>
        <v>7.9499999999999984</v>
      </c>
      <c r="L61" s="430">
        <f t="shared" si="8"/>
        <v>81.512500000000003</v>
      </c>
      <c r="M61" s="429">
        <f t="shared" si="9"/>
        <v>-12.558333333333334</v>
      </c>
      <c r="N61" s="429">
        <f t="shared" si="10"/>
        <v>16.76250000000001</v>
      </c>
      <c r="O61" s="429">
        <f t="shared" si="11"/>
        <v>88.164932701036122</v>
      </c>
    </row>
    <row r="62" spans="1:15">
      <c r="A62" s="424" t="s">
        <v>337</v>
      </c>
      <c r="B62" s="425">
        <v>-53</v>
      </c>
      <c r="C62" s="425">
        <v>2</v>
      </c>
      <c r="D62" s="426">
        <v>80</v>
      </c>
      <c r="E62" s="427">
        <v>-22.666666666666668</v>
      </c>
      <c r="F62" s="427">
        <v>15.666666666666666</v>
      </c>
      <c r="G62" s="425">
        <v>104.95433865700257</v>
      </c>
      <c r="H62" s="425">
        <v>2277.7853124999992</v>
      </c>
      <c r="I62" s="428"/>
      <c r="J62" s="429">
        <f t="shared" si="6"/>
        <v>-40.437500000000007</v>
      </c>
      <c r="K62" s="429">
        <f t="shared" si="7"/>
        <v>7.9499999999999984</v>
      </c>
      <c r="L62" s="430">
        <f t="shared" si="8"/>
        <v>81.512500000000003</v>
      </c>
      <c r="M62" s="429">
        <f t="shared" si="9"/>
        <v>-12.558333333333334</v>
      </c>
      <c r="N62" s="429">
        <f t="shared" si="10"/>
        <v>16.76250000000001</v>
      </c>
      <c r="O62" s="429">
        <f t="shared" si="11"/>
        <v>88.164932701036122</v>
      </c>
    </row>
    <row r="63" spans="1:15">
      <c r="A63" s="424" t="s">
        <v>338</v>
      </c>
      <c r="B63" s="425">
        <v>-60.333333333333336</v>
      </c>
      <c r="C63" s="425">
        <v>1.6666666666666667</v>
      </c>
      <c r="D63" s="426">
        <v>76</v>
      </c>
      <c r="E63" s="427">
        <v>-15</v>
      </c>
      <c r="F63" s="427">
        <v>9.3333333333333339</v>
      </c>
      <c r="G63" s="425">
        <v>105.2988096578452</v>
      </c>
      <c r="H63" s="425">
        <v>2473.6398461538456</v>
      </c>
      <c r="I63" s="428"/>
      <c r="J63" s="429">
        <f t="shared" si="6"/>
        <v>-40.437500000000007</v>
      </c>
      <c r="K63" s="429">
        <f t="shared" si="7"/>
        <v>7.9499999999999984</v>
      </c>
      <c r="L63" s="430">
        <f t="shared" si="8"/>
        <v>81.512500000000003</v>
      </c>
      <c r="M63" s="429">
        <f t="shared" si="9"/>
        <v>-12.558333333333334</v>
      </c>
      <c r="N63" s="429">
        <f t="shared" si="10"/>
        <v>16.76250000000001</v>
      </c>
      <c r="O63" s="429">
        <f t="shared" si="11"/>
        <v>88.164932701036122</v>
      </c>
    </row>
    <row r="64" spans="1:15">
      <c r="A64" s="424" t="s">
        <v>339</v>
      </c>
      <c r="B64" s="425">
        <v>-48.333333333333336</v>
      </c>
      <c r="C64" s="425">
        <v>2</v>
      </c>
      <c r="D64" s="426">
        <v>77</v>
      </c>
      <c r="E64" s="427">
        <v>-19.333333333333332</v>
      </c>
      <c r="F64" s="427">
        <v>9.6666666666666661</v>
      </c>
      <c r="G64" s="425">
        <v>106.23788393196929</v>
      </c>
      <c r="H64" s="425">
        <v>2226.158253968254</v>
      </c>
      <c r="I64" s="428"/>
      <c r="J64" s="429">
        <f t="shared" si="6"/>
        <v>-40.437500000000007</v>
      </c>
      <c r="K64" s="429">
        <f t="shared" si="7"/>
        <v>7.9499999999999984</v>
      </c>
      <c r="L64" s="430">
        <f t="shared" si="8"/>
        <v>81.512500000000003</v>
      </c>
      <c r="M64" s="429">
        <f t="shared" si="9"/>
        <v>-12.558333333333334</v>
      </c>
      <c r="N64" s="429">
        <f t="shared" si="10"/>
        <v>16.76250000000001</v>
      </c>
      <c r="O64" s="429">
        <f t="shared" si="11"/>
        <v>88.164932701036122</v>
      </c>
    </row>
    <row r="65" spans="1:15">
      <c r="A65" s="424" t="s">
        <v>340</v>
      </c>
      <c r="B65" s="425">
        <v>-58.333333333333336</v>
      </c>
      <c r="C65" s="425">
        <v>2.6666666666666665</v>
      </c>
      <c r="D65" s="426">
        <v>78</v>
      </c>
      <c r="E65" s="427">
        <v>-21.666666666666668</v>
      </c>
      <c r="F65" s="427">
        <v>13</v>
      </c>
      <c r="G65" s="425">
        <v>106.51025333015899</v>
      </c>
      <c r="H65" s="425">
        <v>2400.9413846153848</v>
      </c>
      <c r="I65" s="428"/>
      <c r="J65" s="429">
        <f t="shared" si="6"/>
        <v>-40.437500000000007</v>
      </c>
      <c r="K65" s="429">
        <f t="shared" si="7"/>
        <v>7.9499999999999984</v>
      </c>
      <c r="L65" s="430">
        <f t="shared" si="8"/>
        <v>81.512500000000003</v>
      </c>
      <c r="M65" s="429">
        <f t="shared" si="9"/>
        <v>-12.558333333333334</v>
      </c>
      <c r="N65" s="429">
        <f t="shared" si="10"/>
        <v>16.76250000000001</v>
      </c>
      <c r="O65" s="429">
        <f t="shared" si="11"/>
        <v>88.164932701036122</v>
      </c>
    </row>
    <row r="66" spans="1:15">
      <c r="A66" s="424" t="s">
        <v>341</v>
      </c>
      <c r="B66" s="425">
        <v>-76.666666666666671</v>
      </c>
      <c r="C66" s="425">
        <v>1.6666666666666667</v>
      </c>
      <c r="D66" s="426">
        <v>79</v>
      </c>
      <c r="E66" s="427">
        <v>-26.666666666666668</v>
      </c>
      <c r="F66" s="427">
        <v>12.333333333333334</v>
      </c>
      <c r="G66" s="425">
        <v>106.39770165216753</v>
      </c>
      <c r="H66" s="425">
        <v>2543.3265625000004</v>
      </c>
      <c r="I66" s="428"/>
      <c r="J66" s="429">
        <f t="shared" si="6"/>
        <v>-40.437500000000007</v>
      </c>
      <c r="K66" s="429">
        <f t="shared" si="7"/>
        <v>7.9499999999999984</v>
      </c>
      <c r="L66" s="430">
        <f t="shared" si="8"/>
        <v>81.512500000000003</v>
      </c>
      <c r="M66" s="429">
        <f t="shared" si="9"/>
        <v>-12.558333333333334</v>
      </c>
      <c r="N66" s="429">
        <f t="shared" si="10"/>
        <v>16.76250000000001</v>
      </c>
      <c r="O66" s="429">
        <f t="shared" si="11"/>
        <v>88.164932701036122</v>
      </c>
    </row>
    <row r="67" spans="1:15">
      <c r="A67" s="424" t="s">
        <v>342</v>
      </c>
      <c r="B67" s="425">
        <v>-70.666666666666671</v>
      </c>
      <c r="C67" s="425">
        <v>1.6666666666666667</v>
      </c>
      <c r="D67" s="426">
        <v>75</v>
      </c>
      <c r="E67" s="427">
        <v>-28.333333333333332</v>
      </c>
      <c r="F67" s="427">
        <v>9.6666666666666661</v>
      </c>
      <c r="G67" s="425">
        <v>107.87897635069267</v>
      </c>
      <c r="H67" s="425">
        <v>2675.2936333333332</v>
      </c>
      <c r="I67" s="428"/>
      <c r="J67" s="429">
        <f t="shared" si="6"/>
        <v>-40.437500000000007</v>
      </c>
      <c r="K67" s="429">
        <f t="shared" si="7"/>
        <v>7.9499999999999984</v>
      </c>
      <c r="L67" s="430">
        <f t="shared" si="8"/>
        <v>81.512500000000003</v>
      </c>
      <c r="M67" s="429">
        <f t="shared" si="9"/>
        <v>-12.558333333333334</v>
      </c>
      <c r="N67" s="429">
        <f t="shared" si="10"/>
        <v>16.76250000000001</v>
      </c>
      <c r="O67" s="429">
        <f t="shared" si="11"/>
        <v>88.164932701036122</v>
      </c>
    </row>
    <row r="68" spans="1:15">
      <c r="A68" s="424" t="s">
        <v>343</v>
      </c>
      <c r="B68" s="425">
        <v>-69.666666666666671</v>
      </c>
      <c r="C68" s="425">
        <v>1</v>
      </c>
      <c r="D68" s="426">
        <v>80</v>
      </c>
      <c r="E68" s="427">
        <v>-23.666666666666668</v>
      </c>
      <c r="F68" s="427">
        <v>8</v>
      </c>
      <c r="G68" s="425">
        <v>108.02865056475072</v>
      </c>
      <c r="H68" s="425">
        <v>2692.6254333333331</v>
      </c>
      <c r="I68" s="428"/>
      <c r="J68" s="429">
        <f t="shared" ref="J68:O82" si="12">AVERAGE(B$3:B$82)</f>
        <v>-40.437500000000007</v>
      </c>
      <c r="K68" s="429">
        <f t="shared" si="12"/>
        <v>7.9499999999999984</v>
      </c>
      <c r="L68" s="430">
        <f t="shared" si="12"/>
        <v>81.512500000000003</v>
      </c>
      <c r="M68" s="429">
        <f t="shared" si="12"/>
        <v>-12.558333333333334</v>
      </c>
      <c r="N68" s="429">
        <f t="shared" si="12"/>
        <v>16.76250000000001</v>
      </c>
      <c r="O68" s="429">
        <f t="shared" si="12"/>
        <v>88.164932701036122</v>
      </c>
    </row>
    <row r="69" spans="1:15">
      <c r="A69" s="424" t="s">
        <v>344</v>
      </c>
      <c r="B69" s="425">
        <v>-65</v>
      </c>
      <c r="C69" s="425">
        <v>4</v>
      </c>
      <c r="D69" s="426">
        <v>73</v>
      </c>
      <c r="E69" s="427">
        <v>-18.666666666666668</v>
      </c>
      <c r="F69" s="427">
        <v>-1.3333333333333333</v>
      </c>
      <c r="G69" s="425">
        <v>108.42614466824467</v>
      </c>
      <c r="H69" s="425">
        <v>2784.9787999999994</v>
      </c>
      <c r="I69" s="428"/>
      <c r="J69" s="429">
        <f t="shared" si="12"/>
        <v>-40.437500000000007</v>
      </c>
      <c r="K69" s="429">
        <f t="shared" si="12"/>
        <v>7.9499999999999984</v>
      </c>
      <c r="L69" s="430">
        <f t="shared" si="12"/>
        <v>81.512500000000003</v>
      </c>
      <c r="M69" s="429">
        <f t="shared" si="12"/>
        <v>-12.558333333333334</v>
      </c>
      <c r="N69" s="429">
        <f t="shared" si="12"/>
        <v>16.76250000000001</v>
      </c>
      <c r="O69" s="429">
        <f t="shared" si="12"/>
        <v>88.164932701036122</v>
      </c>
    </row>
    <row r="70" spans="1:15">
      <c r="A70" s="424" t="s">
        <v>345</v>
      </c>
      <c r="B70" s="425">
        <v>-58.333333333333336</v>
      </c>
      <c r="C70" s="425">
        <v>3.3333333333333335</v>
      </c>
      <c r="D70" s="426">
        <v>80</v>
      </c>
      <c r="E70" s="427">
        <v>-12</v>
      </c>
      <c r="F70" s="427">
        <v>-1</v>
      </c>
      <c r="G70" s="425">
        <v>109.47999767042904</v>
      </c>
      <c r="H70" s="425">
        <v>3018.3540666666668</v>
      </c>
      <c r="I70" s="428"/>
      <c r="J70" s="429">
        <f t="shared" si="12"/>
        <v>-40.437500000000007</v>
      </c>
      <c r="K70" s="429">
        <f t="shared" si="12"/>
        <v>7.9499999999999984</v>
      </c>
      <c r="L70" s="430">
        <f t="shared" si="12"/>
        <v>81.512500000000003</v>
      </c>
      <c r="M70" s="429">
        <f t="shared" si="12"/>
        <v>-12.558333333333334</v>
      </c>
      <c r="N70" s="429">
        <f t="shared" si="12"/>
        <v>16.76250000000001</v>
      </c>
      <c r="O70" s="429">
        <f t="shared" si="12"/>
        <v>88.164932701036122</v>
      </c>
    </row>
    <row r="71" spans="1:15">
      <c r="A71" s="424" t="s">
        <v>346</v>
      </c>
      <c r="B71" s="425">
        <v>-48.666666666666664</v>
      </c>
      <c r="C71" s="425">
        <v>2</v>
      </c>
      <c r="D71" s="426">
        <v>79</v>
      </c>
      <c r="E71" s="427">
        <v>-15</v>
      </c>
      <c r="F71" s="427">
        <v>5</v>
      </c>
      <c r="G71" s="425">
        <v>110.18522362501587</v>
      </c>
      <c r="H71" s="425">
        <v>3090.7446999999997</v>
      </c>
      <c r="I71" s="428"/>
      <c r="J71" s="429">
        <f t="shared" si="12"/>
        <v>-40.437500000000007</v>
      </c>
      <c r="K71" s="429">
        <f t="shared" si="12"/>
        <v>7.9499999999999984</v>
      </c>
      <c r="L71" s="430">
        <f t="shared" si="12"/>
        <v>81.512500000000003</v>
      </c>
      <c r="M71" s="429">
        <f t="shared" si="12"/>
        <v>-12.558333333333334</v>
      </c>
      <c r="N71" s="429">
        <f t="shared" si="12"/>
        <v>16.76250000000001</v>
      </c>
      <c r="O71" s="429">
        <f t="shared" si="12"/>
        <v>88.164932701036122</v>
      </c>
    </row>
    <row r="72" spans="1:15">
      <c r="A72" s="424" t="s">
        <v>347</v>
      </c>
      <c r="B72" s="425">
        <v>-58.333333333333336</v>
      </c>
      <c r="C72" s="425">
        <v>2.6666666666666665</v>
      </c>
      <c r="D72" s="426">
        <v>79</v>
      </c>
      <c r="E72" s="427">
        <v>-10.333333333333334</v>
      </c>
      <c r="F72" s="427">
        <v>15.666666666666666</v>
      </c>
      <c r="G72" s="425">
        <v>110.36084682152291</v>
      </c>
      <c r="H72" s="425">
        <v>3213.5401000000002</v>
      </c>
      <c r="I72" s="428"/>
      <c r="J72" s="429">
        <f t="shared" si="12"/>
        <v>-40.437500000000007</v>
      </c>
      <c r="K72" s="429">
        <f t="shared" si="12"/>
        <v>7.9499999999999984</v>
      </c>
      <c r="L72" s="430">
        <f t="shared" si="12"/>
        <v>81.512500000000003</v>
      </c>
      <c r="M72" s="429">
        <f t="shared" si="12"/>
        <v>-12.558333333333334</v>
      </c>
      <c r="N72" s="429">
        <f t="shared" si="12"/>
        <v>16.76250000000001</v>
      </c>
      <c r="O72" s="429">
        <f t="shared" si="12"/>
        <v>88.164932701036122</v>
      </c>
    </row>
    <row r="73" spans="1:15">
      <c r="A73" s="424" t="s">
        <v>348</v>
      </c>
      <c r="B73" s="425">
        <v>-50.333333333333336</v>
      </c>
      <c r="C73" s="425">
        <v>5.333333333333333</v>
      </c>
      <c r="D73" s="413">
        <v>81</v>
      </c>
      <c r="E73" s="427">
        <v>-7.666666666666667</v>
      </c>
      <c r="F73" s="427">
        <v>15.333333333333334</v>
      </c>
      <c r="G73" s="425">
        <v>111.80007470487585</v>
      </c>
      <c r="H73" s="425">
        <v>3171.5802666666664</v>
      </c>
      <c r="I73" s="428"/>
      <c r="J73" s="429">
        <f t="shared" si="12"/>
        <v>-40.437500000000007</v>
      </c>
      <c r="K73" s="429">
        <f t="shared" si="12"/>
        <v>7.9499999999999984</v>
      </c>
      <c r="L73" s="430">
        <f t="shared" si="12"/>
        <v>81.512500000000003</v>
      </c>
      <c r="M73" s="429">
        <f t="shared" si="12"/>
        <v>-12.558333333333334</v>
      </c>
      <c r="N73" s="429">
        <f t="shared" si="12"/>
        <v>16.76250000000001</v>
      </c>
      <c r="O73" s="429">
        <f t="shared" si="12"/>
        <v>88.164932701036122</v>
      </c>
    </row>
    <row r="74" spans="1:15">
      <c r="A74" s="424" t="s">
        <v>349</v>
      </c>
      <c r="B74" s="425">
        <v>-31.666666666666668</v>
      </c>
      <c r="C74" s="425">
        <v>7.333333333333333</v>
      </c>
      <c r="D74" s="413">
        <v>83</v>
      </c>
      <c r="E74" s="427">
        <v>-7.333333333333333</v>
      </c>
      <c r="F74" s="427">
        <v>20.333333333333332</v>
      </c>
      <c r="G74" s="425">
        <v>113.03483321994054</v>
      </c>
      <c r="H74" s="425">
        <v>3105.1648999999998</v>
      </c>
      <c r="I74" s="428"/>
      <c r="J74" s="429">
        <f t="shared" si="12"/>
        <v>-40.437500000000007</v>
      </c>
      <c r="K74" s="429">
        <f t="shared" si="12"/>
        <v>7.9499999999999984</v>
      </c>
      <c r="L74" s="430">
        <f t="shared" si="12"/>
        <v>81.512500000000003</v>
      </c>
      <c r="M74" s="429">
        <f t="shared" si="12"/>
        <v>-12.558333333333334</v>
      </c>
      <c r="N74" s="429">
        <f t="shared" si="12"/>
        <v>16.76250000000001</v>
      </c>
      <c r="O74" s="429">
        <f t="shared" si="12"/>
        <v>88.164932701036122</v>
      </c>
    </row>
    <row r="75" spans="1:15">
      <c r="A75" s="424" t="s">
        <v>350</v>
      </c>
      <c r="B75" s="425">
        <v>-28.333333333333332</v>
      </c>
      <c r="C75" s="425">
        <v>3</v>
      </c>
      <c r="D75" s="413">
        <v>80</v>
      </c>
      <c r="E75" s="427">
        <v>-11.666666666666666</v>
      </c>
      <c r="F75" s="427">
        <v>18</v>
      </c>
      <c r="G75" s="425">
        <v>113.70934721804728</v>
      </c>
      <c r="H75" s="425">
        <v>3438.7834666666663</v>
      </c>
      <c r="I75" s="428"/>
      <c r="J75" s="429">
        <f t="shared" si="12"/>
        <v>-40.437500000000007</v>
      </c>
      <c r="K75" s="429">
        <f t="shared" si="12"/>
        <v>7.9499999999999984</v>
      </c>
      <c r="L75" s="430">
        <f t="shared" si="12"/>
        <v>81.512500000000003</v>
      </c>
      <c r="M75" s="429">
        <f t="shared" si="12"/>
        <v>-12.558333333333334</v>
      </c>
      <c r="N75" s="429">
        <f t="shared" si="12"/>
        <v>16.76250000000001</v>
      </c>
      <c r="O75" s="429">
        <f t="shared" si="12"/>
        <v>88.164932701036122</v>
      </c>
    </row>
    <row r="76" spans="1:15">
      <c r="A76" s="424" t="s">
        <v>351</v>
      </c>
      <c r="B76" s="425">
        <v>-16</v>
      </c>
      <c r="C76" s="425">
        <v>7</v>
      </c>
      <c r="D76" s="413">
        <v>79</v>
      </c>
      <c r="E76" s="427">
        <v>-4.333333333333333</v>
      </c>
      <c r="F76" s="427">
        <v>28.333333333333332</v>
      </c>
      <c r="G76" s="425">
        <v>112.53286333083065</v>
      </c>
      <c r="H76" s="425">
        <v>3624.480133333333</v>
      </c>
      <c r="I76" s="428"/>
      <c r="J76" s="429">
        <f t="shared" si="12"/>
        <v>-40.437500000000007</v>
      </c>
      <c r="K76" s="429">
        <f t="shared" si="12"/>
        <v>7.9499999999999984</v>
      </c>
      <c r="L76" s="430">
        <f t="shared" si="12"/>
        <v>81.512500000000003</v>
      </c>
      <c r="M76" s="429">
        <f t="shared" si="12"/>
        <v>-12.558333333333334</v>
      </c>
      <c r="N76" s="429">
        <f t="shared" si="12"/>
        <v>16.76250000000001</v>
      </c>
      <c r="O76" s="429">
        <f t="shared" si="12"/>
        <v>88.164932701036122</v>
      </c>
    </row>
    <row r="77" spans="1:15">
      <c r="A77" s="424" t="s">
        <v>352</v>
      </c>
      <c r="B77" s="425">
        <v>-11</v>
      </c>
      <c r="C77" s="425">
        <v>13</v>
      </c>
      <c r="D77" s="413">
        <v>85</v>
      </c>
      <c r="E77" s="427">
        <v>-6.333333333333333</v>
      </c>
      <c r="F77" s="427">
        <v>26.666666666666668</v>
      </c>
      <c r="G77" s="425">
        <v>113.70041228825271</v>
      </c>
      <c r="H77" s="425">
        <v>3384.9881</v>
      </c>
      <c r="I77" s="428"/>
      <c r="J77" s="429">
        <f t="shared" si="12"/>
        <v>-40.437500000000007</v>
      </c>
      <c r="K77" s="429">
        <f t="shared" si="12"/>
        <v>7.9499999999999984</v>
      </c>
      <c r="L77" s="430">
        <f t="shared" si="12"/>
        <v>81.512500000000003</v>
      </c>
      <c r="M77" s="429">
        <f t="shared" si="12"/>
        <v>-12.558333333333334</v>
      </c>
      <c r="N77" s="429">
        <f t="shared" si="12"/>
        <v>16.76250000000001</v>
      </c>
      <c r="O77" s="429">
        <f t="shared" si="12"/>
        <v>88.164932701036122</v>
      </c>
    </row>
    <row r="78" spans="1:15">
      <c r="A78" s="424" t="s">
        <v>353</v>
      </c>
      <c r="B78" s="425">
        <v>-10.333333333333334</v>
      </c>
      <c r="C78" s="425">
        <v>14</v>
      </c>
      <c r="D78" s="413">
        <v>86</v>
      </c>
      <c r="E78" s="427">
        <v>-3.6666666666666665</v>
      </c>
      <c r="F78" s="427">
        <v>22</v>
      </c>
      <c r="G78" s="425">
        <v>114.53003701069792</v>
      </c>
      <c r="H78" s="425">
        <v>3334.5613333333336</v>
      </c>
      <c r="I78" s="433"/>
      <c r="J78" s="429">
        <f t="shared" si="12"/>
        <v>-40.437500000000007</v>
      </c>
      <c r="K78" s="429">
        <f t="shared" si="12"/>
        <v>7.9499999999999984</v>
      </c>
      <c r="L78" s="430">
        <f t="shared" si="12"/>
        <v>81.512500000000003</v>
      </c>
      <c r="M78" s="429">
        <f t="shared" si="12"/>
        <v>-12.558333333333334</v>
      </c>
      <c r="N78" s="429">
        <f t="shared" si="12"/>
        <v>16.76250000000001</v>
      </c>
      <c r="O78" s="429">
        <f t="shared" si="12"/>
        <v>88.164932701036122</v>
      </c>
    </row>
    <row r="79" spans="1:15">
      <c r="A79" s="424" t="s">
        <v>354</v>
      </c>
      <c r="B79" s="425">
        <v>-24.333333333333332</v>
      </c>
      <c r="C79" s="425">
        <v>9.3333333333333339</v>
      </c>
      <c r="D79" s="413">
        <v>84</v>
      </c>
      <c r="E79" s="427">
        <v>-0.66666666666666663</v>
      </c>
      <c r="F79" s="427">
        <v>14</v>
      </c>
      <c r="G79" s="412">
        <v>114.61998233989318</v>
      </c>
      <c r="H79" s="412">
        <v>2974.837</v>
      </c>
      <c r="J79" s="429">
        <f t="shared" si="12"/>
        <v>-40.437500000000007</v>
      </c>
      <c r="K79" s="429">
        <f t="shared" si="12"/>
        <v>7.9499999999999984</v>
      </c>
      <c r="L79" s="430">
        <f t="shared" si="12"/>
        <v>81.512500000000003</v>
      </c>
      <c r="M79" s="429">
        <f t="shared" si="12"/>
        <v>-12.558333333333334</v>
      </c>
      <c r="N79" s="429">
        <f t="shared" si="12"/>
        <v>16.76250000000001</v>
      </c>
      <c r="O79" s="429">
        <f t="shared" si="12"/>
        <v>88.164932701036122</v>
      </c>
    </row>
    <row r="80" spans="1:15">
      <c r="A80" s="424" t="s">
        <v>355</v>
      </c>
      <c r="B80" s="425">
        <v>-24</v>
      </c>
      <c r="C80" s="425">
        <v>11.666666666666666</v>
      </c>
      <c r="D80" s="413">
        <v>82</v>
      </c>
      <c r="E80" s="427">
        <v>-1</v>
      </c>
      <c r="F80" s="427">
        <v>25.666666666666668</v>
      </c>
      <c r="G80" s="412">
        <v>114.27098337624621</v>
      </c>
      <c r="H80" s="412">
        <v>2975.2298666666666</v>
      </c>
      <c r="J80" s="429">
        <f t="shared" si="12"/>
        <v>-40.437500000000007</v>
      </c>
      <c r="K80" s="429">
        <f t="shared" si="12"/>
        <v>7.9499999999999984</v>
      </c>
      <c r="L80" s="430">
        <f t="shared" si="12"/>
        <v>81.512500000000003</v>
      </c>
      <c r="M80" s="429">
        <f t="shared" si="12"/>
        <v>-12.558333333333334</v>
      </c>
      <c r="N80" s="429">
        <f t="shared" si="12"/>
        <v>16.76250000000001</v>
      </c>
      <c r="O80" s="429">
        <f t="shared" si="12"/>
        <v>88.164932701036122</v>
      </c>
    </row>
    <row r="81" spans="1:64">
      <c r="A81" s="424" t="s">
        <v>356</v>
      </c>
      <c r="B81" s="425">
        <v>-20.666666666666668</v>
      </c>
      <c r="C81" s="425">
        <v>16</v>
      </c>
      <c r="D81" s="413">
        <v>84</v>
      </c>
      <c r="E81" s="427">
        <v>-2</v>
      </c>
      <c r="F81" s="427">
        <v>21.666666666666668</v>
      </c>
      <c r="G81" s="412">
        <v>114.91538209267416</v>
      </c>
      <c r="H81" s="412">
        <v>2974.6796333333332</v>
      </c>
      <c r="J81" s="429">
        <f t="shared" si="12"/>
        <v>-40.437500000000007</v>
      </c>
      <c r="K81" s="429">
        <f t="shared" si="12"/>
        <v>7.9499999999999984</v>
      </c>
      <c r="L81" s="430">
        <f t="shared" si="12"/>
        <v>81.512500000000003</v>
      </c>
      <c r="M81" s="429">
        <f t="shared" si="12"/>
        <v>-12.558333333333334</v>
      </c>
      <c r="N81" s="429">
        <f t="shared" si="12"/>
        <v>16.76250000000001</v>
      </c>
      <c r="O81" s="429">
        <f t="shared" si="12"/>
        <v>88.164932701036122</v>
      </c>
    </row>
    <row r="82" spans="1:64">
      <c r="A82" s="424" t="s">
        <v>357</v>
      </c>
      <c r="B82" s="425">
        <v>-24.666666666666668</v>
      </c>
      <c r="C82" s="425">
        <v>16</v>
      </c>
      <c r="D82" s="413">
        <v>88</v>
      </c>
      <c r="E82" s="427">
        <v>-4.333333333333333</v>
      </c>
      <c r="F82" s="427">
        <v>21</v>
      </c>
      <c r="G82" s="412">
        <v>116.57485409335727</v>
      </c>
      <c r="H82" s="412">
        <v>3091.9998333333333</v>
      </c>
      <c r="J82" s="429">
        <f t="shared" si="12"/>
        <v>-40.437500000000007</v>
      </c>
      <c r="K82" s="429">
        <f t="shared" si="12"/>
        <v>7.9499999999999984</v>
      </c>
      <c r="L82" s="430">
        <f t="shared" si="12"/>
        <v>81.512500000000003</v>
      </c>
      <c r="M82" s="429">
        <f t="shared" si="12"/>
        <v>-12.558333333333334</v>
      </c>
      <c r="N82" s="429">
        <f t="shared" si="12"/>
        <v>16.76250000000001</v>
      </c>
      <c r="O82" s="429">
        <f t="shared" si="12"/>
        <v>88.164932701036122</v>
      </c>
      <c r="P82" s="435"/>
      <c r="Q82" s="435"/>
      <c r="R82" s="435"/>
      <c r="S82" s="435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6"/>
      <c r="BG82" s="436"/>
      <c r="BH82" s="436"/>
      <c r="BI82" s="436"/>
      <c r="BJ82" s="436"/>
      <c r="BK82" s="436"/>
      <c r="BL82" s="436"/>
    </row>
    <row r="83" spans="1:64">
      <c r="A83" s="424"/>
      <c r="P83" s="436"/>
      <c r="Q83" s="436"/>
      <c r="R83" s="436"/>
      <c r="S83" s="436"/>
      <c r="T83" s="436"/>
      <c r="U83" s="436"/>
      <c r="V83" s="436"/>
      <c r="W83" s="436"/>
      <c r="X83" s="436"/>
      <c r="Y83" s="436"/>
      <c r="Z83" s="436"/>
      <c r="AA83" s="436"/>
      <c r="AB83" s="436"/>
      <c r="AC83" s="436"/>
      <c r="AD83" s="436"/>
      <c r="AE83" s="436"/>
      <c r="AF83" s="436"/>
      <c r="AG83" s="436"/>
      <c r="AH83" s="436"/>
      <c r="AI83" s="436"/>
      <c r="AJ83" s="436"/>
      <c r="AK83" s="436"/>
      <c r="AL83" s="436"/>
      <c r="AM83" s="436"/>
      <c r="AN83" s="436"/>
      <c r="AO83" s="436"/>
      <c r="AP83" s="436"/>
      <c r="AQ83" s="436"/>
      <c r="AR83" s="436"/>
      <c r="AS83" s="436"/>
      <c r="AT83" s="436"/>
      <c r="AU83" s="436"/>
      <c r="AV83" s="436"/>
      <c r="AW83" s="436"/>
      <c r="AX83" s="436"/>
      <c r="AY83" s="436"/>
      <c r="AZ83" s="436"/>
      <c r="BA83" s="436"/>
      <c r="BB83" s="436"/>
      <c r="BC83" s="436"/>
      <c r="BD83" s="436"/>
      <c r="BE83" s="436"/>
      <c r="BF83" s="436"/>
      <c r="BG83" s="436"/>
      <c r="BH83" s="436"/>
      <c r="BI83" s="436"/>
      <c r="BJ83" s="436"/>
      <c r="BK83" s="436"/>
      <c r="BL83" s="436"/>
    </row>
    <row r="84" spans="1:64">
      <c r="A84" s="424"/>
    </row>
    <row r="85" spans="1:64">
      <c r="A85" s="424"/>
    </row>
    <row r="86" spans="1:64">
      <c r="A86" s="424"/>
    </row>
    <row r="87" spans="1:64">
      <c r="A87" s="424"/>
    </row>
    <row r="88" spans="1:64">
      <c r="A88" s="424"/>
    </row>
    <row r="89" spans="1:64">
      <c r="A89" s="424"/>
      <c r="B89" s="425"/>
      <c r="C89" s="425"/>
      <c r="D89" s="425"/>
      <c r="E89" s="425"/>
      <c r="F89" s="425"/>
    </row>
    <row r="90" spans="1:64">
      <c r="A90" s="424"/>
    </row>
    <row r="91" spans="1:64">
      <c r="A91" s="424"/>
    </row>
    <row r="92" spans="1:64">
      <c r="A92" s="424"/>
    </row>
    <row r="93" spans="1:64">
      <c r="A93" s="424"/>
    </row>
    <row r="94" spans="1:64">
      <c r="A94" s="424"/>
    </row>
    <row r="95" spans="1:64">
      <c r="A95" s="424"/>
    </row>
    <row r="96" spans="1:64">
      <c r="A96" s="424"/>
    </row>
    <row r="97" spans="1:1">
      <c r="A97" s="424"/>
    </row>
    <row r="98" spans="1:1">
      <c r="A98" s="424"/>
    </row>
    <row r="99" spans="1:1">
      <c r="A99" s="424"/>
    </row>
    <row r="100" spans="1:1">
      <c r="A100" s="424"/>
    </row>
    <row r="101" spans="1:1">
      <c r="A101" s="424"/>
    </row>
    <row r="102" spans="1:1">
      <c r="A102" s="424"/>
    </row>
    <row r="103" spans="1:1">
      <c r="A103" s="424"/>
    </row>
    <row r="104" spans="1:1">
      <c r="A104" s="424"/>
    </row>
    <row r="105" spans="1:1">
      <c r="A105" s="424"/>
    </row>
    <row r="106" spans="1:1">
      <c r="A106" s="424"/>
    </row>
    <row r="107" spans="1:1">
      <c r="A107" s="424"/>
    </row>
    <row r="108" spans="1:1">
      <c r="A108" s="424"/>
    </row>
    <row r="109" spans="1:1">
      <c r="A109" s="424"/>
    </row>
    <row r="110" spans="1:1">
      <c r="A110" s="424"/>
    </row>
    <row r="111" spans="1:1">
      <c r="A111" s="424"/>
    </row>
    <row r="112" spans="1:1">
      <c r="A112" s="424"/>
    </row>
    <row r="113" spans="1:1">
      <c r="A113" s="424"/>
    </row>
    <row r="114" spans="1:1">
      <c r="A114" s="424"/>
    </row>
    <row r="115" spans="1:1">
      <c r="A115" s="424"/>
    </row>
    <row r="116" spans="1:1">
      <c r="A116" s="424"/>
    </row>
    <row r="117" spans="1:1">
      <c r="A117" s="424"/>
    </row>
    <row r="118" spans="1:1">
      <c r="A118" s="424"/>
    </row>
    <row r="119" spans="1:1">
      <c r="A119" s="424"/>
    </row>
    <row r="120" spans="1:1">
      <c r="A120" s="424"/>
    </row>
    <row r="121" spans="1:1">
      <c r="A121" s="424"/>
    </row>
    <row r="122" spans="1:1">
      <c r="A122" s="424"/>
    </row>
    <row r="123" spans="1:1">
      <c r="A123" s="424"/>
    </row>
    <row r="124" spans="1:1">
      <c r="A124" s="424"/>
    </row>
    <row r="125" spans="1:1">
      <c r="A125" s="424"/>
    </row>
    <row r="126" spans="1:1">
      <c r="A126" s="424"/>
    </row>
    <row r="127" spans="1:1">
      <c r="A127" s="424"/>
    </row>
    <row r="128" spans="1:1">
      <c r="A128" s="424"/>
    </row>
    <row r="129" spans="1:1">
      <c r="A129" s="424"/>
    </row>
    <row r="130" spans="1:1">
      <c r="A130" s="424"/>
    </row>
    <row r="131" spans="1:1">
      <c r="A131" s="424"/>
    </row>
    <row r="132" spans="1:1">
      <c r="A132" s="424"/>
    </row>
    <row r="133" spans="1:1">
      <c r="A133" s="424"/>
    </row>
    <row r="134" spans="1:1">
      <c r="A134" s="424"/>
    </row>
    <row r="135" spans="1:1">
      <c r="A135" s="424"/>
    </row>
    <row r="136" spans="1:1">
      <c r="A136" s="424"/>
    </row>
    <row r="137" spans="1:1">
      <c r="A137" s="424"/>
    </row>
    <row r="138" spans="1:1">
      <c r="A138" s="424"/>
    </row>
    <row r="139" spans="1:1">
      <c r="A139" s="424"/>
    </row>
    <row r="140" spans="1:1">
      <c r="A140" s="424"/>
    </row>
    <row r="141" spans="1:1">
      <c r="A141" s="424"/>
    </row>
    <row r="142" spans="1:1">
      <c r="A142" s="424"/>
    </row>
    <row r="143" spans="1:1">
      <c r="A143" s="424"/>
    </row>
    <row r="144" spans="1:1">
      <c r="A144" s="424"/>
    </row>
    <row r="145" spans="1:1">
      <c r="A145" s="424"/>
    </row>
    <row r="146" spans="1:1">
      <c r="A146" s="424"/>
    </row>
    <row r="147" spans="1:1">
      <c r="A147" s="424"/>
    </row>
    <row r="148" spans="1:1">
      <c r="A148" s="424"/>
    </row>
    <row r="149" spans="1:1">
      <c r="A149" s="424"/>
    </row>
    <row r="150" spans="1:1">
      <c r="A150" s="424"/>
    </row>
    <row r="151" spans="1:1">
      <c r="A151" s="424"/>
    </row>
    <row r="152" spans="1:1">
      <c r="A152" s="424"/>
    </row>
    <row r="153" spans="1:1">
      <c r="A153" s="424"/>
    </row>
    <row r="154" spans="1:1">
      <c r="A154" s="424"/>
    </row>
    <row r="155" spans="1:1">
      <c r="A155" s="424"/>
    </row>
    <row r="156" spans="1:1">
      <c r="A156" s="424"/>
    </row>
    <row r="157" spans="1:1">
      <c r="A157" s="424"/>
    </row>
    <row r="158" spans="1:1">
      <c r="A158" s="424"/>
    </row>
    <row r="159" spans="1:1">
      <c r="A159" s="424"/>
    </row>
    <row r="160" spans="1:1">
      <c r="A160" s="424"/>
    </row>
    <row r="161" spans="1:1">
      <c r="A161" s="424"/>
    </row>
    <row r="162" spans="1:1">
      <c r="A162" s="424"/>
    </row>
    <row r="163" spans="1:1">
      <c r="A163" s="424"/>
    </row>
    <row r="164" spans="1:1">
      <c r="A164" s="424"/>
    </row>
    <row r="165" spans="1:1">
      <c r="A165" s="424"/>
    </row>
    <row r="166" spans="1:1">
      <c r="A166" s="424"/>
    </row>
    <row r="167" spans="1:1">
      <c r="A167" s="424"/>
    </row>
    <row r="168" spans="1:1">
      <c r="A168" s="424"/>
    </row>
    <row r="169" spans="1:1">
      <c r="A169" s="424"/>
    </row>
    <row r="170" spans="1:1">
      <c r="A170" s="424"/>
    </row>
    <row r="171" spans="1:1">
      <c r="A171" s="424"/>
    </row>
    <row r="172" spans="1:1">
      <c r="A172" s="424"/>
    </row>
    <row r="173" spans="1:1">
      <c r="A173" s="424"/>
    </row>
    <row r="174" spans="1:1">
      <c r="A174" s="424"/>
    </row>
    <row r="175" spans="1:1">
      <c r="A175" s="424"/>
    </row>
    <row r="176" spans="1:1">
      <c r="A176" s="424"/>
    </row>
    <row r="177" spans="1:1">
      <c r="A177" s="424"/>
    </row>
    <row r="178" spans="1:1">
      <c r="A178" s="424"/>
    </row>
    <row r="179" spans="1:1">
      <c r="A179" s="424"/>
    </row>
    <row r="180" spans="1:1">
      <c r="A180" s="424"/>
    </row>
    <row r="181" spans="1:1">
      <c r="A181" s="424"/>
    </row>
    <row r="182" spans="1:1">
      <c r="A182" s="424"/>
    </row>
    <row r="183" spans="1:1">
      <c r="A183" s="424"/>
    </row>
    <row r="184" spans="1:1">
      <c r="A184" s="424"/>
    </row>
    <row r="185" spans="1:1">
      <c r="A185" s="424"/>
    </row>
    <row r="186" spans="1:1">
      <c r="A186" s="424"/>
    </row>
    <row r="187" spans="1:1">
      <c r="A187" s="424"/>
    </row>
    <row r="188" spans="1:1">
      <c r="A188" s="424"/>
    </row>
    <row r="189" spans="1:1">
      <c r="A189" s="424"/>
    </row>
    <row r="190" spans="1:1">
      <c r="A190" s="424"/>
    </row>
    <row r="191" spans="1:1">
      <c r="A191" s="424"/>
    </row>
    <row r="192" spans="1:1">
      <c r="A192" s="424"/>
    </row>
    <row r="193" spans="1:1">
      <c r="A193" s="424"/>
    </row>
    <row r="194" spans="1:1">
      <c r="A194" s="424"/>
    </row>
    <row r="195" spans="1:1">
      <c r="A195" s="424"/>
    </row>
    <row r="196" spans="1:1">
      <c r="A196" s="424"/>
    </row>
    <row r="197" spans="1:1">
      <c r="A197" s="424"/>
    </row>
    <row r="198" spans="1:1">
      <c r="A198" s="424"/>
    </row>
    <row r="199" spans="1:1">
      <c r="A199" s="424"/>
    </row>
    <row r="200" spans="1:1">
      <c r="A200" s="424"/>
    </row>
    <row r="201" spans="1:1">
      <c r="A201" s="424"/>
    </row>
    <row r="202" spans="1:1">
      <c r="A202" s="424"/>
    </row>
    <row r="203" spans="1:1">
      <c r="A203" s="424"/>
    </row>
    <row r="204" spans="1:1">
      <c r="A204" s="424"/>
    </row>
    <row r="205" spans="1:1">
      <c r="A205" s="424"/>
    </row>
    <row r="206" spans="1:1">
      <c r="A206" s="424"/>
    </row>
    <row r="207" spans="1:1">
      <c r="A207" s="424"/>
    </row>
    <row r="208" spans="1:1">
      <c r="A208" s="424"/>
    </row>
    <row r="209" spans="1:1">
      <c r="A209" s="424"/>
    </row>
    <row r="210" spans="1:1">
      <c r="A210" s="424"/>
    </row>
    <row r="211" spans="1:1">
      <c r="A211" s="424"/>
    </row>
    <row r="212" spans="1:1">
      <c r="A212" s="424"/>
    </row>
    <row r="213" spans="1:1">
      <c r="A213" s="424"/>
    </row>
    <row r="214" spans="1:1">
      <c r="A214" s="424"/>
    </row>
    <row r="215" spans="1:1">
      <c r="A215" s="424"/>
    </row>
    <row r="216" spans="1:1">
      <c r="A216" s="424"/>
    </row>
    <row r="217" spans="1:1">
      <c r="A217" s="424"/>
    </row>
    <row r="218" spans="1:1">
      <c r="A218" s="424"/>
    </row>
    <row r="219" spans="1:1">
      <c r="A219" s="424"/>
    </row>
    <row r="220" spans="1:1">
      <c r="A220" s="424"/>
    </row>
    <row r="221" spans="1:1">
      <c r="A221" s="424"/>
    </row>
    <row r="222" spans="1:1">
      <c r="A222" s="424"/>
    </row>
    <row r="223" spans="1:1">
      <c r="A223" s="424"/>
    </row>
    <row r="224" spans="1:1">
      <c r="A224" s="424"/>
    </row>
    <row r="225" spans="1:1">
      <c r="A225" s="424"/>
    </row>
    <row r="226" spans="1:1">
      <c r="A226" s="424"/>
    </row>
    <row r="227" spans="1:1">
      <c r="A227" s="424"/>
    </row>
  </sheetData>
  <pageMargins left="0.7" right="0.7" top="0.75" bottom="0.75" header="0.3" footer="0.3"/>
  <pageSetup paperSize="9" scale="13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showGridLines="0" workbookViewId="0">
      <selection sqref="A1:I1"/>
    </sheetView>
  </sheetViews>
  <sheetFormatPr defaultRowHeight="15"/>
  <cols>
    <col min="1" max="8" width="9.140625" style="1448"/>
    <col min="9" max="9" width="17.28515625" style="1448" customWidth="1"/>
    <col min="10" max="238" width="9.140625" style="1448"/>
    <col min="239" max="239" width="14.85546875" style="1448" customWidth="1"/>
    <col min="240" max="244" width="9.140625" style="1448"/>
    <col min="245" max="245" width="29.28515625" style="1448" customWidth="1"/>
    <col min="246" max="494" width="9.140625" style="1448"/>
    <col min="495" max="495" width="14.85546875" style="1448" customWidth="1"/>
    <col min="496" max="500" width="9.140625" style="1448"/>
    <col min="501" max="501" width="29.28515625" style="1448" customWidth="1"/>
    <col min="502" max="750" width="9.140625" style="1448"/>
    <col min="751" max="751" width="14.85546875" style="1448" customWidth="1"/>
    <col min="752" max="756" width="9.140625" style="1448"/>
    <col min="757" max="757" width="29.28515625" style="1448" customWidth="1"/>
    <col min="758" max="1006" width="9.140625" style="1448"/>
    <col min="1007" max="1007" width="14.85546875" style="1448" customWidth="1"/>
    <col min="1008" max="1012" width="9.140625" style="1448"/>
    <col min="1013" max="1013" width="29.28515625" style="1448" customWidth="1"/>
    <col min="1014" max="1262" width="9.140625" style="1448"/>
    <col min="1263" max="1263" width="14.85546875" style="1448" customWidth="1"/>
    <col min="1264" max="1268" width="9.140625" style="1448"/>
    <col min="1269" max="1269" width="29.28515625" style="1448" customWidth="1"/>
    <col min="1270" max="1518" width="9.140625" style="1448"/>
    <col min="1519" max="1519" width="14.85546875" style="1448" customWidth="1"/>
    <col min="1520" max="1524" width="9.140625" style="1448"/>
    <col min="1525" max="1525" width="29.28515625" style="1448" customWidth="1"/>
    <col min="1526" max="1774" width="9.140625" style="1448"/>
    <col min="1775" max="1775" width="14.85546875" style="1448" customWidth="1"/>
    <col min="1776" max="1780" width="9.140625" style="1448"/>
    <col min="1781" max="1781" width="29.28515625" style="1448" customWidth="1"/>
    <col min="1782" max="2030" width="9.140625" style="1448"/>
    <col min="2031" max="2031" width="14.85546875" style="1448" customWidth="1"/>
    <col min="2032" max="2036" width="9.140625" style="1448"/>
    <col min="2037" max="2037" width="29.28515625" style="1448" customWidth="1"/>
    <col min="2038" max="2286" width="9.140625" style="1448"/>
    <col min="2287" max="2287" width="14.85546875" style="1448" customWidth="1"/>
    <col min="2288" max="2292" width="9.140625" style="1448"/>
    <col min="2293" max="2293" width="29.28515625" style="1448" customWidth="1"/>
    <col min="2294" max="2542" width="9.140625" style="1448"/>
    <col min="2543" max="2543" width="14.85546875" style="1448" customWidth="1"/>
    <col min="2544" max="2548" width="9.140625" style="1448"/>
    <col min="2549" max="2549" width="29.28515625" style="1448" customWidth="1"/>
    <col min="2550" max="2798" width="9.140625" style="1448"/>
    <col min="2799" max="2799" width="14.85546875" style="1448" customWidth="1"/>
    <col min="2800" max="2804" width="9.140625" style="1448"/>
    <col min="2805" max="2805" width="29.28515625" style="1448" customWidth="1"/>
    <col min="2806" max="3054" width="9.140625" style="1448"/>
    <col min="3055" max="3055" width="14.85546875" style="1448" customWidth="1"/>
    <col min="3056" max="3060" width="9.140625" style="1448"/>
    <col min="3061" max="3061" width="29.28515625" style="1448" customWidth="1"/>
    <col min="3062" max="3310" width="9.140625" style="1448"/>
    <col min="3311" max="3311" width="14.85546875" style="1448" customWidth="1"/>
    <col min="3312" max="3316" width="9.140625" style="1448"/>
    <col min="3317" max="3317" width="29.28515625" style="1448" customWidth="1"/>
    <col min="3318" max="3566" width="9.140625" style="1448"/>
    <col min="3567" max="3567" width="14.85546875" style="1448" customWidth="1"/>
    <col min="3568" max="3572" width="9.140625" style="1448"/>
    <col min="3573" max="3573" width="29.28515625" style="1448" customWidth="1"/>
    <col min="3574" max="3822" width="9.140625" style="1448"/>
    <col min="3823" max="3823" width="14.85546875" style="1448" customWidth="1"/>
    <col min="3824" max="3828" width="9.140625" style="1448"/>
    <col min="3829" max="3829" width="29.28515625" style="1448" customWidth="1"/>
    <col min="3830" max="4078" width="9.140625" style="1448"/>
    <col min="4079" max="4079" width="14.85546875" style="1448" customWidth="1"/>
    <col min="4080" max="4084" width="9.140625" style="1448"/>
    <col min="4085" max="4085" width="29.28515625" style="1448" customWidth="1"/>
    <col min="4086" max="4334" width="9.140625" style="1448"/>
    <col min="4335" max="4335" width="14.85546875" style="1448" customWidth="1"/>
    <col min="4336" max="4340" width="9.140625" style="1448"/>
    <col min="4341" max="4341" width="29.28515625" style="1448" customWidth="1"/>
    <col min="4342" max="4590" width="9.140625" style="1448"/>
    <col min="4591" max="4591" width="14.85546875" style="1448" customWidth="1"/>
    <col min="4592" max="4596" width="9.140625" style="1448"/>
    <col min="4597" max="4597" width="29.28515625" style="1448" customWidth="1"/>
    <col min="4598" max="4846" width="9.140625" style="1448"/>
    <col min="4847" max="4847" width="14.85546875" style="1448" customWidth="1"/>
    <col min="4848" max="4852" width="9.140625" style="1448"/>
    <col min="4853" max="4853" width="29.28515625" style="1448" customWidth="1"/>
    <col min="4854" max="5102" width="9.140625" style="1448"/>
    <col min="5103" max="5103" width="14.85546875" style="1448" customWidth="1"/>
    <col min="5104" max="5108" width="9.140625" style="1448"/>
    <col min="5109" max="5109" width="29.28515625" style="1448" customWidth="1"/>
    <col min="5110" max="5358" width="9.140625" style="1448"/>
    <col min="5359" max="5359" width="14.85546875" style="1448" customWidth="1"/>
    <col min="5360" max="5364" width="9.140625" style="1448"/>
    <col min="5365" max="5365" width="29.28515625" style="1448" customWidth="1"/>
    <col min="5366" max="5614" width="9.140625" style="1448"/>
    <col min="5615" max="5615" width="14.85546875" style="1448" customWidth="1"/>
    <col min="5616" max="5620" width="9.140625" style="1448"/>
    <col min="5621" max="5621" width="29.28515625" style="1448" customWidth="1"/>
    <col min="5622" max="5870" width="9.140625" style="1448"/>
    <col min="5871" max="5871" width="14.85546875" style="1448" customWidth="1"/>
    <col min="5872" max="5876" width="9.140625" style="1448"/>
    <col min="5877" max="5877" width="29.28515625" style="1448" customWidth="1"/>
    <col min="5878" max="6126" width="9.140625" style="1448"/>
    <col min="6127" max="6127" width="14.85546875" style="1448" customWidth="1"/>
    <col min="6128" max="6132" width="9.140625" style="1448"/>
    <col min="6133" max="6133" width="29.28515625" style="1448" customWidth="1"/>
    <col min="6134" max="6382" width="9.140625" style="1448"/>
    <col min="6383" max="6383" width="14.85546875" style="1448" customWidth="1"/>
    <col min="6384" max="6388" width="9.140625" style="1448"/>
    <col min="6389" max="6389" width="29.28515625" style="1448" customWidth="1"/>
    <col min="6390" max="6638" width="9.140625" style="1448"/>
    <col min="6639" max="6639" width="14.85546875" style="1448" customWidth="1"/>
    <col min="6640" max="6644" width="9.140625" style="1448"/>
    <col min="6645" max="6645" width="29.28515625" style="1448" customWidth="1"/>
    <col min="6646" max="6894" width="9.140625" style="1448"/>
    <col min="6895" max="6895" width="14.85546875" style="1448" customWidth="1"/>
    <col min="6896" max="6900" width="9.140625" style="1448"/>
    <col min="6901" max="6901" width="29.28515625" style="1448" customWidth="1"/>
    <col min="6902" max="7150" width="9.140625" style="1448"/>
    <col min="7151" max="7151" width="14.85546875" style="1448" customWidth="1"/>
    <col min="7152" max="7156" width="9.140625" style="1448"/>
    <col min="7157" max="7157" width="29.28515625" style="1448" customWidth="1"/>
    <col min="7158" max="7406" width="9.140625" style="1448"/>
    <col min="7407" max="7407" width="14.85546875" style="1448" customWidth="1"/>
    <col min="7408" max="7412" width="9.140625" style="1448"/>
    <col min="7413" max="7413" width="29.28515625" style="1448" customWidth="1"/>
    <col min="7414" max="7662" width="9.140625" style="1448"/>
    <col min="7663" max="7663" width="14.85546875" style="1448" customWidth="1"/>
    <col min="7664" max="7668" width="9.140625" style="1448"/>
    <col min="7669" max="7669" width="29.28515625" style="1448" customWidth="1"/>
    <col min="7670" max="7918" width="9.140625" style="1448"/>
    <col min="7919" max="7919" width="14.85546875" style="1448" customWidth="1"/>
    <col min="7920" max="7924" width="9.140625" style="1448"/>
    <col min="7925" max="7925" width="29.28515625" style="1448" customWidth="1"/>
    <col min="7926" max="8174" width="9.140625" style="1448"/>
    <col min="8175" max="8175" width="14.85546875" style="1448" customWidth="1"/>
    <col min="8176" max="8180" width="9.140625" style="1448"/>
    <col min="8181" max="8181" width="29.28515625" style="1448" customWidth="1"/>
    <col min="8182" max="8430" width="9.140625" style="1448"/>
    <col min="8431" max="8431" width="14.85546875" style="1448" customWidth="1"/>
    <col min="8432" max="8436" width="9.140625" style="1448"/>
    <col min="8437" max="8437" width="29.28515625" style="1448" customWidth="1"/>
    <col min="8438" max="8686" width="9.140625" style="1448"/>
    <col min="8687" max="8687" width="14.85546875" style="1448" customWidth="1"/>
    <col min="8688" max="8692" width="9.140625" style="1448"/>
    <col min="8693" max="8693" width="29.28515625" style="1448" customWidth="1"/>
    <col min="8694" max="8942" width="9.140625" style="1448"/>
    <col min="8943" max="8943" width="14.85546875" style="1448" customWidth="1"/>
    <col min="8944" max="8948" width="9.140625" style="1448"/>
    <col min="8949" max="8949" width="29.28515625" style="1448" customWidth="1"/>
    <col min="8950" max="9198" width="9.140625" style="1448"/>
    <col min="9199" max="9199" width="14.85546875" style="1448" customWidth="1"/>
    <col min="9200" max="9204" width="9.140625" style="1448"/>
    <col min="9205" max="9205" width="29.28515625" style="1448" customWidth="1"/>
    <col min="9206" max="9454" width="9.140625" style="1448"/>
    <col min="9455" max="9455" width="14.85546875" style="1448" customWidth="1"/>
    <col min="9456" max="9460" width="9.140625" style="1448"/>
    <col min="9461" max="9461" width="29.28515625" style="1448" customWidth="1"/>
    <col min="9462" max="9710" width="9.140625" style="1448"/>
    <col min="9711" max="9711" width="14.85546875" style="1448" customWidth="1"/>
    <col min="9712" max="9716" width="9.140625" style="1448"/>
    <col min="9717" max="9717" width="29.28515625" style="1448" customWidth="1"/>
    <col min="9718" max="9966" width="9.140625" style="1448"/>
    <col min="9967" max="9967" width="14.85546875" style="1448" customWidth="1"/>
    <col min="9968" max="9972" width="9.140625" style="1448"/>
    <col min="9973" max="9973" width="29.28515625" style="1448" customWidth="1"/>
    <col min="9974" max="10222" width="9.140625" style="1448"/>
    <col min="10223" max="10223" width="14.85546875" style="1448" customWidth="1"/>
    <col min="10224" max="10228" width="9.140625" style="1448"/>
    <col min="10229" max="10229" width="29.28515625" style="1448" customWidth="1"/>
    <col min="10230" max="10478" width="9.140625" style="1448"/>
    <col min="10479" max="10479" width="14.85546875" style="1448" customWidth="1"/>
    <col min="10480" max="10484" width="9.140625" style="1448"/>
    <col min="10485" max="10485" width="29.28515625" style="1448" customWidth="1"/>
    <col min="10486" max="10734" width="9.140625" style="1448"/>
    <col min="10735" max="10735" width="14.85546875" style="1448" customWidth="1"/>
    <col min="10736" max="10740" width="9.140625" style="1448"/>
    <col min="10741" max="10741" width="29.28515625" style="1448" customWidth="1"/>
    <col min="10742" max="10990" width="9.140625" style="1448"/>
    <col min="10991" max="10991" width="14.85546875" style="1448" customWidth="1"/>
    <col min="10992" max="10996" width="9.140625" style="1448"/>
    <col min="10997" max="10997" width="29.28515625" style="1448" customWidth="1"/>
    <col min="10998" max="11246" width="9.140625" style="1448"/>
    <col min="11247" max="11247" width="14.85546875" style="1448" customWidth="1"/>
    <col min="11248" max="11252" width="9.140625" style="1448"/>
    <col min="11253" max="11253" width="29.28515625" style="1448" customWidth="1"/>
    <col min="11254" max="11502" width="9.140625" style="1448"/>
    <col min="11503" max="11503" width="14.85546875" style="1448" customWidth="1"/>
    <col min="11504" max="11508" width="9.140625" style="1448"/>
    <col min="11509" max="11509" width="29.28515625" style="1448" customWidth="1"/>
    <col min="11510" max="11758" width="9.140625" style="1448"/>
    <col min="11759" max="11759" width="14.85546875" style="1448" customWidth="1"/>
    <col min="11760" max="11764" width="9.140625" style="1448"/>
    <col min="11765" max="11765" width="29.28515625" style="1448" customWidth="1"/>
    <col min="11766" max="12014" width="9.140625" style="1448"/>
    <col min="12015" max="12015" width="14.85546875" style="1448" customWidth="1"/>
    <col min="12016" max="12020" width="9.140625" style="1448"/>
    <col min="12021" max="12021" width="29.28515625" style="1448" customWidth="1"/>
    <col min="12022" max="12270" width="9.140625" style="1448"/>
    <col min="12271" max="12271" width="14.85546875" style="1448" customWidth="1"/>
    <col min="12272" max="12276" width="9.140625" style="1448"/>
    <col min="12277" max="12277" width="29.28515625" style="1448" customWidth="1"/>
    <col min="12278" max="12526" width="9.140625" style="1448"/>
    <col min="12527" max="12527" width="14.85546875" style="1448" customWidth="1"/>
    <col min="12528" max="12532" width="9.140625" style="1448"/>
    <col min="12533" max="12533" width="29.28515625" style="1448" customWidth="1"/>
    <col min="12534" max="12782" width="9.140625" style="1448"/>
    <col min="12783" max="12783" width="14.85546875" style="1448" customWidth="1"/>
    <col min="12784" max="12788" width="9.140625" style="1448"/>
    <col min="12789" max="12789" width="29.28515625" style="1448" customWidth="1"/>
    <col min="12790" max="13038" width="9.140625" style="1448"/>
    <col min="13039" max="13039" width="14.85546875" style="1448" customWidth="1"/>
    <col min="13040" max="13044" width="9.140625" style="1448"/>
    <col min="13045" max="13045" width="29.28515625" style="1448" customWidth="1"/>
    <col min="13046" max="13294" width="9.140625" style="1448"/>
    <col min="13295" max="13295" width="14.85546875" style="1448" customWidth="1"/>
    <col min="13296" max="13300" width="9.140625" style="1448"/>
    <col min="13301" max="13301" width="29.28515625" style="1448" customWidth="1"/>
    <col min="13302" max="13550" width="9.140625" style="1448"/>
    <col min="13551" max="13551" width="14.85546875" style="1448" customWidth="1"/>
    <col min="13552" max="13556" width="9.140625" style="1448"/>
    <col min="13557" max="13557" width="29.28515625" style="1448" customWidth="1"/>
    <col min="13558" max="13806" width="9.140625" style="1448"/>
    <col min="13807" max="13807" width="14.85546875" style="1448" customWidth="1"/>
    <col min="13808" max="13812" width="9.140625" style="1448"/>
    <col min="13813" max="13813" width="29.28515625" style="1448" customWidth="1"/>
    <col min="13814" max="14062" width="9.140625" style="1448"/>
    <col min="14063" max="14063" width="14.85546875" style="1448" customWidth="1"/>
    <col min="14064" max="14068" width="9.140625" style="1448"/>
    <col min="14069" max="14069" width="29.28515625" style="1448" customWidth="1"/>
    <col min="14070" max="14318" width="9.140625" style="1448"/>
    <col min="14319" max="14319" width="14.85546875" style="1448" customWidth="1"/>
    <col min="14320" max="14324" width="9.140625" style="1448"/>
    <col min="14325" max="14325" width="29.28515625" style="1448" customWidth="1"/>
    <col min="14326" max="14574" width="9.140625" style="1448"/>
    <col min="14575" max="14575" width="14.85546875" style="1448" customWidth="1"/>
    <col min="14576" max="14580" width="9.140625" style="1448"/>
    <col min="14581" max="14581" width="29.28515625" style="1448" customWidth="1"/>
    <col min="14582" max="14830" width="9.140625" style="1448"/>
    <col min="14831" max="14831" width="14.85546875" style="1448" customWidth="1"/>
    <col min="14832" max="14836" width="9.140625" style="1448"/>
    <col min="14837" max="14837" width="29.28515625" style="1448" customWidth="1"/>
    <col min="14838" max="15086" width="9.140625" style="1448"/>
    <col min="15087" max="15087" width="14.85546875" style="1448" customWidth="1"/>
    <col min="15088" max="15092" width="9.140625" style="1448"/>
    <col min="15093" max="15093" width="29.28515625" style="1448" customWidth="1"/>
    <col min="15094" max="15342" width="9.140625" style="1448"/>
    <col min="15343" max="15343" width="14.85546875" style="1448" customWidth="1"/>
    <col min="15344" max="15348" width="9.140625" style="1448"/>
    <col min="15349" max="15349" width="29.28515625" style="1448" customWidth="1"/>
    <col min="15350" max="15598" width="9.140625" style="1448"/>
    <col min="15599" max="15599" width="14.85546875" style="1448" customWidth="1"/>
    <col min="15600" max="15604" width="9.140625" style="1448"/>
    <col min="15605" max="15605" width="29.28515625" style="1448" customWidth="1"/>
    <col min="15606" max="15854" width="9.140625" style="1448"/>
    <col min="15855" max="15855" width="14.85546875" style="1448" customWidth="1"/>
    <col min="15856" max="15860" width="9.140625" style="1448"/>
    <col min="15861" max="15861" width="29.28515625" style="1448" customWidth="1"/>
    <col min="15862" max="16110" width="9.140625" style="1448"/>
    <col min="16111" max="16111" width="14.85546875" style="1448" customWidth="1"/>
    <col min="16112" max="16116" width="9.140625" style="1448"/>
    <col min="16117" max="16117" width="29.28515625" style="1448" customWidth="1"/>
    <col min="16118" max="16384" width="9.140625" style="1448"/>
  </cols>
  <sheetData>
    <row r="1" spans="1:10">
      <c r="A1" s="1576" t="s">
        <v>1269</v>
      </c>
      <c r="B1" s="1576"/>
      <c r="C1" s="1576"/>
      <c r="D1" s="1576"/>
      <c r="E1" s="1576"/>
      <c r="F1" s="1576"/>
      <c r="G1" s="1576"/>
      <c r="H1" s="1576"/>
      <c r="I1" s="1576"/>
    </row>
    <row r="2" spans="1:10">
      <c r="A2" s="1415"/>
      <c r="B2" s="1449" t="s">
        <v>1253</v>
      </c>
      <c r="C2" s="1449" t="s">
        <v>1254</v>
      </c>
      <c r="D2" s="1449" t="s">
        <v>1255</v>
      </c>
      <c r="E2" s="1449" t="s">
        <v>1256</v>
      </c>
      <c r="F2" s="1449" t="s">
        <v>1259</v>
      </c>
      <c r="G2" s="1449" t="s">
        <v>1260</v>
      </c>
      <c r="H2" s="1449" t="s">
        <v>1261</v>
      </c>
      <c r="I2" s="1450" t="s">
        <v>135</v>
      </c>
    </row>
    <row r="3" spans="1:10">
      <c r="A3" s="1451">
        <v>2016</v>
      </c>
      <c r="B3" s="1459">
        <v>-2.1911520941153596E-2</v>
      </c>
      <c r="C3" s="1459"/>
      <c r="D3" s="1459"/>
      <c r="E3" s="1459"/>
      <c r="F3" s="1459"/>
      <c r="G3" s="1459"/>
      <c r="H3" s="1459"/>
      <c r="I3" s="1459">
        <v>-2.1911520941153596E-2</v>
      </c>
      <c r="J3" s="1453"/>
    </row>
    <row r="4" spans="1:10">
      <c r="A4" s="1451">
        <v>2017</v>
      </c>
      <c r="B4" s="1459">
        <v>-1.817820810419116E-2</v>
      </c>
      <c r="C4" s="1459">
        <v>6.5462690513154106E-4</v>
      </c>
      <c r="D4" s="1459">
        <v>4.746252399807499E-4</v>
      </c>
      <c r="E4" s="1459">
        <v>7.894169279313544E-4</v>
      </c>
      <c r="F4" s="1459">
        <v>3.520831127688806E-4</v>
      </c>
      <c r="G4" s="1459">
        <v>4.0743785175377176E-4</v>
      </c>
      <c r="H4" s="1459">
        <v>4.7166284906017229E-4</v>
      </c>
      <c r="I4" s="1459">
        <v>-1.6259539031147515E-2</v>
      </c>
    </row>
    <row r="5" spans="1:10">
      <c r="A5" s="1451">
        <v>2018</v>
      </c>
      <c r="B5" s="1459">
        <v>-1.4551706248257973E-2</v>
      </c>
      <c r="C5" s="1459">
        <v>2.1314809477979077E-3</v>
      </c>
      <c r="D5" s="1459">
        <v>1.5463611914325395E-3</v>
      </c>
      <c r="E5" s="1459">
        <v>2.5738671327360432E-3</v>
      </c>
      <c r="F5" s="1459">
        <v>1.2283941364540259E-3</v>
      </c>
      <c r="G5" s="1459">
        <v>1.3458250097835899E-3</v>
      </c>
      <c r="H5" s="1459">
        <v>1.5812525497580004E-3</v>
      </c>
      <c r="I5" s="1459">
        <v>-8.2999969762914821E-3</v>
      </c>
    </row>
    <row r="6" spans="1:10">
      <c r="A6" s="1451">
        <v>2019</v>
      </c>
      <c r="B6" s="1459">
        <v>-1.9522921078779235E-2</v>
      </c>
      <c r="C6" s="1459">
        <v>5.5123419646329521E-3</v>
      </c>
      <c r="D6" s="1459">
        <v>4.0222513936730778E-3</v>
      </c>
      <c r="E6" s="1459">
        <v>6.7399109835591898E-3</v>
      </c>
      <c r="F6" s="1459">
        <v>3.2984297464018712E-3</v>
      </c>
      <c r="G6" s="1459">
        <v>3.5927780460989272E-3</v>
      </c>
      <c r="H6" s="1459">
        <v>4.2763887611055769E-3</v>
      </c>
      <c r="I6" s="1459">
        <v>-3.2484167369140155E-3</v>
      </c>
    </row>
    <row r="7" spans="1:10">
      <c r="A7" s="1454">
        <v>2020</v>
      </c>
      <c r="B7" s="1460">
        <v>-3.3373363507376769E-2</v>
      </c>
      <c r="C7" s="1460">
        <v>1.0417549395591766E-2</v>
      </c>
      <c r="D7" s="1460">
        <v>7.5814169302978584E-3</v>
      </c>
      <c r="E7" s="1460">
        <v>1.2671346475653215E-2</v>
      </c>
      <c r="F7" s="1460">
        <v>6.227595070706202E-3</v>
      </c>
      <c r="G7" s="1460">
        <v>6.7687809133619853E-3</v>
      </c>
      <c r="H7" s="1460">
        <v>8.0850050455633163E-3</v>
      </c>
      <c r="I7" s="1460">
        <v>-2.7030507058339297E-3</v>
      </c>
    </row>
    <row r="8" spans="1:10">
      <c r="I8" s="1414" t="s">
        <v>3</v>
      </c>
    </row>
  </sheetData>
  <mergeCells count="1">
    <mergeCell ref="A1:I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showGridLines="0" workbookViewId="0">
      <selection sqref="A1:I1"/>
    </sheetView>
  </sheetViews>
  <sheetFormatPr defaultRowHeight="15"/>
  <cols>
    <col min="1" max="8" width="9.140625" style="1448"/>
    <col min="9" max="9" width="17.28515625" style="1448" customWidth="1"/>
    <col min="10" max="238" width="9.140625" style="1448"/>
    <col min="239" max="239" width="14.85546875" style="1448" customWidth="1"/>
    <col min="240" max="244" width="9.140625" style="1448"/>
    <col min="245" max="245" width="29.28515625" style="1448" customWidth="1"/>
    <col min="246" max="494" width="9.140625" style="1448"/>
    <col min="495" max="495" width="14.85546875" style="1448" customWidth="1"/>
    <col min="496" max="500" width="9.140625" style="1448"/>
    <col min="501" max="501" width="29.28515625" style="1448" customWidth="1"/>
    <col min="502" max="750" width="9.140625" style="1448"/>
    <col min="751" max="751" width="14.85546875" style="1448" customWidth="1"/>
    <col min="752" max="756" width="9.140625" style="1448"/>
    <col min="757" max="757" width="29.28515625" style="1448" customWidth="1"/>
    <col min="758" max="1006" width="9.140625" style="1448"/>
    <col min="1007" max="1007" width="14.85546875" style="1448" customWidth="1"/>
    <col min="1008" max="1012" width="9.140625" style="1448"/>
    <col min="1013" max="1013" width="29.28515625" style="1448" customWidth="1"/>
    <col min="1014" max="1262" width="9.140625" style="1448"/>
    <col min="1263" max="1263" width="14.85546875" style="1448" customWidth="1"/>
    <col min="1264" max="1268" width="9.140625" style="1448"/>
    <col min="1269" max="1269" width="29.28515625" style="1448" customWidth="1"/>
    <col min="1270" max="1518" width="9.140625" style="1448"/>
    <col min="1519" max="1519" width="14.85546875" style="1448" customWidth="1"/>
    <col min="1520" max="1524" width="9.140625" style="1448"/>
    <col min="1525" max="1525" width="29.28515625" style="1448" customWidth="1"/>
    <col min="1526" max="1774" width="9.140625" style="1448"/>
    <col min="1775" max="1775" width="14.85546875" style="1448" customWidth="1"/>
    <col min="1776" max="1780" width="9.140625" style="1448"/>
    <col min="1781" max="1781" width="29.28515625" style="1448" customWidth="1"/>
    <col min="1782" max="2030" width="9.140625" style="1448"/>
    <col min="2031" max="2031" width="14.85546875" style="1448" customWidth="1"/>
    <col min="2032" max="2036" width="9.140625" style="1448"/>
    <col min="2037" max="2037" width="29.28515625" style="1448" customWidth="1"/>
    <col min="2038" max="2286" width="9.140625" style="1448"/>
    <col min="2287" max="2287" width="14.85546875" style="1448" customWidth="1"/>
    <col min="2288" max="2292" width="9.140625" style="1448"/>
    <col min="2293" max="2293" width="29.28515625" style="1448" customWidth="1"/>
    <col min="2294" max="2542" width="9.140625" style="1448"/>
    <col min="2543" max="2543" width="14.85546875" style="1448" customWidth="1"/>
    <col min="2544" max="2548" width="9.140625" style="1448"/>
    <col min="2549" max="2549" width="29.28515625" style="1448" customWidth="1"/>
    <col min="2550" max="2798" width="9.140625" style="1448"/>
    <col min="2799" max="2799" width="14.85546875" style="1448" customWidth="1"/>
    <col min="2800" max="2804" width="9.140625" style="1448"/>
    <col min="2805" max="2805" width="29.28515625" style="1448" customWidth="1"/>
    <col min="2806" max="3054" width="9.140625" style="1448"/>
    <col min="3055" max="3055" width="14.85546875" style="1448" customWidth="1"/>
    <col min="3056" max="3060" width="9.140625" style="1448"/>
    <col min="3061" max="3061" width="29.28515625" style="1448" customWidth="1"/>
    <col min="3062" max="3310" width="9.140625" style="1448"/>
    <col min="3311" max="3311" width="14.85546875" style="1448" customWidth="1"/>
    <col min="3312" max="3316" width="9.140625" style="1448"/>
    <col min="3317" max="3317" width="29.28515625" style="1448" customWidth="1"/>
    <col min="3318" max="3566" width="9.140625" style="1448"/>
    <col min="3567" max="3567" width="14.85546875" style="1448" customWidth="1"/>
    <col min="3568" max="3572" width="9.140625" style="1448"/>
    <col min="3573" max="3573" width="29.28515625" style="1448" customWidth="1"/>
    <col min="3574" max="3822" width="9.140625" style="1448"/>
    <col min="3823" max="3823" width="14.85546875" style="1448" customWidth="1"/>
    <col min="3824" max="3828" width="9.140625" style="1448"/>
    <col min="3829" max="3829" width="29.28515625" style="1448" customWidth="1"/>
    <col min="3830" max="4078" width="9.140625" style="1448"/>
    <col min="4079" max="4079" width="14.85546875" style="1448" customWidth="1"/>
    <col min="4080" max="4084" width="9.140625" style="1448"/>
    <col min="4085" max="4085" width="29.28515625" style="1448" customWidth="1"/>
    <col min="4086" max="4334" width="9.140625" style="1448"/>
    <col min="4335" max="4335" width="14.85546875" style="1448" customWidth="1"/>
    <col min="4336" max="4340" width="9.140625" style="1448"/>
    <col min="4341" max="4341" width="29.28515625" style="1448" customWidth="1"/>
    <col min="4342" max="4590" width="9.140625" style="1448"/>
    <col min="4591" max="4591" width="14.85546875" style="1448" customWidth="1"/>
    <col min="4592" max="4596" width="9.140625" style="1448"/>
    <col min="4597" max="4597" width="29.28515625" style="1448" customWidth="1"/>
    <col min="4598" max="4846" width="9.140625" style="1448"/>
    <col min="4847" max="4847" width="14.85546875" style="1448" customWidth="1"/>
    <col min="4848" max="4852" width="9.140625" style="1448"/>
    <col min="4853" max="4853" width="29.28515625" style="1448" customWidth="1"/>
    <col min="4854" max="5102" width="9.140625" style="1448"/>
    <col min="5103" max="5103" width="14.85546875" style="1448" customWidth="1"/>
    <col min="5104" max="5108" width="9.140625" style="1448"/>
    <col min="5109" max="5109" width="29.28515625" style="1448" customWidth="1"/>
    <col min="5110" max="5358" width="9.140625" style="1448"/>
    <col min="5359" max="5359" width="14.85546875" style="1448" customWidth="1"/>
    <col min="5360" max="5364" width="9.140625" style="1448"/>
    <col min="5365" max="5365" width="29.28515625" style="1448" customWidth="1"/>
    <col min="5366" max="5614" width="9.140625" style="1448"/>
    <col min="5615" max="5615" width="14.85546875" style="1448" customWidth="1"/>
    <col min="5616" max="5620" width="9.140625" style="1448"/>
    <col min="5621" max="5621" width="29.28515625" style="1448" customWidth="1"/>
    <col min="5622" max="5870" width="9.140625" style="1448"/>
    <col min="5871" max="5871" width="14.85546875" style="1448" customWidth="1"/>
    <col min="5872" max="5876" width="9.140625" style="1448"/>
    <col min="5877" max="5877" width="29.28515625" style="1448" customWidth="1"/>
    <col min="5878" max="6126" width="9.140625" style="1448"/>
    <col min="6127" max="6127" width="14.85546875" style="1448" customWidth="1"/>
    <col min="6128" max="6132" width="9.140625" style="1448"/>
    <col min="6133" max="6133" width="29.28515625" style="1448" customWidth="1"/>
    <col min="6134" max="6382" width="9.140625" style="1448"/>
    <col min="6383" max="6383" width="14.85546875" style="1448" customWidth="1"/>
    <col min="6384" max="6388" width="9.140625" style="1448"/>
    <col min="6389" max="6389" width="29.28515625" style="1448" customWidth="1"/>
    <col min="6390" max="6638" width="9.140625" style="1448"/>
    <col min="6639" max="6639" width="14.85546875" style="1448" customWidth="1"/>
    <col min="6640" max="6644" width="9.140625" style="1448"/>
    <col min="6645" max="6645" width="29.28515625" style="1448" customWidth="1"/>
    <col min="6646" max="6894" width="9.140625" style="1448"/>
    <col min="6895" max="6895" width="14.85546875" style="1448" customWidth="1"/>
    <col min="6896" max="6900" width="9.140625" style="1448"/>
    <col min="6901" max="6901" width="29.28515625" style="1448" customWidth="1"/>
    <col min="6902" max="7150" width="9.140625" style="1448"/>
    <col min="7151" max="7151" width="14.85546875" style="1448" customWidth="1"/>
    <col min="7152" max="7156" width="9.140625" style="1448"/>
    <col min="7157" max="7157" width="29.28515625" style="1448" customWidth="1"/>
    <col min="7158" max="7406" width="9.140625" style="1448"/>
    <col min="7407" max="7407" width="14.85546875" style="1448" customWidth="1"/>
    <col min="7408" max="7412" width="9.140625" style="1448"/>
    <col min="7413" max="7413" width="29.28515625" style="1448" customWidth="1"/>
    <col min="7414" max="7662" width="9.140625" style="1448"/>
    <col min="7663" max="7663" width="14.85546875" style="1448" customWidth="1"/>
    <col min="7664" max="7668" width="9.140625" style="1448"/>
    <col min="7669" max="7669" width="29.28515625" style="1448" customWidth="1"/>
    <col min="7670" max="7918" width="9.140625" style="1448"/>
    <col min="7919" max="7919" width="14.85546875" style="1448" customWidth="1"/>
    <col min="7920" max="7924" width="9.140625" style="1448"/>
    <col min="7925" max="7925" width="29.28515625" style="1448" customWidth="1"/>
    <col min="7926" max="8174" width="9.140625" style="1448"/>
    <col min="8175" max="8175" width="14.85546875" style="1448" customWidth="1"/>
    <col min="8176" max="8180" width="9.140625" style="1448"/>
    <col min="8181" max="8181" width="29.28515625" style="1448" customWidth="1"/>
    <col min="8182" max="8430" width="9.140625" style="1448"/>
    <col min="8431" max="8431" width="14.85546875" style="1448" customWidth="1"/>
    <col min="8432" max="8436" width="9.140625" style="1448"/>
    <col min="8437" max="8437" width="29.28515625" style="1448" customWidth="1"/>
    <col min="8438" max="8686" width="9.140625" style="1448"/>
    <col min="8687" max="8687" width="14.85546875" style="1448" customWidth="1"/>
    <col min="8688" max="8692" width="9.140625" style="1448"/>
    <col min="8693" max="8693" width="29.28515625" style="1448" customWidth="1"/>
    <col min="8694" max="8942" width="9.140625" style="1448"/>
    <col min="8943" max="8943" width="14.85546875" style="1448" customWidth="1"/>
    <col min="8944" max="8948" width="9.140625" style="1448"/>
    <col min="8949" max="8949" width="29.28515625" style="1448" customWidth="1"/>
    <col min="8950" max="9198" width="9.140625" style="1448"/>
    <col min="9199" max="9199" width="14.85546875" style="1448" customWidth="1"/>
    <col min="9200" max="9204" width="9.140625" style="1448"/>
    <col min="9205" max="9205" width="29.28515625" style="1448" customWidth="1"/>
    <col min="9206" max="9454" width="9.140625" style="1448"/>
    <col min="9455" max="9455" width="14.85546875" style="1448" customWidth="1"/>
    <col min="9456" max="9460" width="9.140625" style="1448"/>
    <col min="9461" max="9461" width="29.28515625" style="1448" customWidth="1"/>
    <col min="9462" max="9710" width="9.140625" style="1448"/>
    <col min="9711" max="9711" width="14.85546875" style="1448" customWidth="1"/>
    <col min="9712" max="9716" width="9.140625" style="1448"/>
    <col min="9717" max="9717" width="29.28515625" style="1448" customWidth="1"/>
    <col min="9718" max="9966" width="9.140625" style="1448"/>
    <col min="9967" max="9967" width="14.85546875" style="1448" customWidth="1"/>
    <col min="9968" max="9972" width="9.140625" style="1448"/>
    <col min="9973" max="9973" width="29.28515625" style="1448" customWidth="1"/>
    <col min="9974" max="10222" width="9.140625" style="1448"/>
    <col min="10223" max="10223" width="14.85546875" style="1448" customWidth="1"/>
    <col min="10224" max="10228" width="9.140625" style="1448"/>
    <col min="10229" max="10229" width="29.28515625" style="1448" customWidth="1"/>
    <col min="10230" max="10478" width="9.140625" style="1448"/>
    <col min="10479" max="10479" width="14.85546875" style="1448" customWidth="1"/>
    <col min="10480" max="10484" width="9.140625" style="1448"/>
    <col min="10485" max="10485" width="29.28515625" style="1448" customWidth="1"/>
    <col min="10486" max="10734" width="9.140625" style="1448"/>
    <col min="10735" max="10735" width="14.85546875" style="1448" customWidth="1"/>
    <col min="10736" max="10740" width="9.140625" style="1448"/>
    <col min="10741" max="10741" width="29.28515625" style="1448" customWidth="1"/>
    <col min="10742" max="10990" width="9.140625" style="1448"/>
    <col min="10991" max="10991" width="14.85546875" style="1448" customWidth="1"/>
    <col min="10992" max="10996" width="9.140625" style="1448"/>
    <col min="10997" max="10997" width="29.28515625" style="1448" customWidth="1"/>
    <col min="10998" max="11246" width="9.140625" style="1448"/>
    <col min="11247" max="11247" width="14.85546875" style="1448" customWidth="1"/>
    <col min="11248" max="11252" width="9.140625" style="1448"/>
    <col min="11253" max="11253" width="29.28515625" style="1448" customWidth="1"/>
    <col min="11254" max="11502" width="9.140625" style="1448"/>
    <col min="11503" max="11503" width="14.85546875" style="1448" customWidth="1"/>
    <col min="11504" max="11508" width="9.140625" style="1448"/>
    <col min="11509" max="11509" width="29.28515625" style="1448" customWidth="1"/>
    <col min="11510" max="11758" width="9.140625" style="1448"/>
    <col min="11759" max="11759" width="14.85546875" style="1448" customWidth="1"/>
    <col min="11760" max="11764" width="9.140625" style="1448"/>
    <col min="11765" max="11765" width="29.28515625" style="1448" customWidth="1"/>
    <col min="11766" max="12014" width="9.140625" style="1448"/>
    <col min="12015" max="12015" width="14.85546875" style="1448" customWidth="1"/>
    <col min="12016" max="12020" width="9.140625" style="1448"/>
    <col min="12021" max="12021" width="29.28515625" style="1448" customWidth="1"/>
    <col min="12022" max="12270" width="9.140625" style="1448"/>
    <col min="12271" max="12271" width="14.85546875" style="1448" customWidth="1"/>
    <col min="12272" max="12276" width="9.140625" style="1448"/>
    <col min="12277" max="12277" width="29.28515625" style="1448" customWidth="1"/>
    <col min="12278" max="12526" width="9.140625" style="1448"/>
    <col min="12527" max="12527" width="14.85546875" style="1448" customWidth="1"/>
    <col min="12528" max="12532" width="9.140625" style="1448"/>
    <col min="12533" max="12533" width="29.28515625" style="1448" customWidth="1"/>
    <col min="12534" max="12782" width="9.140625" style="1448"/>
    <col min="12783" max="12783" width="14.85546875" style="1448" customWidth="1"/>
    <col min="12784" max="12788" width="9.140625" style="1448"/>
    <col min="12789" max="12789" width="29.28515625" style="1448" customWidth="1"/>
    <col min="12790" max="13038" width="9.140625" style="1448"/>
    <col min="13039" max="13039" width="14.85546875" style="1448" customWidth="1"/>
    <col min="13040" max="13044" width="9.140625" style="1448"/>
    <col min="13045" max="13045" width="29.28515625" style="1448" customWidth="1"/>
    <col min="13046" max="13294" width="9.140625" style="1448"/>
    <col min="13295" max="13295" width="14.85546875" style="1448" customWidth="1"/>
    <col min="13296" max="13300" width="9.140625" style="1448"/>
    <col min="13301" max="13301" width="29.28515625" style="1448" customWidth="1"/>
    <col min="13302" max="13550" width="9.140625" style="1448"/>
    <col min="13551" max="13551" width="14.85546875" style="1448" customWidth="1"/>
    <col min="13552" max="13556" width="9.140625" style="1448"/>
    <col min="13557" max="13557" width="29.28515625" style="1448" customWidth="1"/>
    <col min="13558" max="13806" width="9.140625" style="1448"/>
    <col min="13807" max="13807" width="14.85546875" style="1448" customWidth="1"/>
    <col min="13808" max="13812" width="9.140625" style="1448"/>
    <col min="13813" max="13813" width="29.28515625" style="1448" customWidth="1"/>
    <col min="13814" max="14062" width="9.140625" style="1448"/>
    <col min="14063" max="14063" width="14.85546875" style="1448" customWidth="1"/>
    <col min="14064" max="14068" width="9.140625" style="1448"/>
    <col min="14069" max="14069" width="29.28515625" style="1448" customWidth="1"/>
    <col min="14070" max="14318" width="9.140625" style="1448"/>
    <col min="14319" max="14319" width="14.85546875" style="1448" customWidth="1"/>
    <col min="14320" max="14324" width="9.140625" style="1448"/>
    <col min="14325" max="14325" width="29.28515625" style="1448" customWidth="1"/>
    <col min="14326" max="14574" width="9.140625" style="1448"/>
    <col min="14575" max="14575" width="14.85546875" style="1448" customWidth="1"/>
    <col min="14576" max="14580" width="9.140625" style="1448"/>
    <col min="14581" max="14581" width="29.28515625" style="1448" customWidth="1"/>
    <col min="14582" max="14830" width="9.140625" style="1448"/>
    <col min="14831" max="14831" width="14.85546875" style="1448" customWidth="1"/>
    <col min="14832" max="14836" width="9.140625" style="1448"/>
    <col min="14837" max="14837" width="29.28515625" style="1448" customWidth="1"/>
    <col min="14838" max="15086" width="9.140625" style="1448"/>
    <col min="15087" max="15087" width="14.85546875" style="1448" customWidth="1"/>
    <col min="15088" max="15092" width="9.140625" style="1448"/>
    <col min="15093" max="15093" width="29.28515625" style="1448" customWidth="1"/>
    <col min="15094" max="15342" width="9.140625" style="1448"/>
    <col min="15343" max="15343" width="14.85546875" style="1448" customWidth="1"/>
    <col min="15344" max="15348" width="9.140625" style="1448"/>
    <col min="15349" max="15349" width="29.28515625" style="1448" customWidth="1"/>
    <col min="15350" max="15598" width="9.140625" style="1448"/>
    <col min="15599" max="15599" width="14.85546875" style="1448" customWidth="1"/>
    <col min="15600" max="15604" width="9.140625" style="1448"/>
    <col min="15605" max="15605" width="29.28515625" style="1448" customWidth="1"/>
    <col min="15606" max="15854" width="9.140625" style="1448"/>
    <col min="15855" max="15855" width="14.85546875" style="1448" customWidth="1"/>
    <col min="15856" max="15860" width="9.140625" style="1448"/>
    <col min="15861" max="15861" width="29.28515625" style="1448" customWidth="1"/>
    <col min="15862" max="16110" width="9.140625" style="1448"/>
    <col min="16111" max="16111" width="14.85546875" style="1448" customWidth="1"/>
    <col min="16112" max="16116" width="9.140625" style="1448"/>
    <col min="16117" max="16117" width="29.28515625" style="1448" customWidth="1"/>
    <col min="16118" max="16384" width="9.140625" style="1448"/>
  </cols>
  <sheetData>
    <row r="1" spans="1:10">
      <c r="A1" s="1576" t="s">
        <v>1270</v>
      </c>
      <c r="B1" s="1576"/>
      <c r="C1" s="1576"/>
      <c r="D1" s="1576"/>
      <c r="E1" s="1576"/>
      <c r="F1" s="1576"/>
      <c r="G1" s="1576"/>
      <c r="H1" s="1576"/>
      <c r="I1" s="1576"/>
    </row>
    <row r="2" spans="1:10">
      <c r="A2" s="1415"/>
      <c r="B2" s="1449" t="s">
        <v>1253</v>
      </c>
      <c r="C2" s="1449" t="s">
        <v>1254</v>
      </c>
      <c r="D2" s="1449" t="s">
        <v>1255</v>
      </c>
      <c r="E2" s="1449" t="s">
        <v>1256</v>
      </c>
      <c r="F2" s="1449" t="s">
        <v>1259</v>
      </c>
      <c r="G2" s="1449" t="s">
        <v>1260</v>
      </c>
      <c r="H2" s="1449" t="s">
        <v>1261</v>
      </c>
      <c r="I2" s="1450" t="s">
        <v>135</v>
      </c>
    </row>
    <row r="3" spans="1:10">
      <c r="A3" s="1451">
        <v>2016</v>
      </c>
      <c r="B3" s="1459">
        <v>0.51944511873094101</v>
      </c>
      <c r="C3" s="1459"/>
      <c r="D3" s="1459"/>
      <c r="E3" s="1459"/>
      <c r="F3" s="1459"/>
      <c r="G3" s="1459"/>
      <c r="H3" s="1459"/>
      <c r="I3" s="1459">
        <v>0.51944511873094101</v>
      </c>
      <c r="J3" s="1453"/>
    </row>
    <row r="4" spans="1:10">
      <c r="A4" s="1451">
        <v>2017</v>
      </c>
      <c r="B4" s="1459">
        <v>0.50436487087228599</v>
      </c>
      <c r="C4" s="1459">
        <v>2.318755944926032E-3</v>
      </c>
      <c r="D4" s="1459">
        <v>1.6811715011869621E-3</v>
      </c>
      <c r="E4" s="1459">
        <v>2.7961960932512131E-3</v>
      </c>
      <c r="F4" s="1459">
        <v>2.3742505430904837E-3</v>
      </c>
      <c r="G4" s="1459">
        <v>1.6382333970421659E-3</v>
      </c>
      <c r="H4" s="1459">
        <v>2.1880652604292505E-3</v>
      </c>
      <c r="I4" s="1459">
        <v>0.51116099441165019</v>
      </c>
    </row>
    <row r="5" spans="1:10">
      <c r="A5" s="1451">
        <v>2018</v>
      </c>
      <c r="B5" s="1459">
        <v>0.48552758401434676</v>
      </c>
      <c r="C5" s="1459">
        <v>4.7405048089187996E-3</v>
      </c>
      <c r="D5" s="1459">
        <v>3.4446072269450068E-3</v>
      </c>
      <c r="E5" s="1459">
        <v>5.7435113070473665E-3</v>
      </c>
      <c r="F5" s="1459">
        <v>4.4381113273368467E-3</v>
      </c>
      <c r="G5" s="1459">
        <v>3.3072233383966143E-3</v>
      </c>
      <c r="H5" s="1459">
        <v>4.3264285392624613E-3</v>
      </c>
      <c r="I5" s="1459">
        <v>0.49945620735725793</v>
      </c>
    </row>
    <row r="6" spans="1:10">
      <c r="A6" s="1451">
        <v>2019</v>
      </c>
      <c r="B6" s="1459">
        <v>0.4450356279533248</v>
      </c>
      <c r="C6" s="1459">
        <v>1.1200009621406437E-2</v>
      </c>
      <c r="D6" s="1459">
        <v>8.2106476462585065E-3</v>
      </c>
      <c r="E6" s="1459">
        <v>1.3829849143041528E-2</v>
      </c>
      <c r="F6" s="1459">
        <v>1.060348632198127E-2</v>
      </c>
      <c r="G6" s="1459">
        <v>8.1203466380946887E-3</v>
      </c>
      <c r="H6" s="1459">
        <v>1.0695958777752201E-2</v>
      </c>
      <c r="I6" s="1459">
        <v>0.47827613436403127</v>
      </c>
    </row>
    <row r="7" spans="1:10">
      <c r="A7" s="1454">
        <v>2020</v>
      </c>
      <c r="B7" s="1460">
        <v>0.40145741881925123</v>
      </c>
      <c r="C7" s="1460">
        <v>1.8037613008513476E-2</v>
      </c>
      <c r="D7" s="1460">
        <v>1.3243859101810695E-2</v>
      </c>
      <c r="E7" s="1460">
        <v>2.2356684783458147E-2</v>
      </c>
      <c r="F7" s="1460">
        <v>1.634085216507003E-2</v>
      </c>
      <c r="G7" s="1460">
        <v>1.3106337194544515E-2</v>
      </c>
      <c r="H7" s="1460">
        <v>1.7163673692131176E-2</v>
      </c>
      <c r="I7" s="1460">
        <v>0.45509557571303355</v>
      </c>
    </row>
    <row r="8" spans="1:10">
      <c r="I8" s="1414" t="s">
        <v>3</v>
      </c>
    </row>
  </sheetData>
  <mergeCells count="1">
    <mergeCell ref="A1:I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showGridLines="0" workbookViewId="0">
      <selection sqref="A1:H1"/>
    </sheetView>
  </sheetViews>
  <sheetFormatPr defaultRowHeight="15"/>
  <cols>
    <col min="1" max="7" width="9.140625" style="1448"/>
    <col min="8" max="8" width="17.28515625" style="1448" customWidth="1"/>
    <col min="9" max="237" width="9.140625" style="1448"/>
    <col min="238" max="238" width="14.85546875" style="1448" customWidth="1"/>
    <col min="239" max="243" width="9.140625" style="1448"/>
    <col min="244" max="244" width="29.28515625" style="1448" customWidth="1"/>
    <col min="245" max="493" width="9.140625" style="1448"/>
    <col min="494" max="494" width="14.85546875" style="1448" customWidth="1"/>
    <col min="495" max="499" width="9.140625" style="1448"/>
    <col min="500" max="500" width="29.28515625" style="1448" customWidth="1"/>
    <col min="501" max="749" width="9.140625" style="1448"/>
    <col min="750" max="750" width="14.85546875" style="1448" customWidth="1"/>
    <col min="751" max="755" width="9.140625" style="1448"/>
    <col min="756" max="756" width="29.28515625" style="1448" customWidth="1"/>
    <col min="757" max="1005" width="9.140625" style="1448"/>
    <col min="1006" max="1006" width="14.85546875" style="1448" customWidth="1"/>
    <col min="1007" max="1011" width="9.140625" style="1448"/>
    <col min="1012" max="1012" width="29.28515625" style="1448" customWidth="1"/>
    <col min="1013" max="1261" width="9.140625" style="1448"/>
    <col min="1262" max="1262" width="14.85546875" style="1448" customWidth="1"/>
    <col min="1263" max="1267" width="9.140625" style="1448"/>
    <col min="1268" max="1268" width="29.28515625" style="1448" customWidth="1"/>
    <col min="1269" max="1517" width="9.140625" style="1448"/>
    <col min="1518" max="1518" width="14.85546875" style="1448" customWidth="1"/>
    <col min="1519" max="1523" width="9.140625" style="1448"/>
    <col min="1524" max="1524" width="29.28515625" style="1448" customWidth="1"/>
    <col min="1525" max="1773" width="9.140625" style="1448"/>
    <col min="1774" max="1774" width="14.85546875" style="1448" customWidth="1"/>
    <col min="1775" max="1779" width="9.140625" style="1448"/>
    <col min="1780" max="1780" width="29.28515625" style="1448" customWidth="1"/>
    <col min="1781" max="2029" width="9.140625" style="1448"/>
    <col min="2030" max="2030" width="14.85546875" style="1448" customWidth="1"/>
    <col min="2031" max="2035" width="9.140625" style="1448"/>
    <col min="2036" max="2036" width="29.28515625" style="1448" customWidth="1"/>
    <col min="2037" max="2285" width="9.140625" style="1448"/>
    <col min="2286" max="2286" width="14.85546875" style="1448" customWidth="1"/>
    <col min="2287" max="2291" width="9.140625" style="1448"/>
    <col min="2292" max="2292" width="29.28515625" style="1448" customWidth="1"/>
    <col min="2293" max="2541" width="9.140625" style="1448"/>
    <col min="2542" max="2542" width="14.85546875" style="1448" customWidth="1"/>
    <col min="2543" max="2547" width="9.140625" style="1448"/>
    <col min="2548" max="2548" width="29.28515625" style="1448" customWidth="1"/>
    <col min="2549" max="2797" width="9.140625" style="1448"/>
    <col min="2798" max="2798" width="14.85546875" style="1448" customWidth="1"/>
    <col min="2799" max="2803" width="9.140625" style="1448"/>
    <col min="2804" max="2804" width="29.28515625" style="1448" customWidth="1"/>
    <col min="2805" max="3053" width="9.140625" style="1448"/>
    <col min="3054" max="3054" width="14.85546875" style="1448" customWidth="1"/>
    <col min="3055" max="3059" width="9.140625" style="1448"/>
    <col min="3060" max="3060" width="29.28515625" style="1448" customWidth="1"/>
    <col min="3061" max="3309" width="9.140625" style="1448"/>
    <col min="3310" max="3310" width="14.85546875" style="1448" customWidth="1"/>
    <col min="3311" max="3315" width="9.140625" style="1448"/>
    <col min="3316" max="3316" width="29.28515625" style="1448" customWidth="1"/>
    <col min="3317" max="3565" width="9.140625" style="1448"/>
    <col min="3566" max="3566" width="14.85546875" style="1448" customWidth="1"/>
    <col min="3567" max="3571" width="9.140625" style="1448"/>
    <col min="3572" max="3572" width="29.28515625" style="1448" customWidth="1"/>
    <col min="3573" max="3821" width="9.140625" style="1448"/>
    <col min="3822" max="3822" width="14.85546875" style="1448" customWidth="1"/>
    <col min="3823" max="3827" width="9.140625" style="1448"/>
    <col min="3828" max="3828" width="29.28515625" style="1448" customWidth="1"/>
    <col min="3829" max="4077" width="9.140625" style="1448"/>
    <col min="4078" max="4078" width="14.85546875" style="1448" customWidth="1"/>
    <col min="4079" max="4083" width="9.140625" style="1448"/>
    <col min="4084" max="4084" width="29.28515625" style="1448" customWidth="1"/>
    <col min="4085" max="4333" width="9.140625" style="1448"/>
    <col min="4334" max="4334" width="14.85546875" style="1448" customWidth="1"/>
    <col min="4335" max="4339" width="9.140625" style="1448"/>
    <col min="4340" max="4340" width="29.28515625" style="1448" customWidth="1"/>
    <col min="4341" max="4589" width="9.140625" style="1448"/>
    <col min="4590" max="4590" width="14.85546875" style="1448" customWidth="1"/>
    <col min="4591" max="4595" width="9.140625" style="1448"/>
    <col min="4596" max="4596" width="29.28515625" style="1448" customWidth="1"/>
    <col min="4597" max="4845" width="9.140625" style="1448"/>
    <col min="4846" max="4846" width="14.85546875" style="1448" customWidth="1"/>
    <col min="4847" max="4851" width="9.140625" style="1448"/>
    <col min="4852" max="4852" width="29.28515625" style="1448" customWidth="1"/>
    <col min="4853" max="5101" width="9.140625" style="1448"/>
    <col min="5102" max="5102" width="14.85546875" style="1448" customWidth="1"/>
    <col min="5103" max="5107" width="9.140625" style="1448"/>
    <col min="5108" max="5108" width="29.28515625" style="1448" customWidth="1"/>
    <col min="5109" max="5357" width="9.140625" style="1448"/>
    <col min="5358" max="5358" width="14.85546875" style="1448" customWidth="1"/>
    <col min="5359" max="5363" width="9.140625" style="1448"/>
    <col min="5364" max="5364" width="29.28515625" style="1448" customWidth="1"/>
    <col min="5365" max="5613" width="9.140625" style="1448"/>
    <col min="5614" max="5614" width="14.85546875" style="1448" customWidth="1"/>
    <col min="5615" max="5619" width="9.140625" style="1448"/>
    <col min="5620" max="5620" width="29.28515625" style="1448" customWidth="1"/>
    <col min="5621" max="5869" width="9.140625" style="1448"/>
    <col min="5870" max="5870" width="14.85546875" style="1448" customWidth="1"/>
    <col min="5871" max="5875" width="9.140625" style="1448"/>
    <col min="5876" max="5876" width="29.28515625" style="1448" customWidth="1"/>
    <col min="5877" max="6125" width="9.140625" style="1448"/>
    <col min="6126" max="6126" width="14.85546875" style="1448" customWidth="1"/>
    <col min="6127" max="6131" width="9.140625" style="1448"/>
    <col min="6132" max="6132" width="29.28515625" style="1448" customWidth="1"/>
    <col min="6133" max="6381" width="9.140625" style="1448"/>
    <col min="6382" max="6382" width="14.85546875" style="1448" customWidth="1"/>
    <col min="6383" max="6387" width="9.140625" style="1448"/>
    <col min="6388" max="6388" width="29.28515625" style="1448" customWidth="1"/>
    <col min="6389" max="6637" width="9.140625" style="1448"/>
    <col min="6638" max="6638" width="14.85546875" style="1448" customWidth="1"/>
    <col min="6639" max="6643" width="9.140625" style="1448"/>
    <col min="6644" max="6644" width="29.28515625" style="1448" customWidth="1"/>
    <col min="6645" max="6893" width="9.140625" style="1448"/>
    <col min="6894" max="6894" width="14.85546875" style="1448" customWidth="1"/>
    <col min="6895" max="6899" width="9.140625" style="1448"/>
    <col min="6900" max="6900" width="29.28515625" style="1448" customWidth="1"/>
    <col min="6901" max="7149" width="9.140625" style="1448"/>
    <col min="7150" max="7150" width="14.85546875" style="1448" customWidth="1"/>
    <col min="7151" max="7155" width="9.140625" style="1448"/>
    <col min="7156" max="7156" width="29.28515625" style="1448" customWidth="1"/>
    <col min="7157" max="7405" width="9.140625" style="1448"/>
    <col min="7406" max="7406" width="14.85546875" style="1448" customWidth="1"/>
    <col min="7407" max="7411" width="9.140625" style="1448"/>
    <col min="7412" max="7412" width="29.28515625" style="1448" customWidth="1"/>
    <col min="7413" max="7661" width="9.140625" style="1448"/>
    <col min="7662" max="7662" width="14.85546875" style="1448" customWidth="1"/>
    <col min="7663" max="7667" width="9.140625" style="1448"/>
    <col min="7668" max="7668" width="29.28515625" style="1448" customWidth="1"/>
    <col min="7669" max="7917" width="9.140625" style="1448"/>
    <col min="7918" max="7918" width="14.85546875" style="1448" customWidth="1"/>
    <col min="7919" max="7923" width="9.140625" style="1448"/>
    <col min="7924" max="7924" width="29.28515625" style="1448" customWidth="1"/>
    <col min="7925" max="8173" width="9.140625" style="1448"/>
    <col min="8174" max="8174" width="14.85546875" style="1448" customWidth="1"/>
    <col min="8175" max="8179" width="9.140625" style="1448"/>
    <col min="8180" max="8180" width="29.28515625" style="1448" customWidth="1"/>
    <col min="8181" max="8429" width="9.140625" style="1448"/>
    <col min="8430" max="8430" width="14.85546875" style="1448" customWidth="1"/>
    <col min="8431" max="8435" width="9.140625" style="1448"/>
    <col min="8436" max="8436" width="29.28515625" style="1448" customWidth="1"/>
    <col min="8437" max="8685" width="9.140625" style="1448"/>
    <col min="8686" max="8686" width="14.85546875" style="1448" customWidth="1"/>
    <col min="8687" max="8691" width="9.140625" style="1448"/>
    <col min="8692" max="8692" width="29.28515625" style="1448" customWidth="1"/>
    <col min="8693" max="8941" width="9.140625" style="1448"/>
    <col min="8942" max="8942" width="14.85546875" style="1448" customWidth="1"/>
    <col min="8943" max="8947" width="9.140625" style="1448"/>
    <col min="8948" max="8948" width="29.28515625" style="1448" customWidth="1"/>
    <col min="8949" max="9197" width="9.140625" style="1448"/>
    <col min="9198" max="9198" width="14.85546875" style="1448" customWidth="1"/>
    <col min="9199" max="9203" width="9.140625" style="1448"/>
    <col min="9204" max="9204" width="29.28515625" style="1448" customWidth="1"/>
    <col min="9205" max="9453" width="9.140625" style="1448"/>
    <col min="9454" max="9454" width="14.85546875" style="1448" customWidth="1"/>
    <col min="9455" max="9459" width="9.140625" style="1448"/>
    <col min="9460" max="9460" width="29.28515625" style="1448" customWidth="1"/>
    <col min="9461" max="9709" width="9.140625" style="1448"/>
    <col min="9710" max="9710" width="14.85546875" style="1448" customWidth="1"/>
    <col min="9711" max="9715" width="9.140625" style="1448"/>
    <col min="9716" max="9716" width="29.28515625" style="1448" customWidth="1"/>
    <col min="9717" max="9965" width="9.140625" style="1448"/>
    <col min="9966" max="9966" width="14.85546875" style="1448" customWidth="1"/>
    <col min="9967" max="9971" width="9.140625" style="1448"/>
    <col min="9972" max="9972" width="29.28515625" style="1448" customWidth="1"/>
    <col min="9973" max="10221" width="9.140625" style="1448"/>
    <col min="10222" max="10222" width="14.85546875" style="1448" customWidth="1"/>
    <col min="10223" max="10227" width="9.140625" style="1448"/>
    <col min="10228" max="10228" width="29.28515625" style="1448" customWidth="1"/>
    <col min="10229" max="10477" width="9.140625" style="1448"/>
    <col min="10478" max="10478" width="14.85546875" style="1448" customWidth="1"/>
    <col min="10479" max="10483" width="9.140625" style="1448"/>
    <col min="10484" max="10484" width="29.28515625" style="1448" customWidth="1"/>
    <col min="10485" max="10733" width="9.140625" style="1448"/>
    <col min="10734" max="10734" width="14.85546875" style="1448" customWidth="1"/>
    <col min="10735" max="10739" width="9.140625" style="1448"/>
    <col min="10740" max="10740" width="29.28515625" style="1448" customWidth="1"/>
    <col min="10741" max="10989" width="9.140625" style="1448"/>
    <col min="10990" max="10990" width="14.85546875" style="1448" customWidth="1"/>
    <col min="10991" max="10995" width="9.140625" style="1448"/>
    <col min="10996" max="10996" width="29.28515625" style="1448" customWidth="1"/>
    <col min="10997" max="11245" width="9.140625" style="1448"/>
    <col min="11246" max="11246" width="14.85546875" style="1448" customWidth="1"/>
    <col min="11247" max="11251" width="9.140625" style="1448"/>
    <col min="11252" max="11252" width="29.28515625" style="1448" customWidth="1"/>
    <col min="11253" max="11501" width="9.140625" style="1448"/>
    <col min="11502" max="11502" width="14.85546875" style="1448" customWidth="1"/>
    <col min="11503" max="11507" width="9.140625" style="1448"/>
    <col min="11508" max="11508" width="29.28515625" style="1448" customWidth="1"/>
    <col min="11509" max="11757" width="9.140625" style="1448"/>
    <col min="11758" max="11758" width="14.85546875" style="1448" customWidth="1"/>
    <col min="11759" max="11763" width="9.140625" style="1448"/>
    <col min="11764" max="11764" width="29.28515625" style="1448" customWidth="1"/>
    <col min="11765" max="12013" width="9.140625" style="1448"/>
    <col min="12014" max="12014" width="14.85546875" style="1448" customWidth="1"/>
    <col min="12015" max="12019" width="9.140625" style="1448"/>
    <col min="12020" max="12020" width="29.28515625" style="1448" customWidth="1"/>
    <col min="12021" max="12269" width="9.140625" style="1448"/>
    <col min="12270" max="12270" width="14.85546875" style="1448" customWidth="1"/>
    <col min="12271" max="12275" width="9.140625" style="1448"/>
    <col min="12276" max="12276" width="29.28515625" style="1448" customWidth="1"/>
    <col min="12277" max="12525" width="9.140625" style="1448"/>
    <col min="12526" max="12526" width="14.85546875" style="1448" customWidth="1"/>
    <col min="12527" max="12531" width="9.140625" style="1448"/>
    <col min="12532" max="12532" width="29.28515625" style="1448" customWidth="1"/>
    <col min="12533" max="12781" width="9.140625" style="1448"/>
    <col min="12782" max="12782" width="14.85546875" style="1448" customWidth="1"/>
    <col min="12783" max="12787" width="9.140625" style="1448"/>
    <col min="12788" max="12788" width="29.28515625" style="1448" customWidth="1"/>
    <col min="12789" max="13037" width="9.140625" style="1448"/>
    <col min="13038" max="13038" width="14.85546875" style="1448" customWidth="1"/>
    <col min="13039" max="13043" width="9.140625" style="1448"/>
    <col min="13044" max="13044" width="29.28515625" style="1448" customWidth="1"/>
    <col min="13045" max="13293" width="9.140625" style="1448"/>
    <col min="13294" max="13294" width="14.85546875" style="1448" customWidth="1"/>
    <col min="13295" max="13299" width="9.140625" style="1448"/>
    <col min="13300" max="13300" width="29.28515625" style="1448" customWidth="1"/>
    <col min="13301" max="13549" width="9.140625" style="1448"/>
    <col min="13550" max="13550" width="14.85546875" style="1448" customWidth="1"/>
    <col min="13551" max="13555" width="9.140625" style="1448"/>
    <col min="13556" max="13556" width="29.28515625" style="1448" customWidth="1"/>
    <col min="13557" max="13805" width="9.140625" style="1448"/>
    <col min="13806" max="13806" width="14.85546875" style="1448" customWidth="1"/>
    <col min="13807" max="13811" width="9.140625" style="1448"/>
    <col min="13812" max="13812" width="29.28515625" style="1448" customWidth="1"/>
    <col min="13813" max="14061" width="9.140625" style="1448"/>
    <col min="14062" max="14062" width="14.85546875" style="1448" customWidth="1"/>
    <col min="14063" max="14067" width="9.140625" style="1448"/>
    <col min="14068" max="14068" width="29.28515625" style="1448" customWidth="1"/>
    <col min="14069" max="14317" width="9.140625" style="1448"/>
    <col min="14318" max="14318" width="14.85546875" style="1448" customWidth="1"/>
    <col min="14319" max="14323" width="9.140625" style="1448"/>
    <col min="14324" max="14324" width="29.28515625" style="1448" customWidth="1"/>
    <col min="14325" max="14573" width="9.140625" style="1448"/>
    <col min="14574" max="14574" width="14.85546875" style="1448" customWidth="1"/>
    <col min="14575" max="14579" width="9.140625" style="1448"/>
    <col min="14580" max="14580" width="29.28515625" style="1448" customWidth="1"/>
    <col min="14581" max="14829" width="9.140625" style="1448"/>
    <col min="14830" max="14830" width="14.85546875" style="1448" customWidth="1"/>
    <col min="14831" max="14835" width="9.140625" style="1448"/>
    <col min="14836" max="14836" width="29.28515625" style="1448" customWidth="1"/>
    <col min="14837" max="15085" width="9.140625" style="1448"/>
    <col min="15086" max="15086" width="14.85546875" style="1448" customWidth="1"/>
    <col min="15087" max="15091" width="9.140625" style="1448"/>
    <col min="15092" max="15092" width="29.28515625" style="1448" customWidth="1"/>
    <col min="15093" max="15341" width="9.140625" style="1448"/>
    <col min="15342" max="15342" width="14.85546875" style="1448" customWidth="1"/>
    <col min="15343" max="15347" width="9.140625" style="1448"/>
    <col min="15348" max="15348" width="29.28515625" style="1448" customWidth="1"/>
    <col min="15349" max="15597" width="9.140625" style="1448"/>
    <col min="15598" max="15598" width="14.85546875" style="1448" customWidth="1"/>
    <col min="15599" max="15603" width="9.140625" style="1448"/>
    <col min="15604" max="15604" width="29.28515625" style="1448" customWidth="1"/>
    <col min="15605" max="15853" width="9.140625" style="1448"/>
    <col min="15854" max="15854" width="14.85546875" style="1448" customWidth="1"/>
    <col min="15855" max="15859" width="9.140625" style="1448"/>
    <col min="15860" max="15860" width="29.28515625" style="1448" customWidth="1"/>
    <col min="15861" max="16109" width="9.140625" style="1448"/>
    <col min="16110" max="16110" width="14.85546875" style="1448" customWidth="1"/>
    <col min="16111" max="16115" width="9.140625" style="1448"/>
    <col min="16116" max="16116" width="29.28515625" style="1448" customWidth="1"/>
    <col min="16117" max="16384" width="9.140625" style="1448"/>
  </cols>
  <sheetData>
    <row r="1" spans="1:9">
      <c r="A1" s="1576" t="s">
        <v>1271</v>
      </c>
      <c r="B1" s="1576"/>
      <c r="C1" s="1576"/>
      <c r="D1" s="1576"/>
      <c r="E1" s="1576"/>
      <c r="F1" s="1576"/>
      <c r="G1" s="1576"/>
      <c r="H1" s="1576"/>
    </row>
    <row r="2" spans="1:9">
      <c r="A2" s="1415"/>
      <c r="B2" s="1449" t="s">
        <v>1253</v>
      </c>
      <c r="C2" s="1449" t="s">
        <v>1254</v>
      </c>
      <c r="D2" s="1449" t="s">
        <v>1255</v>
      </c>
      <c r="E2" s="1449" t="s">
        <v>1272</v>
      </c>
      <c r="F2" s="1449" t="s">
        <v>1259</v>
      </c>
      <c r="G2" s="1449" t="s">
        <v>1260</v>
      </c>
      <c r="H2" s="1450" t="s">
        <v>1273</v>
      </c>
    </row>
    <row r="3" spans="1:9">
      <c r="A3" s="1451">
        <v>2016</v>
      </c>
      <c r="B3" s="1459">
        <v>1</v>
      </c>
      <c r="C3" s="1459"/>
      <c r="D3" s="1459"/>
      <c r="E3" s="1459"/>
      <c r="F3" s="1459"/>
      <c r="G3" s="1459"/>
      <c r="H3" s="1459">
        <v>1</v>
      </c>
      <c r="I3" s="1453"/>
    </row>
    <row r="4" spans="1:9">
      <c r="A4" s="1451">
        <v>2017</v>
      </c>
      <c r="B4" s="1459">
        <v>1.0470884116365109</v>
      </c>
      <c r="C4" s="1459">
        <v>1.4410401585682742E-3</v>
      </c>
      <c r="D4" s="1459">
        <v>1.2313156821708304E-3</v>
      </c>
      <c r="E4" s="1459">
        <v>3.5330779925286659E-3</v>
      </c>
      <c r="F4" s="1459">
        <v>1.4410401585682742E-3</v>
      </c>
      <c r="G4" s="1459">
        <v>1.9984737239582273E-3</v>
      </c>
      <c r="H4" s="1459">
        <v>1.0509116486324288</v>
      </c>
    </row>
    <row r="5" spans="1:9">
      <c r="A5" s="1451">
        <v>2018</v>
      </c>
      <c r="B5" s="1459">
        <v>1.0918234580677355</v>
      </c>
      <c r="C5" s="1459">
        <v>5.6820038115574789E-3</v>
      </c>
      <c r="D5" s="1459">
        <v>4.8641644144056251E-3</v>
      </c>
      <c r="E5" s="1459">
        <v>1.4003559928464249E-2</v>
      </c>
      <c r="F5" s="1459">
        <v>5.7314730483652987E-3</v>
      </c>
      <c r="G5" s="1459">
        <v>7.9675759424495673E-3</v>
      </c>
      <c r="H5" s="1459">
        <v>1.1069236272093688</v>
      </c>
    </row>
    <row r="6" spans="1:9">
      <c r="A6" s="1451">
        <v>2019</v>
      </c>
      <c r="B6" s="1459">
        <v>1.1244252945697242</v>
      </c>
      <c r="C6" s="1459">
        <v>1.5609406963921213E-2</v>
      </c>
      <c r="D6" s="1459">
        <v>1.3427235142400962E-2</v>
      </c>
      <c r="E6" s="1459">
        <v>3.8987462646402182E-2</v>
      </c>
      <c r="F6" s="1459">
        <v>1.6098495174535099E-2</v>
      </c>
      <c r="G6" s="1459">
        <v>2.2515219134925823E-2</v>
      </c>
      <c r="H6" s="1459">
        <v>1.1660868602422294</v>
      </c>
    </row>
    <row r="7" spans="1:9">
      <c r="A7" s="1454">
        <v>2020</v>
      </c>
      <c r="B7" s="1460">
        <v>1.1477725417752775</v>
      </c>
      <c r="C7" s="1460">
        <v>3.0621825230533917E-2</v>
      </c>
      <c r="D7" s="1460">
        <v>2.6577470728665453E-2</v>
      </c>
      <c r="E7" s="1460">
        <v>7.8396367029037961E-2</v>
      </c>
      <c r="F7" s="1460">
        <v>3.2896970780982748E-2</v>
      </c>
      <c r="G7" s="1460">
        <v>4.6518632553697703E-2</v>
      </c>
      <c r="H7" s="1460">
        <v>1.2301593832444944</v>
      </c>
    </row>
    <row r="8" spans="1:9">
      <c r="H8" s="1414" t="s">
        <v>3</v>
      </c>
    </row>
  </sheetData>
  <mergeCells count="1">
    <mergeCell ref="A1:H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showGridLines="0" workbookViewId="0">
      <selection sqref="A1:H1"/>
    </sheetView>
  </sheetViews>
  <sheetFormatPr defaultRowHeight="15"/>
  <cols>
    <col min="1" max="7" width="9.140625" style="1448"/>
    <col min="8" max="8" width="17.28515625" style="1448" customWidth="1"/>
    <col min="9" max="237" width="9.140625" style="1448"/>
    <col min="238" max="238" width="14.85546875" style="1448" customWidth="1"/>
    <col min="239" max="243" width="9.140625" style="1448"/>
    <col min="244" max="244" width="29.28515625" style="1448" customWidth="1"/>
    <col min="245" max="493" width="9.140625" style="1448"/>
    <col min="494" max="494" width="14.85546875" style="1448" customWidth="1"/>
    <col min="495" max="499" width="9.140625" style="1448"/>
    <col min="500" max="500" width="29.28515625" style="1448" customWidth="1"/>
    <col min="501" max="749" width="9.140625" style="1448"/>
    <col min="750" max="750" width="14.85546875" style="1448" customWidth="1"/>
    <col min="751" max="755" width="9.140625" style="1448"/>
    <col min="756" max="756" width="29.28515625" style="1448" customWidth="1"/>
    <col min="757" max="1005" width="9.140625" style="1448"/>
    <col min="1006" max="1006" width="14.85546875" style="1448" customWidth="1"/>
    <col min="1007" max="1011" width="9.140625" style="1448"/>
    <col min="1012" max="1012" width="29.28515625" style="1448" customWidth="1"/>
    <col min="1013" max="1261" width="9.140625" style="1448"/>
    <col min="1262" max="1262" width="14.85546875" style="1448" customWidth="1"/>
    <col min="1263" max="1267" width="9.140625" style="1448"/>
    <col min="1268" max="1268" width="29.28515625" style="1448" customWidth="1"/>
    <col min="1269" max="1517" width="9.140625" style="1448"/>
    <col min="1518" max="1518" width="14.85546875" style="1448" customWidth="1"/>
    <col min="1519" max="1523" width="9.140625" style="1448"/>
    <col min="1524" max="1524" width="29.28515625" style="1448" customWidth="1"/>
    <col min="1525" max="1773" width="9.140625" style="1448"/>
    <col min="1774" max="1774" width="14.85546875" style="1448" customWidth="1"/>
    <col min="1775" max="1779" width="9.140625" style="1448"/>
    <col min="1780" max="1780" width="29.28515625" style="1448" customWidth="1"/>
    <col min="1781" max="2029" width="9.140625" style="1448"/>
    <col min="2030" max="2030" width="14.85546875" style="1448" customWidth="1"/>
    <col min="2031" max="2035" width="9.140625" style="1448"/>
    <col min="2036" max="2036" width="29.28515625" style="1448" customWidth="1"/>
    <col min="2037" max="2285" width="9.140625" style="1448"/>
    <col min="2286" max="2286" width="14.85546875" style="1448" customWidth="1"/>
    <col min="2287" max="2291" width="9.140625" style="1448"/>
    <col min="2292" max="2292" width="29.28515625" style="1448" customWidth="1"/>
    <col min="2293" max="2541" width="9.140625" style="1448"/>
    <col min="2542" max="2542" width="14.85546875" style="1448" customWidth="1"/>
    <col min="2543" max="2547" width="9.140625" style="1448"/>
    <col min="2548" max="2548" width="29.28515625" style="1448" customWidth="1"/>
    <col min="2549" max="2797" width="9.140625" style="1448"/>
    <col min="2798" max="2798" width="14.85546875" style="1448" customWidth="1"/>
    <col min="2799" max="2803" width="9.140625" style="1448"/>
    <col min="2804" max="2804" width="29.28515625" style="1448" customWidth="1"/>
    <col min="2805" max="3053" width="9.140625" style="1448"/>
    <col min="3054" max="3054" width="14.85546875" style="1448" customWidth="1"/>
    <col min="3055" max="3059" width="9.140625" style="1448"/>
    <col min="3060" max="3060" width="29.28515625" style="1448" customWidth="1"/>
    <col min="3061" max="3309" width="9.140625" style="1448"/>
    <col min="3310" max="3310" width="14.85546875" style="1448" customWidth="1"/>
    <col min="3311" max="3315" width="9.140625" style="1448"/>
    <col min="3316" max="3316" width="29.28515625" style="1448" customWidth="1"/>
    <col min="3317" max="3565" width="9.140625" style="1448"/>
    <col min="3566" max="3566" width="14.85546875" style="1448" customWidth="1"/>
    <col min="3567" max="3571" width="9.140625" style="1448"/>
    <col min="3572" max="3572" width="29.28515625" style="1448" customWidth="1"/>
    <col min="3573" max="3821" width="9.140625" style="1448"/>
    <col min="3822" max="3822" width="14.85546875" style="1448" customWidth="1"/>
    <col min="3823" max="3827" width="9.140625" style="1448"/>
    <col min="3828" max="3828" width="29.28515625" style="1448" customWidth="1"/>
    <col min="3829" max="4077" width="9.140625" style="1448"/>
    <col min="4078" max="4078" width="14.85546875" style="1448" customWidth="1"/>
    <col min="4079" max="4083" width="9.140625" style="1448"/>
    <col min="4084" max="4084" width="29.28515625" style="1448" customWidth="1"/>
    <col min="4085" max="4333" width="9.140625" style="1448"/>
    <col min="4334" max="4334" width="14.85546875" style="1448" customWidth="1"/>
    <col min="4335" max="4339" width="9.140625" style="1448"/>
    <col min="4340" max="4340" width="29.28515625" style="1448" customWidth="1"/>
    <col min="4341" max="4589" width="9.140625" style="1448"/>
    <col min="4590" max="4590" width="14.85546875" style="1448" customWidth="1"/>
    <col min="4591" max="4595" width="9.140625" style="1448"/>
    <col min="4596" max="4596" width="29.28515625" style="1448" customWidth="1"/>
    <col min="4597" max="4845" width="9.140625" style="1448"/>
    <col min="4846" max="4846" width="14.85546875" style="1448" customWidth="1"/>
    <col min="4847" max="4851" width="9.140625" style="1448"/>
    <col min="4852" max="4852" width="29.28515625" style="1448" customWidth="1"/>
    <col min="4853" max="5101" width="9.140625" style="1448"/>
    <col min="5102" max="5102" width="14.85546875" style="1448" customWidth="1"/>
    <col min="5103" max="5107" width="9.140625" style="1448"/>
    <col min="5108" max="5108" width="29.28515625" style="1448" customWidth="1"/>
    <col min="5109" max="5357" width="9.140625" style="1448"/>
    <col min="5358" max="5358" width="14.85546875" style="1448" customWidth="1"/>
    <col min="5359" max="5363" width="9.140625" style="1448"/>
    <col min="5364" max="5364" width="29.28515625" style="1448" customWidth="1"/>
    <col min="5365" max="5613" width="9.140625" style="1448"/>
    <col min="5614" max="5614" width="14.85546875" style="1448" customWidth="1"/>
    <col min="5615" max="5619" width="9.140625" style="1448"/>
    <col min="5620" max="5620" width="29.28515625" style="1448" customWidth="1"/>
    <col min="5621" max="5869" width="9.140625" style="1448"/>
    <col min="5870" max="5870" width="14.85546875" style="1448" customWidth="1"/>
    <col min="5871" max="5875" width="9.140625" style="1448"/>
    <col min="5876" max="5876" width="29.28515625" style="1448" customWidth="1"/>
    <col min="5877" max="6125" width="9.140625" style="1448"/>
    <col min="6126" max="6126" width="14.85546875" style="1448" customWidth="1"/>
    <col min="6127" max="6131" width="9.140625" style="1448"/>
    <col min="6132" max="6132" width="29.28515625" style="1448" customWidth="1"/>
    <col min="6133" max="6381" width="9.140625" style="1448"/>
    <col min="6382" max="6382" width="14.85546875" style="1448" customWidth="1"/>
    <col min="6383" max="6387" width="9.140625" style="1448"/>
    <col min="6388" max="6388" width="29.28515625" style="1448" customWidth="1"/>
    <col min="6389" max="6637" width="9.140625" style="1448"/>
    <col min="6638" max="6638" width="14.85546875" style="1448" customWidth="1"/>
    <col min="6639" max="6643" width="9.140625" style="1448"/>
    <col min="6644" max="6644" width="29.28515625" style="1448" customWidth="1"/>
    <col min="6645" max="6893" width="9.140625" style="1448"/>
    <col min="6894" max="6894" width="14.85546875" style="1448" customWidth="1"/>
    <col min="6895" max="6899" width="9.140625" style="1448"/>
    <col min="6900" max="6900" width="29.28515625" style="1448" customWidth="1"/>
    <col min="6901" max="7149" width="9.140625" style="1448"/>
    <col min="7150" max="7150" width="14.85546875" style="1448" customWidth="1"/>
    <col min="7151" max="7155" width="9.140625" style="1448"/>
    <col min="7156" max="7156" width="29.28515625" style="1448" customWidth="1"/>
    <col min="7157" max="7405" width="9.140625" style="1448"/>
    <col min="7406" max="7406" width="14.85546875" style="1448" customWidth="1"/>
    <col min="7407" max="7411" width="9.140625" style="1448"/>
    <col min="7412" max="7412" width="29.28515625" style="1448" customWidth="1"/>
    <col min="7413" max="7661" width="9.140625" style="1448"/>
    <col min="7662" max="7662" width="14.85546875" style="1448" customWidth="1"/>
    <col min="7663" max="7667" width="9.140625" style="1448"/>
    <col min="7668" max="7668" width="29.28515625" style="1448" customWidth="1"/>
    <col min="7669" max="7917" width="9.140625" style="1448"/>
    <col min="7918" max="7918" width="14.85546875" style="1448" customWidth="1"/>
    <col min="7919" max="7923" width="9.140625" style="1448"/>
    <col min="7924" max="7924" width="29.28515625" style="1448" customWidth="1"/>
    <col min="7925" max="8173" width="9.140625" style="1448"/>
    <col min="8174" max="8174" width="14.85546875" style="1448" customWidth="1"/>
    <col min="8175" max="8179" width="9.140625" style="1448"/>
    <col min="8180" max="8180" width="29.28515625" style="1448" customWidth="1"/>
    <col min="8181" max="8429" width="9.140625" style="1448"/>
    <col min="8430" max="8430" width="14.85546875" style="1448" customWidth="1"/>
    <col min="8431" max="8435" width="9.140625" style="1448"/>
    <col min="8436" max="8436" width="29.28515625" style="1448" customWidth="1"/>
    <col min="8437" max="8685" width="9.140625" style="1448"/>
    <col min="8686" max="8686" width="14.85546875" style="1448" customWidth="1"/>
    <col min="8687" max="8691" width="9.140625" style="1448"/>
    <col min="8692" max="8692" width="29.28515625" style="1448" customWidth="1"/>
    <col min="8693" max="8941" width="9.140625" style="1448"/>
    <col min="8942" max="8942" width="14.85546875" style="1448" customWidth="1"/>
    <col min="8943" max="8947" width="9.140625" style="1448"/>
    <col min="8948" max="8948" width="29.28515625" style="1448" customWidth="1"/>
    <col min="8949" max="9197" width="9.140625" style="1448"/>
    <col min="9198" max="9198" width="14.85546875" style="1448" customWidth="1"/>
    <col min="9199" max="9203" width="9.140625" style="1448"/>
    <col min="9204" max="9204" width="29.28515625" style="1448" customWidth="1"/>
    <col min="9205" max="9453" width="9.140625" style="1448"/>
    <col min="9454" max="9454" width="14.85546875" style="1448" customWidth="1"/>
    <col min="9455" max="9459" width="9.140625" style="1448"/>
    <col min="9460" max="9460" width="29.28515625" style="1448" customWidth="1"/>
    <col min="9461" max="9709" width="9.140625" style="1448"/>
    <col min="9710" max="9710" width="14.85546875" style="1448" customWidth="1"/>
    <col min="9711" max="9715" width="9.140625" style="1448"/>
    <col min="9716" max="9716" width="29.28515625" style="1448" customWidth="1"/>
    <col min="9717" max="9965" width="9.140625" style="1448"/>
    <col min="9966" max="9966" width="14.85546875" style="1448" customWidth="1"/>
    <col min="9967" max="9971" width="9.140625" style="1448"/>
    <col min="9972" max="9972" width="29.28515625" style="1448" customWidth="1"/>
    <col min="9973" max="10221" width="9.140625" style="1448"/>
    <col min="10222" max="10222" width="14.85546875" style="1448" customWidth="1"/>
    <col min="10223" max="10227" width="9.140625" style="1448"/>
    <col min="10228" max="10228" width="29.28515625" style="1448" customWidth="1"/>
    <col min="10229" max="10477" width="9.140625" style="1448"/>
    <col min="10478" max="10478" width="14.85546875" style="1448" customWidth="1"/>
    <col min="10479" max="10483" width="9.140625" style="1448"/>
    <col min="10484" max="10484" width="29.28515625" style="1448" customWidth="1"/>
    <col min="10485" max="10733" width="9.140625" style="1448"/>
    <col min="10734" max="10734" width="14.85546875" style="1448" customWidth="1"/>
    <col min="10735" max="10739" width="9.140625" style="1448"/>
    <col min="10740" max="10740" width="29.28515625" style="1448" customWidth="1"/>
    <col min="10741" max="10989" width="9.140625" style="1448"/>
    <col min="10990" max="10990" width="14.85546875" style="1448" customWidth="1"/>
    <col min="10991" max="10995" width="9.140625" style="1448"/>
    <col min="10996" max="10996" width="29.28515625" style="1448" customWidth="1"/>
    <col min="10997" max="11245" width="9.140625" style="1448"/>
    <col min="11246" max="11246" width="14.85546875" style="1448" customWidth="1"/>
    <col min="11247" max="11251" width="9.140625" style="1448"/>
    <col min="11252" max="11252" width="29.28515625" style="1448" customWidth="1"/>
    <col min="11253" max="11501" width="9.140625" style="1448"/>
    <col min="11502" max="11502" width="14.85546875" style="1448" customWidth="1"/>
    <col min="11503" max="11507" width="9.140625" style="1448"/>
    <col min="11508" max="11508" width="29.28515625" style="1448" customWidth="1"/>
    <col min="11509" max="11757" width="9.140625" style="1448"/>
    <col min="11758" max="11758" width="14.85546875" style="1448" customWidth="1"/>
    <col min="11759" max="11763" width="9.140625" style="1448"/>
    <col min="11764" max="11764" width="29.28515625" style="1448" customWidth="1"/>
    <col min="11765" max="12013" width="9.140625" style="1448"/>
    <col min="12014" max="12014" width="14.85546875" style="1448" customWidth="1"/>
    <col min="12015" max="12019" width="9.140625" style="1448"/>
    <col min="12020" max="12020" width="29.28515625" style="1448" customWidth="1"/>
    <col min="12021" max="12269" width="9.140625" style="1448"/>
    <col min="12270" max="12270" width="14.85546875" style="1448" customWidth="1"/>
    <col min="12271" max="12275" width="9.140625" style="1448"/>
    <col min="12276" max="12276" width="29.28515625" style="1448" customWidth="1"/>
    <col min="12277" max="12525" width="9.140625" style="1448"/>
    <col min="12526" max="12526" width="14.85546875" style="1448" customWidth="1"/>
    <col min="12527" max="12531" width="9.140625" style="1448"/>
    <col min="12532" max="12532" width="29.28515625" style="1448" customWidth="1"/>
    <col min="12533" max="12781" width="9.140625" style="1448"/>
    <col min="12782" max="12782" width="14.85546875" style="1448" customWidth="1"/>
    <col min="12783" max="12787" width="9.140625" style="1448"/>
    <col min="12788" max="12788" width="29.28515625" style="1448" customWidth="1"/>
    <col min="12789" max="13037" width="9.140625" style="1448"/>
    <col min="13038" max="13038" width="14.85546875" style="1448" customWidth="1"/>
    <col min="13039" max="13043" width="9.140625" style="1448"/>
    <col min="13044" max="13044" width="29.28515625" style="1448" customWidth="1"/>
    <col min="13045" max="13293" width="9.140625" style="1448"/>
    <col min="13294" max="13294" width="14.85546875" style="1448" customWidth="1"/>
    <col min="13295" max="13299" width="9.140625" style="1448"/>
    <col min="13300" max="13300" width="29.28515625" style="1448" customWidth="1"/>
    <col min="13301" max="13549" width="9.140625" style="1448"/>
    <col min="13550" max="13550" width="14.85546875" style="1448" customWidth="1"/>
    <col min="13551" max="13555" width="9.140625" style="1448"/>
    <col min="13556" max="13556" width="29.28515625" style="1448" customWidth="1"/>
    <col min="13557" max="13805" width="9.140625" style="1448"/>
    <col min="13806" max="13806" width="14.85546875" style="1448" customWidth="1"/>
    <col min="13807" max="13811" width="9.140625" style="1448"/>
    <col min="13812" max="13812" width="29.28515625" style="1448" customWidth="1"/>
    <col min="13813" max="14061" width="9.140625" style="1448"/>
    <col min="14062" max="14062" width="14.85546875" style="1448" customWidth="1"/>
    <col min="14063" max="14067" width="9.140625" style="1448"/>
    <col min="14068" max="14068" width="29.28515625" style="1448" customWidth="1"/>
    <col min="14069" max="14317" width="9.140625" style="1448"/>
    <col min="14318" max="14318" width="14.85546875" style="1448" customWidth="1"/>
    <col min="14319" max="14323" width="9.140625" style="1448"/>
    <col min="14324" max="14324" width="29.28515625" style="1448" customWidth="1"/>
    <col min="14325" max="14573" width="9.140625" style="1448"/>
    <col min="14574" max="14574" width="14.85546875" style="1448" customWidth="1"/>
    <col min="14575" max="14579" width="9.140625" style="1448"/>
    <col min="14580" max="14580" width="29.28515625" style="1448" customWidth="1"/>
    <col min="14581" max="14829" width="9.140625" style="1448"/>
    <col min="14830" max="14830" width="14.85546875" style="1448" customWidth="1"/>
    <col min="14831" max="14835" width="9.140625" style="1448"/>
    <col min="14836" max="14836" width="29.28515625" style="1448" customWidth="1"/>
    <col min="14837" max="15085" width="9.140625" style="1448"/>
    <col min="15086" max="15086" width="14.85546875" style="1448" customWidth="1"/>
    <col min="15087" max="15091" width="9.140625" style="1448"/>
    <col min="15092" max="15092" width="29.28515625" style="1448" customWidth="1"/>
    <col min="15093" max="15341" width="9.140625" style="1448"/>
    <col min="15342" max="15342" width="14.85546875" style="1448" customWidth="1"/>
    <col min="15343" max="15347" width="9.140625" style="1448"/>
    <col min="15348" max="15348" width="29.28515625" style="1448" customWidth="1"/>
    <col min="15349" max="15597" width="9.140625" style="1448"/>
    <col min="15598" max="15598" width="14.85546875" style="1448" customWidth="1"/>
    <col min="15599" max="15603" width="9.140625" style="1448"/>
    <col min="15604" max="15604" width="29.28515625" style="1448" customWidth="1"/>
    <col min="15605" max="15853" width="9.140625" style="1448"/>
    <col min="15854" max="15854" width="14.85546875" style="1448" customWidth="1"/>
    <col min="15855" max="15859" width="9.140625" style="1448"/>
    <col min="15860" max="15860" width="29.28515625" style="1448" customWidth="1"/>
    <col min="15861" max="16109" width="9.140625" style="1448"/>
    <col min="16110" max="16110" width="14.85546875" style="1448" customWidth="1"/>
    <col min="16111" max="16115" width="9.140625" style="1448"/>
    <col min="16116" max="16116" width="29.28515625" style="1448" customWidth="1"/>
    <col min="16117" max="16384" width="9.140625" style="1448"/>
  </cols>
  <sheetData>
    <row r="1" spans="1:9">
      <c r="A1" s="1576" t="s">
        <v>1274</v>
      </c>
      <c r="B1" s="1576"/>
      <c r="C1" s="1576"/>
      <c r="D1" s="1576"/>
      <c r="E1" s="1576"/>
      <c r="F1" s="1576"/>
      <c r="G1" s="1576"/>
      <c r="H1" s="1576"/>
    </row>
    <row r="2" spans="1:9">
      <c r="A2" s="1415"/>
      <c r="B2" s="1449" t="s">
        <v>1253</v>
      </c>
      <c r="C2" s="1449" t="s">
        <v>1254</v>
      </c>
      <c r="D2" s="1449" t="s">
        <v>1255</v>
      </c>
      <c r="E2" s="1449" t="s">
        <v>1272</v>
      </c>
      <c r="F2" s="1449" t="s">
        <v>1259</v>
      </c>
      <c r="G2" s="1449" t="s">
        <v>1260</v>
      </c>
      <c r="H2" s="1450" t="s">
        <v>1273</v>
      </c>
    </row>
    <row r="3" spans="1:9">
      <c r="A3" s="1451">
        <v>2016</v>
      </c>
      <c r="B3" s="1459">
        <v>23726.602355146584</v>
      </c>
      <c r="C3" s="1459"/>
      <c r="D3" s="1459"/>
      <c r="E3" s="1459"/>
      <c r="F3" s="1459"/>
      <c r="G3" s="1459"/>
      <c r="H3" s="1459">
        <v>23726.602355146584</v>
      </c>
      <c r="I3" s="1453"/>
    </row>
    <row r="4" spans="1:9">
      <c r="A4" s="1451">
        <v>2017</v>
      </c>
      <c r="B4" s="1459">
        <v>25155.608112181537</v>
      </c>
      <c r="C4" s="1459">
        <v>43.731665841878566</v>
      </c>
      <c r="D4" s="1459">
        <v>37.367096009355009</v>
      </c>
      <c r="E4" s="1459">
        <v>107.21934794382105</v>
      </c>
      <c r="F4" s="1459">
        <v>43.731665841878566</v>
      </c>
      <c r="G4" s="1459">
        <v>60.648264776147698</v>
      </c>
      <c r="H4" s="1459">
        <v>25271.633000000002</v>
      </c>
    </row>
    <row r="5" spans="1:9">
      <c r="A5" s="1451">
        <v>2018</v>
      </c>
      <c r="B5" s="1459">
        <v>26188.310600900411</v>
      </c>
      <c r="C5" s="1459">
        <v>142.04269154523718</v>
      </c>
      <c r="D5" s="1459">
        <v>121.63565210689922</v>
      </c>
      <c r="E5" s="1459">
        <v>350.37322024632158</v>
      </c>
      <c r="F5" s="1459">
        <v>143.48524199793246</v>
      </c>
      <c r="G5" s="1459">
        <v>199.54367196677777</v>
      </c>
      <c r="H5" s="1459">
        <v>26565.9</v>
      </c>
    </row>
    <row r="6" spans="1:9">
      <c r="A6" s="1451">
        <v>2019</v>
      </c>
      <c r="B6" s="1459">
        <v>26995.758825671408</v>
      </c>
      <c r="C6" s="1459">
        <v>388.14451496325273</v>
      </c>
      <c r="D6" s="1459">
        <v>333.9995739527767</v>
      </c>
      <c r="E6" s="1459">
        <v>970.40900247010359</v>
      </c>
      <c r="F6" s="1459">
        <v>400.95435882468519</v>
      </c>
      <c r="G6" s="1459">
        <v>561.02025633408266</v>
      </c>
      <c r="H6" s="1459">
        <v>28032.043000000001</v>
      </c>
    </row>
    <row r="7" spans="1:9">
      <c r="A7" s="1454">
        <v>2020</v>
      </c>
      <c r="B7" s="1460">
        <v>27565.047053808496</v>
      </c>
      <c r="C7" s="1460">
        <v>754.65766860250369</v>
      </c>
      <c r="D7" s="1460">
        <v>655.32592171685974</v>
      </c>
      <c r="E7" s="1460">
        <v>1934.801873561908</v>
      </c>
      <c r="F7" s="1460">
        <v>812.646042668468</v>
      </c>
      <c r="G7" s="1460">
        <v>1149.8720753937814</v>
      </c>
      <c r="H7" s="1460">
        <v>29596.368999999999</v>
      </c>
    </row>
    <row r="8" spans="1:9">
      <c r="H8" s="1414" t="s">
        <v>3</v>
      </c>
    </row>
  </sheetData>
  <mergeCells count="1">
    <mergeCell ref="A1:H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1"/>
  <sheetViews>
    <sheetView showGridLines="0" workbookViewId="0"/>
  </sheetViews>
  <sheetFormatPr defaultRowHeight="12.75"/>
  <sheetData>
    <row r="1" spans="1:10">
      <c r="A1" s="92" t="s">
        <v>358</v>
      </c>
      <c r="J1" s="92" t="s">
        <v>359</v>
      </c>
    </row>
    <row r="20" spans="1:10">
      <c r="A20" s="1579"/>
      <c r="B20" s="1579"/>
      <c r="C20" s="1579"/>
      <c r="D20" s="1579"/>
      <c r="E20" s="1579"/>
      <c r="F20" s="1579"/>
      <c r="G20" s="1579"/>
      <c r="H20" s="1579"/>
      <c r="I20" s="1579"/>
      <c r="J20" s="1579"/>
    </row>
    <row r="21" spans="1:10">
      <c r="A21" s="8"/>
      <c r="B21" s="9">
        <v>2008</v>
      </c>
      <c r="C21" s="9">
        <v>2009</v>
      </c>
      <c r="D21" s="9">
        <v>2010</v>
      </c>
      <c r="E21" s="9">
        <v>2011</v>
      </c>
      <c r="F21" s="9">
        <v>2012</v>
      </c>
      <c r="G21" s="10">
        <v>2013</v>
      </c>
      <c r="H21" s="1">
        <v>2014</v>
      </c>
      <c r="I21" s="1">
        <v>2015</v>
      </c>
      <c r="J21" s="1">
        <v>2016</v>
      </c>
    </row>
    <row r="22" spans="1:10">
      <c r="A22" s="253" t="s">
        <v>186</v>
      </c>
      <c r="B22" s="253">
        <v>4.1159999999999997</v>
      </c>
      <c r="C22" s="253">
        <v>-282.83800000000002</v>
      </c>
      <c r="D22" s="253">
        <v>-541.95399999999995</v>
      </c>
      <c r="E22" s="253">
        <v>29.529</v>
      </c>
      <c r="F22" s="253">
        <v>82.281999999999996</v>
      </c>
      <c r="G22" s="253">
        <v>115.95099999999999</v>
      </c>
      <c r="H22" s="253">
        <v>-11.099</v>
      </c>
      <c r="I22" s="253">
        <v>64.558000000000007</v>
      </c>
      <c r="J22" s="253">
        <v>348.27399026999802</v>
      </c>
    </row>
    <row r="23" spans="1:10">
      <c r="A23" s="253" t="s">
        <v>187</v>
      </c>
      <c r="B23" s="253">
        <v>-1662.8050000000003</v>
      </c>
      <c r="C23" s="253">
        <v>-4996.4929999999986</v>
      </c>
      <c r="D23" s="253">
        <v>-5058.107</v>
      </c>
      <c r="E23" s="253">
        <v>-3020.6909999999989</v>
      </c>
      <c r="F23" s="253">
        <v>-3158.8849999999984</v>
      </c>
      <c r="G23" s="253">
        <v>-2017.4120000000003</v>
      </c>
      <c r="H23" s="253">
        <v>-2056.1159999999982</v>
      </c>
      <c r="I23" s="253">
        <v>-2159.5899999999965</v>
      </c>
      <c r="J23" s="253">
        <v>-1773.9130000000005</v>
      </c>
    </row>
    <row r="24" spans="1:10">
      <c r="A24" s="253"/>
      <c r="B24" s="253"/>
      <c r="C24" s="253"/>
      <c r="D24" s="253"/>
      <c r="E24" s="253"/>
      <c r="F24" s="253"/>
      <c r="G24" s="253"/>
      <c r="H24" s="253"/>
      <c r="I24" s="253"/>
      <c r="J24" s="253"/>
    </row>
    <row r="25" spans="1:10">
      <c r="A25" s="253"/>
      <c r="B25" s="253">
        <f>B22/B23*100</f>
        <v>-0.24753353520106081</v>
      </c>
      <c r="C25" s="253">
        <f t="shared" ref="C25:J25" si="0">C22/C23*100</f>
        <v>5.6607304363280422</v>
      </c>
      <c r="D25" s="253">
        <f t="shared" si="0"/>
        <v>10.714561791595155</v>
      </c>
      <c r="E25" s="253">
        <f t="shared" si="0"/>
        <v>-0.97755778396400062</v>
      </c>
      <c r="F25" s="253">
        <f t="shared" si="0"/>
        <v>-2.6047798511183546</v>
      </c>
      <c r="G25" s="253">
        <f t="shared" si="0"/>
        <v>-5.7475121591425049</v>
      </c>
      <c r="H25" s="253">
        <f t="shared" si="0"/>
        <v>0.53980417447264695</v>
      </c>
      <c r="I25" s="253">
        <f t="shared" si="0"/>
        <v>-2.9893637218175724</v>
      </c>
      <c r="J25" s="253">
        <f t="shared" si="0"/>
        <v>-19.633093069953144</v>
      </c>
    </row>
    <row r="26" spans="1:10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>
      <c r="A28" s="251" t="s">
        <v>190</v>
      </c>
      <c r="B28" s="252">
        <v>2008</v>
      </c>
      <c r="C28" s="252">
        <v>2009</v>
      </c>
      <c r="D28" s="252">
        <v>2010</v>
      </c>
      <c r="E28" s="252">
        <v>2011</v>
      </c>
      <c r="F28" s="252">
        <v>2012</v>
      </c>
      <c r="G28" s="252">
        <v>2013</v>
      </c>
      <c r="H28" s="252">
        <v>2014</v>
      </c>
      <c r="I28" s="252">
        <v>2015</v>
      </c>
      <c r="J28" s="252">
        <v>2016</v>
      </c>
    </row>
    <row r="29" spans="1:10">
      <c r="A29" s="254" t="s">
        <v>189</v>
      </c>
      <c r="B29" s="254">
        <v>4.1159999999999997</v>
      </c>
      <c r="C29" s="254">
        <v>-282.83800000000002</v>
      </c>
      <c r="D29" s="254">
        <v>-541.95399999999995</v>
      </c>
      <c r="E29" s="254">
        <v>29.529</v>
      </c>
      <c r="F29" s="254">
        <v>82.281999999999996</v>
      </c>
      <c r="G29" s="254">
        <v>115.95099999999999</v>
      </c>
      <c r="H29" s="254">
        <v>-11.099</v>
      </c>
      <c r="I29" s="254">
        <v>64.558000000000007</v>
      </c>
      <c r="J29" s="254">
        <v>348.27399026999802</v>
      </c>
    </row>
    <row r="30" spans="1:10">
      <c r="A30" s="254" t="s">
        <v>188</v>
      </c>
      <c r="B30" s="254">
        <v>0</v>
      </c>
      <c r="C30" s="254">
        <v>0</v>
      </c>
      <c r="D30" s="254">
        <v>0</v>
      </c>
      <c r="E30" s="254">
        <v>-75.858999999999995</v>
      </c>
      <c r="F30" s="254">
        <v>-25.218</v>
      </c>
      <c r="G30" s="254">
        <v>136.17500000000001</v>
      </c>
      <c r="H30" s="254">
        <v>22.356999999999999</v>
      </c>
      <c r="I30" s="254">
        <v>145.03700000000001</v>
      </c>
      <c r="J30" s="254">
        <v>109.88200000000001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</sheetData>
  <mergeCells count="1">
    <mergeCell ref="A20:J20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"/>
  <sheetViews>
    <sheetView showGridLines="0" workbookViewId="0"/>
  </sheetViews>
  <sheetFormatPr defaultRowHeight="15"/>
  <cols>
    <col min="1" max="1" width="37.28515625" style="530" customWidth="1"/>
    <col min="2" max="22" width="9.140625" style="530" customWidth="1"/>
    <col min="23" max="16384" width="9.140625" style="530"/>
  </cols>
  <sheetData>
    <row r="1" spans="1:16">
      <c r="A1" s="911" t="s">
        <v>903</v>
      </c>
      <c r="P1" s="911" t="s">
        <v>904</v>
      </c>
    </row>
    <row r="2" spans="1:16">
      <c r="A2" s="776"/>
      <c r="B2" s="776">
        <v>2008</v>
      </c>
      <c r="C2" s="776">
        <v>2009</v>
      </c>
      <c r="D2" s="776">
        <v>2010</v>
      </c>
      <c r="E2" s="776">
        <v>2011</v>
      </c>
      <c r="F2" s="776">
        <v>2012</v>
      </c>
      <c r="G2" s="776">
        <v>2013</v>
      </c>
      <c r="H2" s="776">
        <v>2014</v>
      </c>
      <c r="I2" s="776">
        <v>2015</v>
      </c>
      <c r="J2" s="776">
        <v>2016</v>
      </c>
      <c r="K2" s="776">
        <v>2017</v>
      </c>
      <c r="L2" s="776">
        <v>2018</v>
      </c>
      <c r="M2" s="776">
        <v>2019</v>
      </c>
      <c r="N2" s="776">
        <v>2020</v>
      </c>
    </row>
    <row r="3" spans="1:16">
      <c r="A3" s="599" t="s">
        <v>905</v>
      </c>
      <c r="B3" s="1012">
        <v>0.66380110845709539</v>
      </c>
      <c r="C3" s="1012">
        <v>0.67599998906644643</v>
      </c>
      <c r="D3" s="1012">
        <v>0.55682969281104755</v>
      </c>
      <c r="E3" s="1012">
        <v>0.58560921429704138</v>
      </c>
      <c r="F3" s="1012">
        <v>0.44049164620685388</v>
      </c>
      <c r="G3" s="1012">
        <v>0.32324493763642664</v>
      </c>
      <c r="H3" s="1012">
        <v>0.30248476102607769</v>
      </c>
      <c r="I3" s="1012">
        <v>0.37997050215219019</v>
      </c>
      <c r="J3" s="1012">
        <v>0.49512422027532149</v>
      </c>
      <c r="K3" s="1012">
        <v>0.48903134014402044</v>
      </c>
      <c r="L3" s="1012">
        <v>0.32472297810527112</v>
      </c>
      <c r="M3" s="1012">
        <v>0.2421278317173349</v>
      </c>
      <c r="N3" s="1012">
        <v>0.23013357883401148</v>
      </c>
    </row>
    <row r="4" spans="1:16">
      <c r="A4" s="815" t="s">
        <v>889</v>
      </c>
      <c r="B4" s="1012">
        <v>3.9648657645609091E-2</v>
      </c>
      <c r="C4" s="1012">
        <v>6.5559149744389145E-2</v>
      </c>
      <c r="D4" s="1012">
        <v>4.3268967537915835E-2</v>
      </c>
      <c r="E4" s="1012">
        <v>6.3190951927869152E-3</v>
      </c>
      <c r="F4" s="1012">
        <v>5.8690434435756189E-3</v>
      </c>
      <c r="G4" s="1012">
        <v>6.0428826248923083E-3</v>
      </c>
      <c r="H4" s="1012">
        <v>1.1343474249485463E-2</v>
      </c>
      <c r="I4" s="1012">
        <v>0.2278621077767807</v>
      </c>
      <c r="J4" s="1012">
        <v>0.21627901709695865</v>
      </c>
      <c r="K4" s="1012">
        <v>0.21340760732042022</v>
      </c>
      <c r="L4" s="1012">
        <v>0.27511362363018904</v>
      </c>
      <c r="M4" s="1012">
        <v>0.3333088011829568</v>
      </c>
      <c r="N4" s="1012">
        <v>0.42936319851254101</v>
      </c>
    </row>
    <row r="5" spans="1:16">
      <c r="A5" s="609" t="s">
        <v>906</v>
      </c>
      <c r="B5" s="1012">
        <v>0.49150623021427781</v>
      </c>
      <c r="C5" s="1012">
        <v>0.49150623021427781</v>
      </c>
      <c r="D5" s="1012">
        <v>0.49150623021427781</v>
      </c>
      <c r="E5" s="1012">
        <v>0.49150623021427781</v>
      </c>
      <c r="F5" s="1012">
        <v>0.49150623021427781</v>
      </c>
      <c r="G5" s="1012">
        <v>0.49150623021427781</v>
      </c>
      <c r="H5" s="1012">
        <v>0.49150623021427781</v>
      </c>
      <c r="I5" s="1012">
        <v>0.49150623021427781</v>
      </c>
      <c r="J5" s="1012">
        <v>0.49150623021427781</v>
      </c>
    </row>
    <row r="6" spans="1:16">
      <c r="A6" s="816" t="s">
        <v>907</v>
      </c>
      <c r="B6" s="870"/>
      <c r="C6" s="870"/>
      <c r="D6" s="870"/>
      <c r="E6" s="870"/>
      <c r="F6" s="870"/>
      <c r="G6" s="870"/>
      <c r="H6" s="870"/>
      <c r="I6" s="870"/>
      <c r="J6" s="870"/>
      <c r="K6" s="1011">
        <v>0</v>
      </c>
      <c r="L6" s="1011">
        <v>6.6783252109006652E-2</v>
      </c>
      <c r="M6" s="1011">
        <v>0.14937839849694295</v>
      </c>
      <c r="N6" s="1011">
        <v>0.16137265138026627</v>
      </c>
    </row>
    <row r="7" spans="1:16">
      <c r="A7" s="953" t="s">
        <v>12</v>
      </c>
      <c r="B7" s="954">
        <v>68491.600000000006</v>
      </c>
      <c r="C7" s="954">
        <v>64023.1</v>
      </c>
      <c r="D7" s="954">
        <v>67577.3</v>
      </c>
      <c r="E7" s="954">
        <v>70627.199999999997</v>
      </c>
      <c r="F7" s="954">
        <v>72703.5</v>
      </c>
      <c r="G7" s="954">
        <v>74169.899999999994</v>
      </c>
      <c r="H7" s="954">
        <v>76087.8</v>
      </c>
      <c r="I7" s="954">
        <v>78896.399999999994</v>
      </c>
      <c r="J7" s="1013">
        <v>81153.966</v>
      </c>
      <c r="K7" s="1013">
        <v>84804.380814911434</v>
      </c>
      <c r="L7" s="1013">
        <v>89711.931289802116</v>
      </c>
      <c r="M7" s="1013">
        <v>95491.487434588285</v>
      </c>
      <c r="N7" s="1013">
        <v>101251.89734613503</v>
      </c>
    </row>
  </sheetData>
  <pageMargins left="0.7" right="0.7" top="0.75" bottom="0.75" header="0.3" footer="0.3"/>
  <pageSetup paperSize="9" scale="71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424"/>
  <sheetViews>
    <sheetView showGridLines="0" zoomScaleNormal="100" workbookViewId="0">
      <pane xSplit="2" ySplit="3" topLeftCell="C4" activePane="bottomRight" state="frozen"/>
      <selection activeCell="A12" sqref="A12"/>
      <selection pane="topRight" activeCell="A12" sqref="A12"/>
      <selection pane="bottomLeft" activeCell="A12" sqref="A12"/>
      <selection pane="bottomRight" sqref="A1:B1"/>
    </sheetView>
  </sheetViews>
  <sheetFormatPr defaultColWidth="9.140625" defaultRowHeight="12.75"/>
  <cols>
    <col min="1" max="1" width="43" style="947" customWidth="1"/>
    <col min="2" max="14" width="9.140625" style="947" customWidth="1"/>
    <col min="15" max="15" width="10.140625" style="947" customWidth="1"/>
    <col min="16" max="21" width="9.140625" style="947" customWidth="1"/>
    <col min="22" max="22" width="9.140625" style="1016" customWidth="1"/>
    <col min="23" max="28" width="9.140625" style="947" customWidth="1"/>
    <col min="29" max="16384" width="9.140625" style="947"/>
  </cols>
  <sheetData>
    <row r="1" spans="1:247">
      <c r="A1" s="1580"/>
      <c r="B1" s="1580"/>
      <c r="C1" s="1014"/>
      <c r="D1" s="1581" t="s">
        <v>908</v>
      </c>
      <c r="E1" s="1581"/>
      <c r="F1" s="1581"/>
      <c r="G1" s="1582"/>
      <c r="H1" s="1581" t="s">
        <v>687</v>
      </c>
      <c r="I1" s="1581"/>
      <c r="J1" s="1581"/>
      <c r="K1" s="1581"/>
      <c r="M1" s="1581" t="s">
        <v>909</v>
      </c>
      <c r="N1" s="1581"/>
      <c r="O1" s="1581"/>
      <c r="P1" s="1581"/>
      <c r="Q1" s="1582"/>
      <c r="R1" s="1580" t="s">
        <v>910</v>
      </c>
      <c r="S1" s="1580"/>
      <c r="T1" s="1580"/>
      <c r="U1" s="1015"/>
      <c r="W1" s="1581" t="s">
        <v>911</v>
      </c>
      <c r="X1" s="1581"/>
      <c r="Y1" s="1581"/>
      <c r="Z1" s="1581"/>
      <c r="AA1" s="1017"/>
      <c r="AB1" s="1017"/>
      <c r="AC1" s="1017"/>
      <c r="AD1" s="1017"/>
      <c r="AE1" s="1017"/>
      <c r="AF1" s="1017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/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  <c r="BU1" s="1017"/>
      <c r="BV1" s="1017"/>
      <c r="BW1" s="1017"/>
      <c r="BX1" s="1017"/>
      <c r="BY1" s="1017"/>
      <c r="BZ1" s="1017"/>
      <c r="CA1" s="1017"/>
      <c r="CB1" s="1017"/>
      <c r="CC1" s="1017"/>
      <c r="CD1" s="1017"/>
      <c r="CE1" s="1017"/>
      <c r="CF1" s="1017"/>
      <c r="CG1" s="1017"/>
      <c r="CH1" s="1017"/>
      <c r="CI1" s="1017"/>
      <c r="CJ1" s="1017"/>
      <c r="CK1" s="1017"/>
      <c r="CL1" s="1017"/>
      <c r="CM1" s="1017"/>
      <c r="CN1" s="1017"/>
      <c r="CO1" s="1017"/>
      <c r="CP1" s="1017"/>
      <c r="CQ1" s="1017"/>
      <c r="CR1" s="1017"/>
      <c r="CS1" s="1017"/>
      <c r="CT1" s="1017"/>
      <c r="CU1" s="1017"/>
      <c r="CV1" s="1017"/>
      <c r="CW1" s="1017"/>
      <c r="CX1" s="1017"/>
      <c r="CY1" s="1017"/>
      <c r="CZ1" s="1017"/>
      <c r="DA1" s="1017"/>
      <c r="DB1" s="1017"/>
      <c r="DC1" s="1017"/>
      <c r="DD1" s="1017"/>
      <c r="DE1" s="1017"/>
      <c r="DF1" s="1017"/>
      <c r="DG1" s="1017"/>
      <c r="DH1" s="1017"/>
      <c r="DI1" s="1017"/>
      <c r="DJ1" s="1017"/>
      <c r="DK1" s="1017"/>
      <c r="DL1" s="1017"/>
      <c r="DM1" s="1017"/>
      <c r="DN1" s="1017"/>
      <c r="DO1" s="1017"/>
      <c r="DP1" s="1017"/>
      <c r="DQ1" s="1017"/>
      <c r="DR1" s="1017"/>
      <c r="DS1" s="1017"/>
      <c r="DT1" s="1017"/>
      <c r="DU1" s="1017"/>
      <c r="DV1" s="1017"/>
      <c r="DW1" s="1017"/>
      <c r="DX1" s="1017"/>
      <c r="DY1" s="1017"/>
      <c r="DZ1" s="1017"/>
      <c r="EA1" s="1017"/>
      <c r="EB1" s="1017"/>
      <c r="EC1" s="1017"/>
      <c r="ED1" s="1017"/>
      <c r="EE1" s="1017"/>
      <c r="EF1" s="1017"/>
      <c r="EG1" s="1017"/>
      <c r="EH1" s="1017"/>
      <c r="EI1" s="1017"/>
      <c r="EJ1" s="1017"/>
      <c r="EK1" s="1017"/>
      <c r="EL1" s="1017"/>
      <c r="EM1" s="1017"/>
      <c r="EN1" s="1017"/>
      <c r="EO1" s="1017"/>
      <c r="EP1" s="1017"/>
      <c r="EQ1" s="1017"/>
      <c r="ER1" s="1017"/>
      <c r="ES1" s="1017"/>
      <c r="ET1" s="1017"/>
      <c r="EU1" s="1017"/>
      <c r="EV1" s="1017"/>
      <c r="EW1" s="1017"/>
      <c r="EX1" s="1017"/>
      <c r="EY1" s="1017"/>
      <c r="EZ1" s="1017"/>
      <c r="FA1" s="1017"/>
      <c r="FB1" s="1017"/>
      <c r="FC1" s="1017"/>
      <c r="FD1" s="1017"/>
      <c r="FE1" s="1017"/>
      <c r="FF1" s="1017"/>
      <c r="FG1" s="1017"/>
      <c r="FH1" s="1017"/>
      <c r="FI1" s="1017"/>
      <c r="FJ1" s="1017"/>
      <c r="FK1" s="1017"/>
      <c r="FL1" s="1017"/>
      <c r="FM1" s="1017"/>
      <c r="FN1" s="1017"/>
      <c r="FO1" s="1017"/>
      <c r="FP1" s="1017"/>
      <c r="FQ1" s="1017"/>
      <c r="FR1" s="1017"/>
      <c r="FS1" s="1017"/>
      <c r="FT1" s="1017"/>
      <c r="FU1" s="1017"/>
      <c r="FV1" s="1017"/>
      <c r="FW1" s="1017"/>
      <c r="FX1" s="1017"/>
      <c r="FY1" s="1017"/>
      <c r="FZ1" s="1017"/>
      <c r="GA1" s="1017"/>
      <c r="GB1" s="1017"/>
      <c r="GC1" s="1017"/>
      <c r="GD1" s="1017"/>
      <c r="GE1" s="1017"/>
      <c r="GF1" s="1017"/>
      <c r="GG1" s="1017"/>
      <c r="GH1" s="1017"/>
      <c r="GI1" s="1017"/>
      <c r="GJ1" s="1017"/>
      <c r="GK1" s="1017"/>
      <c r="GL1" s="1017"/>
      <c r="GM1" s="1017"/>
      <c r="GN1" s="1017"/>
      <c r="GO1" s="1017"/>
      <c r="GP1" s="1017"/>
      <c r="GQ1" s="1017"/>
      <c r="GR1" s="1017"/>
      <c r="GS1" s="1017"/>
      <c r="GT1" s="1017"/>
      <c r="GU1" s="1017"/>
      <c r="GV1" s="1017"/>
      <c r="GW1" s="1017"/>
      <c r="GX1" s="1017"/>
      <c r="GY1" s="1017"/>
      <c r="GZ1" s="1017"/>
      <c r="HA1" s="1017"/>
      <c r="HB1" s="1017"/>
      <c r="HC1" s="1017"/>
      <c r="HD1" s="1017"/>
      <c r="HE1" s="1017"/>
      <c r="HF1" s="1017"/>
      <c r="HG1" s="1017"/>
      <c r="HH1" s="1017"/>
      <c r="HI1" s="1017"/>
      <c r="HJ1" s="1017"/>
      <c r="HK1" s="1017"/>
      <c r="HL1" s="1017"/>
      <c r="HM1" s="1017"/>
      <c r="HN1" s="1017"/>
      <c r="HO1" s="1017"/>
      <c r="HP1" s="1017"/>
      <c r="HQ1" s="1017"/>
      <c r="HR1" s="1017"/>
      <c r="HS1" s="1017"/>
      <c r="HT1" s="1017"/>
      <c r="HU1" s="1017"/>
      <c r="HV1" s="1017"/>
      <c r="HW1" s="1017"/>
      <c r="HX1" s="1017"/>
      <c r="HY1" s="1017"/>
      <c r="HZ1" s="1017"/>
      <c r="IA1" s="1017"/>
      <c r="IB1" s="1017"/>
      <c r="IC1" s="1017"/>
      <c r="ID1" s="1017"/>
      <c r="IE1" s="1017"/>
      <c r="IF1" s="1017"/>
      <c r="IG1" s="1017"/>
      <c r="IH1" s="1017"/>
      <c r="II1" s="1017"/>
      <c r="IJ1" s="1017"/>
      <c r="IK1" s="1017"/>
      <c r="IL1" s="1017"/>
      <c r="IM1" s="1017"/>
    </row>
    <row r="2" spans="1:247" ht="12.75" customHeight="1">
      <c r="A2" s="1018" t="s">
        <v>912</v>
      </c>
      <c r="B2" s="1585" t="s">
        <v>913</v>
      </c>
      <c r="C2" s="1595" t="s">
        <v>409</v>
      </c>
      <c r="D2" s="1585" t="s">
        <v>914</v>
      </c>
      <c r="E2" s="1585" t="s">
        <v>609</v>
      </c>
      <c r="F2" s="1585" t="s">
        <v>610</v>
      </c>
      <c r="G2" s="1586" t="s">
        <v>611</v>
      </c>
      <c r="H2" s="1585" t="s">
        <v>410</v>
      </c>
      <c r="I2" s="1585" t="s">
        <v>411</v>
      </c>
      <c r="J2" s="1585" t="s">
        <v>412</v>
      </c>
      <c r="K2" s="1585" t="s">
        <v>413</v>
      </c>
      <c r="M2" s="1019" t="s">
        <v>915</v>
      </c>
      <c r="N2" s="1594" t="s">
        <v>916</v>
      </c>
      <c r="O2" s="1585" t="s">
        <v>756</v>
      </c>
      <c r="P2" s="1585" t="s">
        <v>757</v>
      </c>
      <c r="Q2" s="1586" t="s">
        <v>758</v>
      </c>
      <c r="R2" s="1587">
        <v>2018</v>
      </c>
      <c r="S2" s="1589">
        <v>2019</v>
      </c>
      <c r="T2" s="1591">
        <v>2020</v>
      </c>
      <c r="U2" s="1583" t="s">
        <v>917</v>
      </c>
      <c r="V2" s="1020"/>
      <c r="W2" s="1597" t="str">
        <f>O2</f>
        <v>2018 NPC</v>
      </c>
      <c r="X2" s="1598" t="s">
        <v>918</v>
      </c>
      <c r="Y2" s="1597" t="s">
        <v>919</v>
      </c>
      <c r="Z2" s="1583" t="s">
        <v>920</v>
      </c>
      <c r="AA2" s="1017"/>
      <c r="AB2" s="1017"/>
      <c r="AC2" s="1017"/>
      <c r="AD2" s="1017"/>
      <c r="AE2" s="1017"/>
      <c r="AF2" s="1017"/>
      <c r="AG2" s="1017"/>
      <c r="AH2" s="1017"/>
      <c r="AI2" s="1017"/>
      <c r="AJ2" s="1017"/>
      <c r="AK2" s="1017"/>
      <c r="AL2" s="1017"/>
      <c r="AM2" s="1017"/>
      <c r="AN2" s="1017"/>
      <c r="AO2" s="1017"/>
      <c r="AP2" s="1017"/>
      <c r="AQ2" s="1017"/>
      <c r="AR2" s="1017"/>
      <c r="AS2" s="1017"/>
      <c r="AT2" s="1017"/>
      <c r="AU2" s="1017"/>
      <c r="AV2" s="1017"/>
      <c r="AW2" s="1017"/>
      <c r="AX2" s="1017"/>
      <c r="AY2" s="1017"/>
      <c r="AZ2" s="1017"/>
      <c r="BA2" s="1017"/>
      <c r="BB2" s="1017"/>
      <c r="BC2" s="1017"/>
      <c r="BD2" s="1017"/>
      <c r="BE2" s="1017"/>
      <c r="BF2" s="1017"/>
      <c r="BG2" s="1017"/>
      <c r="BH2" s="1017"/>
      <c r="BI2" s="1017"/>
      <c r="BJ2" s="1017"/>
      <c r="BK2" s="1017"/>
      <c r="BL2" s="1017"/>
      <c r="BM2" s="1017"/>
      <c r="BN2" s="1017"/>
      <c r="BO2" s="1017"/>
      <c r="BP2" s="1017"/>
      <c r="BQ2" s="1017"/>
      <c r="BR2" s="1017"/>
      <c r="BS2" s="1017"/>
      <c r="BT2" s="1017"/>
      <c r="BU2" s="1017"/>
      <c r="BV2" s="1017"/>
      <c r="BW2" s="1017"/>
      <c r="BX2" s="1017"/>
      <c r="BY2" s="1017"/>
      <c r="BZ2" s="1017"/>
      <c r="CA2" s="1017"/>
      <c r="CB2" s="1017"/>
      <c r="CC2" s="1017"/>
      <c r="CD2" s="1017"/>
      <c r="CE2" s="1017"/>
      <c r="CF2" s="1017"/>
      <c r="CG2" s="1017"/>
      <c r="CH2" s="1017"/>
      <c r="CI2" s="1017"/>
      <c r="CJ2" s="1017"/>
      <c r="CK2" s="1017"/>
      <c r="CL2" s="1017"/>
      <c r="CM2" s="1017"/>
      <c r="CN2" s="1017"/>
      <c r="CO2" s="1017"/>
      <c r="CP2" s="1017"/>
      <c r="CQ2" s="1017"/>
      <c r="CR2" s="1017"/>
      <c r="CS2" s="1017"/>
      <c r="CT2" s="1017"/>
      <c r="CU2" s="1017"/>
      <c r="CV2" s="1017"/>
      <c r="CW2" s="1017"/>
      <c r="CX2" s="1017"/>
      <c r="CY2" s="1017"/>
      <c r="CZ2" s="1017"/>
      <c r="DA2" s="1017"/>
      <c r="DB2" s="1017"/>
      <c r="DC2" s="1017"/>
      <c r="DD2" s="1017"/>
      <c r="DE2" s="1017"/>
      <c r="DF2" s="1017"/>
      <c r="DG2" s="1017"/>
      <c r="DH2" s="1017"/>
      <c r="DI2" s="1017"/>
      <c r="DJ2" s="1017"/>
      <c r="DK2" s="1017"/>
      <c r="DL2" s="1017"/>
      <c r="DM2" s="1017"/>
      <c r="DN2" s="1017"/>
      <c r="DO2" s="1017"/>
      <c r="DP2" s="1017"/>
      <c r="DQ2" s="1017"/>
      <c r="DR2" s="1017"/>
      <c r="DS2" s="1017"/>
      <c r="DT2" s="1017"/>
      <c r="DU2" s="1017"/>
      <c r="DV2" s="1017"/>
      <c r="DW2" s="1017"/>
      <c r="DX2" s="1017"/>
      <c r="DY2" s="1017"/>
      <c r="DZ2" s="1017"/>
      <c r="EA2" s="1017"/>
      <c r="EB2" s="1017"/>
      <c r="EC2" s="1017"/>
      <c r="ED2" s="1017"/>
      <c r="EE2" s="1017"/>
      <c r="EF2" s="1017"/>
      <c r="EG2" s="1017"/>
      <c r="EH2" s="1017"/>
      <c r="EI2" s="1017"/>
      <c r="EJ2" s="1017"/>
      <c r="EK2" s="1017"/>
      <c r="EL2" s="1017"/>
      <c r="EM2" s="1017"/>
      <c r="EN2" s="1017"/>
      <c r="EO2" s="1017"/>
      <c r="EP2" s="1017"/>
      <c r="EQ2" s="1017"/>
      <c r="ER2" s="1017"/>
      <c r="ES2" s="1017"/>
      <c r="ET2" s="1017"/>
      <c r="EU2" s="1017"/>
      <c r="EV2" s="1017"/>
      <c r="EW2" s="1017"/>
      <c r="EX2" s="1017"/>
      <c r="EY2" s="1017"/>
      <c r="EZ2" s="1017"/>
      <c r="FA2" s="1017"/>
      <c r="FB2" s="1017"/>
      <c r="FC2" s="1017"/>
      <c r="FD2" s="1017"/>
      <c r="FE2" s="1017"/>
      <c r="FF2" s="1017"/>
      <c r="FG2" s="1017"/>
      <c r="FH2" s="1017"/>
      <c r="FI2" s="1017"/>
      <c r="FJ2" s="1017"/>
      <c r="FK2" s="1017"/>
      <c r="FL2" s="1017"/>
      <c r="FM2" s="1017"/>
      <c r="FN2" s="1017"/>
      <c r="FO2" s="1017"/>
      <c r="FP2" s="1017"/>
      <c r="FQ2" s="1017"/>
      <c r="FR2" s="1017"/>
      <c r="FS2" s="1017"/>
      <c r="FT2" s="1017"/>
      <c r="FU2" s="1017"/>
      <c r="FV2" s="1017"/>
      <c r="FW2" s="1017"/>
      <c r="FX2" s="1017"/>
      <c r="FY2" s="1017"/>
      <c r="FZ2" s="1017"/>
      <c r="GA2" s="1017"/>
      <c r="GB2" s="1017"/>
      <c r="GC2" s="1017"/>
      <c r="GD2" s="1017"/>
      <c r="GE2" s="1017"/>
      <c r="GF2" s="1017"/>
      <c r="GG2" s="1017"/>
      <c r="GH2" s="1017"/>
      <c r="GI2" s="1017"/>
      <c r="GJ2" s="1017"/>
      <c r="GK2" s="1017"/>
      <c r="GL2" s="1017"/>
      <c r="GM2" s="1017"/>
      <c r="GN2" s="1017"/>
      <c r="GO2" s="1017"/>
      <c r="GP2" s="1017"/>
      <c r="GQ2" s="1017"/>
      <c r="GR2" s="1017"/>
      <c r="GS2" s="1017"/>
      <c r="GT2" s="1017"/>
      <c r="GU2" s="1017"/>
      <c r="GV2" s="1017"/>
      <c r="GW2" s="1017"/>
      <c r="GX2" s="1017"/>
      <c r="GY2" s="1017"/>
      <c r="GZ2" s="1017"/>
      <c r="HA2" s="1017"/>
      <c r="HB2" s="1017"/>
      <c r="HC2" s="1017"/>
      <c r="HD2" s="1017"/>
      <c r="HE2" s="1017"/>
      <c r="HF2" s="1017"/>
      <c r="HG2" s="1017"/>
      <c r="HH2" s="1017"/>
      <c r="HI2" s="1017"/>
      <c r="HJ2" s="1017"/>
      <c r="HK2" s="1017"/>
      <c r="HL2" s="1017"/>
      <c r="HM2" s="1017"/>
      <c r="HN2" s="1017"/>
      <c r="HO2" s="1017"/>
      <c r="HP2" s="1017"/>
      <c r="HQ2" s="1017"/>
      <c r="HR2" s="1017"/>
      <c r="HS2" s="1017"/>
      <c r="HT2" s="1017"/>
      <c r="HU2" s="1017"/>
      <c r="HV2" s="1017"/>
      <c r="HW2" s="1017"/>
      <c r="HX2" s="1017"/>
      <c r="HY2" s="1017"/>
      <c r="HZ2" s="1017"/>
      <c r="IA2" s="1017"/>
      <c r="IB2" s="1017"/>
      <c r="IC2" s="1017"/>
      <c r="ID2" s="1017"/>
      <c r="IE2" s="1017"/>
      <c r="IF2" s="1017"/>
      <c r="IG2" s="1017"/>
      <c r="IH2" s="1017"/>
      <c r="II2" s="1017"/>
      <c r="IJ2" s="1017"/>
      <c r="IK2" s="1017"/>
      <c r="IL2" s="1017"/>
      <c r="IM2" s="1017"/>
    </row>
    <row r="3" spans="1:247">
      <c r="A3" s="1018"/>
      <c r="B3" s="1585"/>
      <c r="C3" s="1595"/>
      <c r="D3" s="1585"/>
      <c r="E3" s="1585"/>
      <c r="F3" s="1585"/>
      <c r="G3" s="1586"/>
      <c r="H3" s="1585"/>
      <c r="I3" s="1585"/>
      <c r="J3" s="1585"/>
      <c r="K3" s="1585"/>
      <c r="M3" s="1021" t="s">
        <v>921</v>
      </c>
      <c r="N3" s="1594"/>
      <c r="O3" s="1585"/>
      <c r="P3" s="1585"/>
      <c r="Q3" s="1586"/>
      <c r="R3" s="1588"/>
      <c r="S3" s="1590"/>
      <c r="T3" s="1592"/>
      <c r="U3" s="1593"/>
      <c r="V3" s="1020"/>
      <c r="W3" s="1597"/>
      <c r="X3" s="1594"/>
      <c r="Y3" s="1597"/>
      <c r="Z3" s="1584"/>
      <c r="AA3" s="1017"/>
      <c r="AB3" s="1017"/>
      <c r="AC3" s="1017"/>
      <c r="AD3" s="1017"/>
      <c r="AE3" s="1017"/>
      <c r="AF3" s="1017"/>
      <c r="AG3" s="1017"/>
      <c r="AH3" s="1017"/>
      <c r="AI3" s="1017"/>
      <c r="AJ3" s="1017"/>
      <c r="AK3" s="1017"/>
      <c r="AL3" s="1017"/>
      <c r="AM3" s="1017"/>
      <c r="AN3" s="1017"/>
      <c r="AO3" s="1017"/>
      <c r="AP3" s="1017"/>
      <c r="AQ3" s="1017"/>
      <c r="AR3" s="1017"/>
      <c r="AS3" s="1017"/>
      <c r="AT3" s="1017"/>
      <c r="AU3" s="1017"/>
      <c r="AV3" s="1017"/>
      <c r="AW3" s="1017"/>
      <c r="AX3" s="1017"/>
      <c r="AY3" s="1017"/>
      <c r="AZ3" s="1017"/>
      <c r="BA3" s="1017"/>
      <c r="BB3" s="1017"/>
      <c r="BC3" s="1017"/>
      <c r="BD3" s="1017"/>
      <c r="BE3" s="1017"/>
      <c r="BF3" s="1017"/>
      <c r="BG3" s="1017"/>
      <c r="BH3" s="1017"/>
      <c r="BI3" s="1017"/>
      <c r="BJ3" s="1017"/>
      <c r="BK3" s="1017"/>
      <c r="BL3" s="1017"/>
      <c r="BM3" s="1017"/>
      <c r="BN3" s="1017"/>
      <c r="BO3" s="1017"/>
      <c r="BP3" s="1017"/>
      <c r="BQ3" s="1017"/>
      <c r="BR3" s="1017"/>
      <c r="BS3" s="1017"/>
      <c r="BT3" s="1017"/>
      <c r="BU3" s="1017"/>
      <c r="BV3" s="1017"/>
      <c r="BW3" s="1017"/>
      <c r="BX3" s="1017"/>
      <c r="BY3" s="1017"/>
      <c r="BZ3" s="1017"/>
      <c r="CA3" s="1017"/>
      <c r="CB3" s="1017"/>
      <c r="CC3" s="1017"/>
      <c r="CD3" s="1017"/>
      <c r="CE3" s="1017"/>
      <c r="CF3" s="1017"/>
      <c r="CG3" s="1017"/>
      <c r="CH3" s="1017"/>
      <c r="CI3" s="1017"/>
      <c r="CJ3" s="1017"/>
      <c r="CK3" s="1017"/>
      <c r="CL3" s="1017"/>
      <c r="CM3" s="1017"/>
      <c r="CN3" s="1017"/>
      <c r="CO3" s="1017"/>
      <c r="CP3" s="1017"/>
      <c r="CQ3" s="1017"/>
      <c r="CR3" s="1017"/>
      <c r="CS3" s="1017"/>
      <c r="CT3" s="1017"/>
      <c r="CU3" s="1017"/>
      <c r="CV3" s="1017"/>
      <c r="CW3" s="1017"/>
      <c r="CX3" s="1017"/>
      <c r="CY3" s="1017"/>
      <c r="CZ3" s="1017"/>
      <c r="DA3" s="1017"/>
      <c r="DB3" s="1017"/>
      <c r="DC3" s="1017"/>
      <c r="DD3" s="1017"/>
      <c r="DE3" s="1017"/>
      <c r="DF3" s="1017"/>
      <c r="DG3" s="1017"/>
      <c r="DH3" s="1017"/>
      <c r="DI3" s="1017"/>
      <c r="DJ3" s="1017"/>
      <c r="DK3" s="1017"/>
      <c r="DL3" s="1017"/>
      <c r="DM3" s="1017"/>
      <c r="DN3" s="1017"/>
      <c r="DO3" s="1017"/>
      <c r="DP3" s="1017"/>
      <c r="DQ3" s="1017"/>
      <c r="DR3" s="1017"/>
      <c r="DS3" s="1017"/>
      <c r="DT3" s="1017"/>
      <c r="DU3" s="1017"/>
      <c r="DV3" s="1017"/>
      <c r="DW3" s="1017"/>
      <c r="DX3" s="1017"/>
      <c r="DY3" s="1017"/>
      <c r="DZ3" s="1017"/>
      <c r="EA3" s="1017"/>
      <c r="EB3" s="1017"/>
      <c r="EC3" s="1017"/>
      <c r="ED3" s="1017"/>
      <c r="EE3" s="1017"/>
      <c r="EF3" s="1017"/>
      <c r="EG3" s="1017"/>
      <c r="EH3" s="1017"/>
      <c r="EI3" s="1017"/>
      <c r="EJ3" s="1017"/>
      <c r="EK3" s="1017"/>
      <c r="EL3" s="1017"/>
      <c r="EM3" s="1017"/>
      <c r="EN3" s="1017"/>
      <c r="EO3" s="1017"/>
      <c r="EP3" s="1017"/>
      <c r="EQ3" s="1017"/>
      <c r="ER3" s="1017"/>
      <c r="ES3" s="1017"/>
      <c r="ET3" s="1017"/>
      <c r="EU3" s="1017"/>
      <c r="EV3" s="1017"/>
      <c r="EW3" s="1017"/>
      <c r="EX3" s="1017"/>
      <c r="EY3" s="1017"/>
      <c r="EZ3" s="1017"/>
      <c r="FA3" s="1017"/>
      <c r="FB3" s="1017"/>
      <c r="FC3" s="1017"/>
      <c r="FD3" s="1017"/>
      <c r="FE3" s="1017"/>
      <c r="FF3" s="1017"/>
      <c r="FG3" s="1017"/>
      <c r="FH3" s="1017"/>
      <c r="FI3" s="1017"/>
      <c r="FJ3" s="1017"/>
      <c r="FK3" s="1017"/>
      <c r="FL3" s="1017"/>
      <c r="FM3" s="1017"/>
      <c r="FN3" s="1017"/>
      <c r="FO3" s="1017"/>
      <c r="FP3" s="1017"/>
      <c r="FQ3" s="1017"/>
      <c r="FR3" s="1017"/>
      <c r="FS3" s="1017"/>
      <c r="FT3" s="1017"/>
      <c r="FU3" s="1017"/>
      <c r="FV3" s="1017"/>
      <c r="FW3" s="1017"/>
      <c r="FX3" s="1017"/>
      <c r="FY3" s="1017"/>
      <c r="FZ3" s="1017"/>
      <c r="GA3" s="1017"/>
      <c r="GB3" s="1017"/>
      <c r="GC3" s="1017"/>
      <c r="GD3" s="1017"/>
      <c r="GE3" s="1017"/>
      <c r="GF3" s="1017"/>
      <c r="GG3" s="1017"/>
      <c r="GH3" s="1017"/>
      <c r="GI3" s="1017"/>
      <c r="GJ3" s="1017"/>
      <c r="GK3" s="1017"/>
      <c r="GL3" s="1017"/>
      <c r="GM3" s="1017"/>
      <c r="GN3" s="1017"/>
      <c r="GO3" s="1017"/>
      <c r="GP3" s="1017"/>
      <c r="GQ3" s="1017"/>
      <c r="GR3" s="1017"/>
      <c r="GS3" s="1017"/>
      <c r="GT3" s="1017"/>
      <c r="GU3" s="1017"/>
      <c r="GV3" s="1017"/>
      <c r="GW3" s="1017"/>
      <c r="GX3" s="1017"/>
      <c r="GY3" s="1017"/>
      <c r="GZ3" s="1017"/>
      <c r="HA3" s="1017"/>
      <c r="HB3" s="1017"/>
      <c r="HC3" s="1017"/>
      <c r="HD3" s="1017"/>
      <c r="HE3" s="1017"/>
      <c r="HF3" s="1017"/>
      <c r="HG3" s="1017"/>
      <c r="HH3" s="1017"/>
      <c r="HI3" s="1017"/>
      <c r="HJ3" s="1017"/>
      <c r="HK3" s="1017"/>
      <c r="HL3" s="1017"/>
      <c r="HM3" s="1017"/>
      <c r="HN3" s="1017"/>
      <c r="HO3" s="1017"/>
      <c r="HP3" s="1017"/>
      <c r="HQ3" s="1017"/>
      <c r="HR3" s="1017"/>
      <c r="HS3" s="1017"/>
      <c r="HT3" s="1017"/>
      <c r="HU3" s="1017"/>
      <c r="HV3" s="1017"/>
      <c r="HW3" s="1017"/>
      <c r="HX3" s="1017"/>
      <c r="HY3" s="1017"/>
      <c r="HZ3" s="1017"/>
      <c r="IA3" s="1017"/>
      <c r="IB3" s="1017"/>
      <c r="IC3" s="1017"/>
      <c r="ID3" s="1017"/>
      <c r="IE3" s="1017"/>
      <c r="IF3" s="1017"/>
      <c r="IG3" s="1017"/>
      <c r="IH3" s="1017"/>
      <c r="II3" s="1017"/>
      <c r="IJ3" s="1017"/>
      <c r="IK3" s="1017"/>
      <c r="IL3" s="1017"/>
      <c r="IM3" s="1017"/>
    </row>
    <row r="4" spans="1:247">
      <c r="A4" s="1022" t="s">
        <v>14</v>
      </c>
      <c r="B4" s="1023" t="s">
        <v>922</v>
      </c>
      <c r="C4" s="1024">
        <f t="shared" ref="C4:G4" si="0">C5+C21+C29+C30+C38+C58+C47</f>
        <v>31910.172000000002</v>
      </c>
      <c r="D4" s="1025">
        <f t="shared" si="0"/>
        <v>33310.095999999998</v>
      </c>
      <c r="E4" s="1026">
        <f t="shared" si="0"/>
        <v>34432.271999999997</v>
      </c>
      <c r="F4" s="1026">
        <f t="shared" si="0"/>
        <v>37074.249000000011</v>
      </c>
      <c r="G4" s="1027">
        <f t="shared" si="0"/>
        <v>38697.677000000003</v>
      </c>
      <c r="H4" s="1026">
        <f>H5+H21+H29+H30+H38+H58+H47</f>
        <v>33284.932641318403</v>
      </c>
      <c r="I4" s="1026">
        <f t="shared" ref="I4:K4" si="1">I5+I21+I29+I30+I38+I58+I47</f>
        <v>35122.429477059195</v>
      </c>
      <c r="J4" s="1026">
        <f t="shared" si="1"/>
        <v>36750.735536148793</v>
      </c>
      <c r="K4" s="1027">
        <f t="shared" si="1"/>
        <v>38483.268387896882</v>
      </c>
      <c r="L4" s="1028"/>
      <c r="M4" s="1025">
        <f t="shared" ref="M4:T4" si="2">M5+M21+M29+M30+M38+M58+M47</f>
        <v>-92</v>
      </c>
      <c r="N4" s="1024">
        <f t="shared" si="2"/>
        <v>33192.932641318403</v>
      </c>
      <c r="O4" s="1025">
        <f t="shared" si="2"/>
        <v>34949.287262702463</v>
      </c>
      <c r="P4" s="1026">
        <f t="shared" si="2"/>
        <v>36804.694329674414</v>
      </c>
      <c r="Q4" s="1026">
        <f t="shared" si="2"/>
        <v>38658.009819558298</v>
      </c>
      <c r="R4" s="1029">
        <f t="shared" si="2"/>
        <v>173.14218035672843</v>
      </c>
      <c r="S4" s="1026">
        <f t="shared" si="2"/>
        <v>-53.958793525627726</v>
      </c>
      <c r="T4" s="1026">
        <f t="shared" si="2"/>
        <v>-174.74143166141573</v>
      </c>
      <c r="U4" s="1030">
        <f>O4-N4</f>
        <v>1756.35462138406</v>
      </c>
      <c r="V4" s="948"/>
      <c r="W4" s="1025">
        <f>W5+W21+W30+W38+W58+W47</f>
        <v>34949.287262702463</v>
      </c>
      <c r="X4" s="1026">
        <f>X5+X21+X30+X38+X58+X47</f>
        <v>34642.039900083844</v>
      </c>
      <c r="Y4" s="1025">
        <f>Y5+Y21+Y30+Y38+Y58+Y47</f>
        <v>-307.24736261861472</v>
      </c>
      <c r="Z4" s="1031">
        <f t="shared" ref="Z4:Z46" si="3">Y4/$X$179*100</f>
        <v>-0.34331104153116049</v>
      </c>
      <c r="AA4" s="1017"/>
      <c r="AB4" s="952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1017"/>
      <c r="DI4" s="1017"/>
      <c r="DJ4" s="1017"/>
      <c r="DK4" s="1017"/>
      <c r="DL4" s="1017"/>
      <c r="DM4" s="1017"/>
      <c r="DN4" s="1017"/>
      <c r="DO4" s="1017"/>
      <c r="DP4" s="1017"/>
      <c r="DQ4" s="1017"/>
      <c r="DR4" s="1017"/>
      <c r="DS4" s="1017"/>
      <c r="DT4" s="1017"/>
      <c r="DU4" s="1017"/>
      <c r="DV4" s="1017"/>
      <c r="DW4" s="1017"/>
      <c r="DX4" s="1017"/>
      <c r="DY4" s="1017"/>
      <c r="DZ4" s="1017"/>
      <c r="EA4" s="1017"/>
      <c r="EB4" s="1017"/>
      <c r="EC4" s="1017"/>
      <c r="ED4" s="1017"/>
      <c r="EE4" s="1017"/>
      <c r="EF4" s="1017"/>
      <c r="EG4" s="1017"/>
      <c r="EH4" s="1017"/>
      <c r="EI4" s="1017"/>
      <c r="EJ4" s="1017"/>
      <c r="EK4" s="1017"/>
      <c r="EL4" s="1017"/>
      <c r="EM4" s="1017"/>
      <c r="EN4" s="1017"/>
      <c r="EO4" s="1017"/>
      <c r="EP4" s="1017"/>
      <c r="EQ4" s="1017"/>
      <c r="ER4" s="1017"/>
      <c r="ES4" s="1017"/>
      <c r="ET4" s="1017"/>
      <c r="EU4" s="1017"/>
      <c r="EV4" s="1017"/>
      <c r="EW4" s="1017"/>
      <c r="EX4" s="1017"/>
      <c r="EY4" s="1017"/>
      <c r="EZ4" s="1017"/>
      <c r="FA4" s="1017"/>
      <c r="FB4" s="1017"/>
      <c r="FC4" s="1017"/>
      <c r="FD4" s="1017"/>
      <c r="FE4" s="1017"/>
      <c r="FF4" s="1017"/>
      <c r="FG4" s="1017"/>
      <c r="FH4" s="1017"/>
      <c r="FI4" s="1017"/>
      <c r="FJ4" s="1017"/>
      <c r="FK4" s="1017"/>
      <c r="FL4" s="1017"/>
      <c r="FM4" s="1017"/>
      <c r="FN4" s="1017"/>
      <c r="FO4" s="1017"/>
      <c r="FP4" s="1017"/>
      <c r="FQ4" s="1017"/>
      <c r="FR4" s="1017"/>
      <c r="FS4" s="1017"/>
      <c r="FT4" s="1017"/>
      <c r="FU4" s="1017"/>
      <c r="FV4" s="1017"/>
      <c r="FW4" s="1017"/>
      <c r="FX4" s="1017"/>
      <c r="FY4" s="1017"/>
      <c r="FZ4" s="1017"/>
      <c r="GA4" s="1017"/>
      <c r="GB4" s="1017"/>
      <c r="GC4" s="1017"/>
      <c r="GD4" s="1017"/>
      <c r="GE4" s="1017"/>
      <c r="GF4" s="1017"/>
      <c r="GG4" s="1017"/>
      <c r="GH4" s="1017"/>
      <c r="GI4" s="1017"/>
      <c r="GJ4" s="1017"/>
      <c r="GK4" s="1017"/>
      <c r="GL4" s="1017"/>
      <c r="GM4" s="1017"/>
      <c r="GN4" s="1017"/>
      <c r="GO4" s="1017"/>
      <c r="GP4" s="1017"/>
      <c r="GQ4" s="1017"/>
      <c r="GR4" s="1017"/>
      <c r="GS4" s="1017"/>
      <c r="GT4" s="1017"/>
      <c r="GU4" s="1017"/>
      <c r="GV4" s="1017"/>
      <c r="GW4" s="1017"/>
      <c r="GX4" s="1017"/>
      <c r="GY4" s="1017"/>
      <c r="GZ4" s="1017"/>
      <c r="HA4" s="1017"/>
      <c r="HB4" s="1017"/>
      <c r="HC4" s="1017"/>
      <c r="HD4" s="1017"/>
      <c r="HE4" s="1017"/>
      <c r="HF4" s="1017"/>
      <c r="HG4" s="1017"/>
      <c r="HH4" s="1017"/>
      <c r="HI4" s="1017"/>
      <c r="HJ4" s="1017"/>
      <c r="HK4" s="1017"/>
      <c r="HL4" s="1017"/>
      <c r="HM4" s="1017"/>
      <c r="HN4" s="1017"/>
      <c r="HO4" s="1017"/>
      <c r="HP4" s="1017"/>
      <c r="HQ4" s="1017"/>
      <c r="HR4" s="1017"/>
      <c r="HS4" s="1017"/>
      <c r="HT4" s="1017"/>
      <c r="HU4" s="1017"/>
      <c r="HV4" s="1017"/>
      <c r="HW4" s="1017"/>
      <c r="HX4" s="1017"/>
      <c r="HY4" s="1017"/>
      <c r="HZ4" s="1017"/>
      <c r="IA4" s="1017"/>
      <c r="IB4" s="1017"/>
      <c r="IC4" s="1017"/>
      <c r="ID4" s="1017"/>
      <c r="IE4" s="1017"/>
      <c r="IF4" s="1017"/>
      <c r="IG4" s="1017"/>
      <c r="IH4" s="1017"/>
      <c r="II4" s="1017"/>
      <c r="IJ4" s="1017"/>
      <c r="IK4" s="1017"/>
      <c r="IL4" s="1017"/>
      <c r="IM4" s="1017"/>
    </row>
    <row r="5" spans="1:247" s="957" customFormat="1">
      <c r="A5" s="1032" t="s">
        <v>419</v>
      </c>
      <c r="B5" s="1033" t="s">
        <v>923</v>
      </c>
      <c r="C5" s="1034">
        <v>8620.7759999999998</v>
      </c>
      <c r="D5" s="1035">
        <v>9265.1565666666665</v>
      </c>
      <c r="E5" s="1036">
        <v>9831.2980000000007</v>
      </c>
      <c r="F5" s="1036">
        <v>10238.887000000001</v>
      </c>
      <c r="G5" s="1037">
        <v>10639.173000000001</v>
      </c>
      <c r="H5" s="1038">
        <f>SUM(H6:H20)</f>
        <v>9149.2708768976263</v>
      </c>
      <c r="I5" s="1038">
        <f t="shared" ref="I5:K5" si="4">SUM(I6:I20)</f>
        <v>9642.9663836476411</v>
      </c>
      <c r="J5" s="1038">
        <f t="shared" si="4"/>
        <v>10035.058015315399</v>
      </c>
      <c r="K5" s="1039">
        <f t="shared" si="4"/>
        <v>10415.075865687222</v>
      </c>
      <c r="L5" s="1028"/>
      <c r="M5" s="1035">
        <f>SUM(M6:M20)</f>
        <v>0</v>
      </c>
      <c r="N5" s="1040">
        <f>H5+M5</f>
        <v>9149.2708768976263</v>
      </c>
      <c r="O5" s="1035">
        <f>SUM(O6:O20)</f>
        <v>9496.9941973777859</v>
      </c>
      <c r="P5" s="1036">
        <f t="shared" ref="P5:T5" si="5">SUM(P6:P20)</f>
        <v>9914.7004487563572</v>
      </c>
      <c r="Q5" s="1036">
        <f t="shared" si="5"/>
        <v>10291.120331825552</v>
      </c>
      <c r="R5" s="1035">
        <f t="shared" si="5"/>
        <v>145.97218626985273</v>
      </c>
      <c r="S5" s="1036">
        <f t="shared" si="5"/>
        <v>120.357566559041</v>
      </c>
      <c r="T5" s="1036">
        <f t="shared" si="5"/>
        <v>123.95553386166895</v>
      </c>
      <c r="U5" s="1040">
        <f t="shared" ref="U5:U68" si="6">O5-N5</f>
        <v>347.7233204801596</v>
      </c>
      <c r="V5" s="948"/>
      <c r="W5" s="1035">
        <f>SUM(W6:W20)</f>
        <v>9496.9941973777859</v>
      </c>
      <c r="X5" s="1036">
        <f>SUM(X6:X20)</f>
        <v>9723.4459999999999</v>
      </c>
      <c r="Y5" s="1035">
        <f t="shared" ref="Y5:Y107" si="7">X5-W5</f>
        <v>226.45180262221402</v>
      </c>
      <c r="Z5" s="1041">
        <f t="shared" si="3"/>
        <v>0.2530319660102136</v>
      </c>
      <c r="AA5" s="1042"/>
      <c r="AB5" s="95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2"/>
      <c r="DI5" s="1042"/>
      <c r="DJ5" s="1042"/>
      <c r="DK5" s="1042"/>
      <c r="DL5" s="1042"/>
      <c r="DM5" s="1042"/>
      <c r="DN5" s="1042"/>
      <c r="DO5" s="1042"/>
      <c r="DP5" s="1042"/>
      <c r="DQ5" s="1042"/>
      <c r="DR5" s="1042"/>
      <c r="DS5" s="1042"/>
      <c r="DT5" s="1042"/>
      <c r="DU5" s="1042"/>
      <c r="DV5" s="1042"/>
      <c r="DW5" s="1042"/>
      <c r="DX5" s="1042"/>
      <c r="DY5" s="1042"/>
      <c r="DZ5" s="1042"/>
      <c r="EA5" s="1042"/>
      <c r="EB5" s="1042"/>
      <c r="EC5" s="1042"/>
      <c r="ED5" s="1042"/>
      <c r="EE5" s="1042"/>
      <c r="EF5" s="1042"/>
      <c r="EG5" s="1042"/>
      <c r="EH5" s="1042"/>
      <c r="EI5" s="1042"/>
      <c r="EJ5" s="1042"/>
      <c r="EK5" s="1042"/>
      <c r="EL5" s="1042"/>
      <c r="EM5" s="1042"/>
      <c r="EN5" s="1042"/>
      <c r="EO5" s="1042"/>
      <c r="EP5" s="1042"/>
      <c r="EQ5" s="1042"/>
      <c r="ER5" s="1042"/>
      <c r="ES5" s="1042"/>
      <c r="ET5" s="1042"/>
      <c r="EU5" s="1042"/>
      <c r="EV5" s="1042"/>
      <c r="EW5" s="1042"/>
      <c r="EX5" s="1042"/>
      <c r="EY5" s="1042"/>
      <c r="EZ5" s="1042"/>
      <c r="FA5" s="1042"/>
      <c r="FB5" s="1042"/>
      <c r="FC5" s="1042"/>
      <c r="FD5" s="1042"/>
      <c r="FE5" s="1042"/>
      <c r="FF5" s="1042"/>
      <c r="FG5" s="1042"/>
      <c r="FH5" s="1042"/>
      <c r="FI5" s="1042"/>
      <c r="FJ5" s="1042"/>
      <c r="FK5" s="1042"/>
      <c r="FL5" s="1042"/>
      <c r="FM5" s="1042"/>
      <c r="FN5" s="1042"/>
      <c r="FO5" s="1042"/>
      <c r="FP5" s="1042"/>
      <c r="FQ5" s="1042"/>
      <c r="FR5" s="1042"/>
      <c r="FS5" s="1042"/>
      <c r="FT5" s="1042"/>
      <c r="FU5" s="1042"/>
      <c r="FV5" s="1042"/>
      <c r="FW5" s="1042"/>
      <c r="FX5" s="1042"/>
      <c r="FY5" s="1042"/>
      <c r="FZ5" s="1042"/>
      <c r="GA5" s="1042"/>
      <c r="GB5" s="1042"/>
      <c r="GC5" s="1042"/>
      <c r="GD5" s="1042"/>
      <c r="GE5" s="1042"/>
      <c r="GF5" s="1042"/>
      <c r="GG5" s="1042"/>
      <c r="GH5" s="1042"/>
      <c r="GI5" s="1042"/>
      <c r="GJ5" s="1042"/>
      <c r="GK5" s="1042"/>
      <c r="GL5" s="1042"/>
      <c r="GM5" s="1042"/>
      <c r="GN5" s="1042"/>
      <c r="GO5" s="1042"/>
      <c r="GP5" s="1042"/>
      <c r="GQ5" s="1042"/>
      <c r="GR5" s="1042"/>
      <c r="GS5" s="1042"/>
      <c r="GT5" s="1042"/>
      <c r="GU5" s="1042"/>
      <c r="GV5" s="1042"/>
      <c r="GW5" s="1042"/>
      <c r="GX5" s="1042"/>
      <c r="GY5" s="1042"/>
      <c r="GZ5" s="1042"/>
      <c r="HA5" s="1042"/>
      <c r="HB5" s="1042"/>
      <c r="HC5" s="1042"/>
      <c r="HD5" s="1042"/>
      <c r="HE5" s="1042"/>
      <c r="HF5" s="1042"/>
      <c r="HG5" s="1042"/>
      <c r="HH5" s="1042"/>
      <c r="HI5" s="1042"/>
      <c r="HJ5" s="1042"/>
      <c r="HK5" s="1042"/>
      <c r="HL5" s="1042"/>
      <c r="HM5" s="1042"/>
      <c r="HN5" s="1042"/>
      <c r="HO5" s="1042"/>
      <c r="HP5" s="1042"/>
      <c r="HQ5" s="1042"/>
      <c r="HR5" s="1042"/>
      <c r="HS5" s="1042"/>
      <c r="HT5" s="1042"/>
      <c r="HU5" s="1042"/>
      <c r="HV5" s="1042"/>
      <c r="HW5" s="1042"/>
      <c r="HX5" s="1042"/>
      <c r="HY5" s="1042"/>
      <c r="HZ5" s="1042"/>
      <c r="IA5" s="1042"/>
      <c r="IB5" s="1042"/>
      <c r="IC5" s="1042"/>
      <c r="ID5" s="1042"/>
      <c r="IE5" s="1042"/>
      <c r="IF5" s="1042"/>
      <c r="IG5" s="1042"/>
      <c r="IH5" s="1042"/>
      <c r="II5" s="1042"/>
      <c r="IJ5" s="1042"/>
      <c r="IK5" s="1042"/>
      <c r="IL5" s="1042"/>
      <c r="IM5" s="1042"/>
    </row>
    <row r="6" spans="1:247">
      <c r="A6" s="612" t="s">
        <v>420</v>
      </c>
      <c r="B6" s="1043"/>
      <c r="C6" s="1044">
        <v>5419.65</v>
      </c>
      <c r="D6" s="1045">
        <v>5880.0109999999995</v>
      </c>
      <c r="E6" s="1046">
        <v>6104.4170000000004</v>
      </c>
      <c r="F6" s="1046">
        <v>6402.027</v>
      </c>
      <c r="G6" s="1047">
        <v>6709.5569999999998</v>
      </c>
      <c r="H6" s="1048">
        <v>5843.2605078978559</v>
      </c>
      <c r="I6" s="1048">
        <v>6117.1038318739902</v>
      </c>
      <c r="J6" s="1048">
        <v>6405.2406609307327</v>
      </c>
      <c r="K6" s="1049">
        <v>6699.3916623169516</v>
      </c>
      <c r="L6" s="1028"/>
      <c r="M6" s="1045"/>
      <c r="N6" s="1050">
        <v>5843.2605078978559</v>
      </c>
      <c r="O6" s="1045">
        <v>6065.5711444332392</v>
      </c>
      <c r="P6" s="1046">
        <v>6352.4683305743411</v>
      </c>
      <c r="Q6" s="1046">
        <v>6641.6183202159318</v>
      </c>
      <c r="R6" s="1045">
        <f>I6-O6</f>
        <v>51.532687440751033</v>
      </c>
      <c r="S6" s="1046">
        <f t="shared" ref="S6:T20" si="8">J6-P6</f>
        <v>52.772330356391649</v>
      </c>
      <c r="T6" s="1046">
        <f t="shared" si="8"/>
        <v>57.773342101019807</v>
      </c>
      <c r="U6" s="1050">
        <f t="shared" si="6"/>
        <v>222.31063653538331</v>
      </c>
      <c r="V6" s="948"/>
      <c r="W6" s="1045">
        <f t="shared" ref="W6:W20" si="9">O6</f>
        <v>6065.5711444332392</v>
      </c>
      <c r="X6" s="1046">
        <v>6104.4170000000004</v>
      </c>
      <c r="Y6" s="1045">
        <f t="shared" si="7"/>
        <v>38.845855566761202</v>
      </c>
      <c r="Z6" s="1051">
        <f t="shared" si="3"/>
        <v>4.3405453573731795E-2</v>
      </c>
      <c r="AA6" s="1017"/>
      <c r="AB6" s="952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7"/>
      <c r="BI6" s="1017"/>
      <c r="BJ6" s="1017"/>
      <c r="BK6" s="1017"/>
      <c r="BL6" s="1017"/>
      <c r="BM6" s="1017"/>
      <c r="BN6" s="1017"/>
      <c r="BO6" s="1017"/>
      <c r="BP6" s="1017"/>
      <c r="BQ6" s="1017"/>
      <c r="BR6" s="1017"/>
      <c r="BS6" s="1017"/>
      <c r="BT6" s="1017"/>
      <c r="BU6" s="1017"/>
      <c r="BV6" s="1017"/>
      <c r="BW6" s="1017"/>
      <c r="BX6" s="1017"/>
      <c r="BY6" s="1017"/>
      <c r="BZ6" s="1017"/>
      <c r="CA6" s="1017"/>
      <c r="CB6" s="1017"/>
      <c r="CC6" s="1017"/>
      <c r="CD6" s="1017"/>
      <c r="CE6" s="1017"/>
      <c r="CF6" s="1017"/>
      <c r="CG6" s="1017"/>
      <c r="CH6" s="1017"/>
      <c r="CI6" s="1017"/>
      <c r="CJ6" s="1017"/>
      <c r="CK6" s="1017"/>
      <c r="CL6" s="1017"/>
      <c r="CM6" s="1017"/>
      <c r="CN6" s="1017"/>
      <c r="CO6" s="1017"/>
      <c r="CP6" s="1017"/>
      <c r="CQ6" s="1017"/>
      <c r="CR6" s="1017"/>
      <c r="CS6" s="1017"/>
      <c r="CT6" s="1017"/>
      <c r="CU6" s="1017"/>
      <c r="CV6" s="1017"/>
      <c r="CW6" s="1017"/>
      <c r="CX6" s="1017"/>
      <c r="CY6" s="1017"/>
      <c r="CZ6" s="1017"/>
      <c r="DA6" s="1017"/>
      <c r="DB6" s="1017"/>
      <c r="DC6" s="1017"/>
      <c r="DD6" s="1017"/>
      <c r="DE6" s="1017"/>
      <c r="DF6" s="1017"/>
      <c r="DG6" s="1017"/>
      <c r="DH6" s="1017"/>
      <c r="DI6" s="1017"/>
      <c r="DJ6" s="1017"/>
      <c r="DK6" s="1017"/>
      <c r="DL6" s="1017"/>
      <c r="DM6" s="1017"/>
      <c r="DN6" s="1017"/>
      <c r="DO6" s="1017"/>
      <c r="DP6" s="1017"/>
      <c r="DQ6" s="1017"/>
      <c r="DR6" s="1017"/>
      <c r="DS6" s="1017"/>
      <c r="DT6" s="1017"/>
      <c r="DU6" s="1017"/>
      <c r="DV6" s="1017"/>
      <c r="DW6" s="1017"/>
      <c r="DX6" s="1017"/>
      <c r="DY6" s="1017"/>
      <c r="DZ6" s="1017"/>
      <c r="EA6" s="1017"/>
      <c r="EB6" s="1017"/>
      <c r="EC6" s="1017"/>
      <c r="ED6" s="1017"/>
      <c r="EE6" s="1017"/>
      <c r="EF6" s="1017"/>
      <c r="EG6" s="1017"/>
      <c r="EH6" s="1017"/>
      <c r="EI6" s="1017"/>
      <c r="EJ6" s="1017"/>
      <c r="EK6" s="1017"/>
      <c r="EL6" s="1017"/>
      <c r="EM6" s="1017"/>
      <c r="EN6" s="1017"/>
      <c r="EO6" s="1017"/>
      <c r="EP6" s="1017"/>
      <c r="EQ6" s="1017"/>
      <c r="ER6" s="1017"/>
      <c r="ES6" s="1017"/>
      <c r="ET6" s="1017"/>
      <c r="EU6" s="1017"/>
      <c r="EV6" s="1017"/>
      <c r="EW6" s="1017"/>
      <c r="EX6" s="1017"/>
      <c r="EY6" s="1017"/>
      <c r="EZ6" s="1017"/>
      <c r="FA6" s="1017"/>
      <c r="FB6" s="1017"/>
      <c r="FC6" s="1017"/>
      <c r="FD6" s="1017"/>
      <c r="FE6" s="1017"/>
      <c r="FF6" s="1017"/>
      <c r="FG6" s="1017"/>
      <c r="FH6" s="1017"/>
      <c r="FI6" s="1017"/>
      <c r="FJ6" s="1017"/>
      <c r="FK6" s="1017"/>
      <c r="FL6" s="1017"/>
      <c r="FM6" s="1017"/>
      <c r="FN6" s="1017"/>
      <c r="FO6" s="1017"/>
      <c r="FP6" s="1017"/>
      <c r="FQ6" s="1017"/>
      <c r="FR6" s="1017"/>
      <c r="FS6" s="1017"/>
      <c r="FT6" s="1017"/>
      <c r="FU6" s="1017"/>
      <c r="FV6" s="1017"/>
      <c r="FW6" s="1017"/>
      <c r="FX6" s="1017"/>
      <c r="FY6" s="1017"/>
      <c r="FZ6" s="1017"/>
      <c r="GA6" s="1017"/>
      <c r="GB6" s="1017"/>
      <c r="GC6" s="1017"/>
      <c r="GD6" s="1017"/>
      <c r="GE6" s="1017"/>
      <c r="GF6" s="1017"/>
      <c r="GG6" s="1017"/>
      <c r="GH6" s="1017"/>
      <c r="GI6" s="1017"/>
      <c r="GJ6" s="1017"/>
      <c r="GK6" s="1017"/>
      <c r="GL6" s="1017"/>
      <c r="GM6" s="1017"/>
      <c r="GN6" s="1017"/>
      <c r="GO6" s="1017"/>
      <c r="GP6" s="1017"/>
      <c r="GQ6" s="1017"/>
      <c r="GR6" s="1017"/>
      <c r="GS6" s="1017"/>
      <c r="GT6" s="1017"/>
      <c r="GU6" s="1017"/>
      <c r="GV6" s="1017"/>
      <c r="GW6" s="1017"/>
      <c r="GX6" s="1017"/>
      <c r="GY6" s="1017"/>
      <c r="GZ6" s="1017"/>
      <c r="HA6" s="1017"/>
      <c r="HB6" s="1017"/>
      <c r="HC6" s="1017"/>
      <c r="HD6" s="1017"/>
      <c r="HE6" s="1017"/>
      <c r="HF6" s="1017"/>
      <c r="HG6" s="1017"/>
      <c r="HH6" s="1017"/>
      <c r="HI6" s="1017"/>
      <c r="HJ6" s="1017"/>
      <c r="HK6" s="1017"/>
      <c r="HL6" s="1017"/>
      <c r="HM6" s="1017"/>
      <c r="HN6" s="1017"/>
      <c r="HO6" s="1017"/>
      <c r="HP6" s="1017"/>
      <c r="HQ6" s="1017"/>
      <c r="HR6" s="1017"/>
      <c r="HS6" s="1017"/>
      <c r="HT6" s="1017"/>
      <c r="HU6" s="1017"/>
      <c r="HV6" s="1017"/>
      <c r="HW6" s="1017"/>
      <c r="HX6" s="1017"/>
      <c r="HY6" s="1017"/>
      <c r="HZ6" s="1017"/>
      <c r="IA6" s="1017"/>
      <c r="IB6" s="1017"/>
      <c r="IC6" s="1017"/>
      <c r="ID6" s="1017"/>
      <c r="IE6" s="1017"/>
      <c r="IF6" s="1017"/>
      <c r="IG6" s="1017"/>
      <c r="IH6" s="1017"/>
      <c r="II6" s="1017"/>
      <c r="IJ6" s="1017"/>
      <c r="IK6" s="1017"/>
      <c r="IL6" s="1017"/>
      <c r="IM6" s="1017"/>
    </row>
    <row r="7" spans="1:247">
      <c r="A7" s="612" t="s">
        <v>421</v>
      </c>
      <c r="B7" s="1043"/>
      <c r="C7" s="1044">
        <v>2173.884</v>
      </c>
      <c r="D7" s="1045">
        <v>2271.5810000000001</v>
      </c>
      <c r="E7" s="1046">
        <v>2341.1289999999999</v>
      </c>
      <c r="F7" s="1046">
        <v>2439.864</v>
      </c>
      <c r="G7" s="1047">
        <v>2505.5300000000002</v>
      </c>
      <c r="H7" s="1048">
        <v>2263.3389289572724</v>
      </c>
      <c r="I7" s="1048">
        <v>2317.274165312182</v>
      </c>
      <c r="J7" s="1048">
        <v>2404.4131484552704</v>
      </c>
      <c r="K7" s="1049">
        <v>2458.6484449909508</v>
      </c>
      <c r="L7" s="1028"/>
      <c r="M7" s="1045"/>
      <c r="N7" s="1050">
        <v>2263.3389289572724</v>
      </c>
      <c r="O7" s="1045">
        <v>2316.4472527621433</v>
      </c>
      <c r="P7" s="1046">
        <v>2407.9004912839696</v>
      </c>
      <c r="Q7" s="1046">
        <v>2463.3465154128112</v>
      </c>
      <c r="R7" s="1045">
        <f t="shared" ref="R7:R20" si="10">I7-O7</f>
        <v>0.82691255003874176</v>
      </c>
      <c r="S7" s="1046">
        <f t="shared" si="8"/>
        <v>-3.4873428286991839</v>
      </c>
      <c r="T7" s="1046">
        <f t="shared" si="8"/>
        <v>-4.6980704218603933</v>
      </c>
      <c r="U7" s="1050">
        <f t="shared" si="6"/>
        <v>53.108323804870906</v>
      </c>
      <c r="V7" s="948"/>
      <c r="W7" s="1045">
        <f t="shared" si="9"/>
        <v>2316.4472527621433</v>
      </c>
      <c r="X7" s="1046">
        <v>2341.1289999999999</v>
      </c>
      <c r="Y7" s="1045">
        <f t="shared" si="7"/>
        <v>24.681747237856598</v>
      </c>
      <c r="Z7" s="1051">
        <f t="shared" si="3"/>
        <v>2.757880907038263E-2</v>
      </c>
      <c r="AA7" s="1017"/>
      <c r="AB7" s="952"/>
      <c r="AC7" s="1017"/>
      <c r="AD7" s="1017"/>
      <c r="AE7" s="1017"/>
      <c r="AF7" s="1017"/>
      <c r="AG7" s="1017"/>
      <c r="AH7" s="1017"/>
      <c r="AI7" s="1017"/>
      <c r="AJ7" s="1017"/>
      <c r="AK7" s="1017"/>
      <c r="AL7" s="1017"/>
      <c r="AM7" s="1017"/>
      <c r="AN7" s="1017"/>
      <c r="AO7" s="1017"/>
      <c r="AP7" s="1017"/>
      <c r="AQ7" s="1017"/>
      <c r="AR7" s="1017"/>
      <c r="AS7" s="1017"/>
      <c r="AT7" s="1017"/>
      <c r="AU7" s="1017"/>
      <c r="AV7" s="1017"/>
      <c r="AW7" s="1017"/>
      <c r="AX7" s="1017"/>
      <c r="AY7" s="1017"/>
      <c r="AZ7" s="1017"/>
      <c r="BA7" s="1017"/>
      <c r="BB7" s="1017"/>
      <c r="BC7" s="1017"/>
      <c r="BD7" s="1017"/>
      <c r="BE7" s="1017"/>
      <c r="BF7" s="1017"/>
      <c r="BG7" s="1017"/>
      <c r="BH7" s="1017"/>
      <c r="BI7" s="1017"/>
      <c r="BJ7" s="1017"/>
      <c r="BK7" s="1017"/>
      <c r="BL7" s="1017"/>
      <c r="BM7" s="1017"/>
      <c r="BN7" s="1017"/>
      <c r="BO7" s="1017"/>
      <c r="BP7" s="1017"/>
      <c r="BQ7" s="1017"/>
      <c r="BR7" s="1017"/>
      <c r="BS7" s="1017"/>
      <c r="BT7" s="1017"/>
      <c r="BU7" s="1017"/>
      <c r="BV7" s="1017"/>
      <c r="BW7" s="1017"/>
      <c r="BX7" s="1017"/>
      <c r="BY7" s="1017"/>
      <c r="BZ7" s="1017"/>
      <c r="CA7" s="1017"/>
      <c r="CB7" s="1017"/>
      <c r="CC7" s="1017"/>
      <c r="CD7" s="1017"/>
      <c r="CE7" s="1017"/>
      <c r="CF7" s="1017"/>
      <c r="CG7" s="1017"/>
      <c r="CH7" s="1017"/>
      <c r="CI7" s="1017"/>
      <c r="CJ7" s="1017"/>
      <c r="CK7" s="1017"/>
      <c r="CL7" s="1017"/>
      <c r="CM7" s="1017"/>
      <c r="CN7" s="1017"/>
      <c r="CO7" s="1017"/>
      <c r="CP7" s="1017"/>
      <c r="CQ7" s="1017"/>
      <c r="CR7" s="1017"/>
      <c r="CS7" s="1017"/>
      <c r="CT7" s="1017"/>
      <c r="CU7" s="1017"/>
      <c r="CV7" s="1017"/>
      <c r="CW7" s="1017"/>
      <c r="CX7" s="1017"/>
      <c r="CY7" s="1017"/>
      <c r="CZ7" s="1017"/>
      <c r="DA7" s="1017"/>
      <c r="DB7" s="1017"/>
      <c r="DC7" s="1017"/>
      <c r="DD7" s="1017"/>
      <c r="DE7" s="1017"/>
      <c r="DF7" s="1017"/>
      <c r="DG7" s="1017"/>
      <c r="DH7" s="1017"/>
      <c r="DI7" s="1017"/>
      <c r="DJ7" s="1017"/>
      <c r="DK7" s="1017"/>
      <c r="DL7" s="1017"/>
      <c r="DM7" s="1017"/>
      <c r="DN7" s="1017"/>
      <c r="DO7" s="1017"/>
      <c r="DP7" s="1017"/>
      <c r="DQ7" s="1017"/>
      <c r="DR7" s="1017"/>
      <c r="DS7" s="1017"/>
      <c r="DT7" s="1017"/>
      <c r="DU7" s="1017"/>
      <c r="DV7" s="1017"/>
      <c r="DW7" s="1017"/>
      <c r="DX7" s="1017"/>
      <c r="DY7" s="1017"/>
      <c r="DZ7" s="1017"/>
      <c r="EA7" s="1017"/>
      <c r="EB7" s="1017"/>
      <c r="EC7" s="1017"/>
      <c r="ED7" s="1017"/>
      <c r="EE7" s="1017"/>
      <c r="EF7" s="1017"/>
      <c r="EG7" s="1017"/>
      <c r="EH7" s="1017"/>
      <c r="EI7" s="1017"/>
      <c r="EJ7" s="1017"/>
      <c r="EK7" s="1017"/>
      <c r="EL7" s="1017"/>
      <c r="EM7" s="1017"/>
      <c r="EN7" s="1017"/>
      <c r="EO7" s="1017"/>
      <c r="EP7" s="1017"/>
      <c r="EQ7" s="1017"/>
      <c r="ER7" s="1017"/>
      <c r="ES7" s="1017"/>
      <c r="ET7" s="1017"/>
      <c r="EU7" s="1017"/>
      <c r="EV7" s="1017"/>
      <c r="EW7" s="1017"/>
      <c r="EX7" s="1017"/>
      <c r="EY7" s="1017"/>
      <c r="EZ7" s="1017"/>
      <c r="FA7" s="1017"/>
      <c r="FB7" s="1017"/>
      <c r="FC7" s="1017"/>
      <c r="FD7" s="1017"/>
      <c r="FE7" s="1017"/>
      <c r="FF7" s="1017"/>
      <c r="FG7" s="1017"/>
      <c r="FH7" s="1017"/>
      <c r="FI7" s="1017"/>
      <c r="FJ7" s="1017"/>
      <c r="FK7" s="1017"/>
      <c r="FL7" s="1017"/>
      <c r="FM7" s="1017"/>
      <c r="FN7" s="1017"/>
      <c r="FO7" s="1017"/>
      <c r="FP7" s="1017"/>
      <c r="FQ7" s="1017"/>
      <c r="FR7" s="1017"/>
      <c r="FS7" s="1017"/>
      <c r="FT7" s="1017"/>
      <c r="FU7" s="1017"/>
      <c r="FV7" s="1017"/>
      <c r="FW7" s="1017"/>
      <c r="FX7" s="1017"/>
      <c r="FY7" s="1017"/>
      <c r="FZ7" s="1017"/>
      <c r="GA7" s="1017"/>
      <c r="GB7" s="1017"/>
      <c r="GC7" s="1017"/>
      <c r="GD7" s="1017"/>
      <c r="GE7" s="1017"/>
      <c r="GF7" s="1017"/>
      <c r="GG7" s="1017"/>
      <c r="GH7" s="1017"/>
      <c r="GI7" s="1017"/>
      <c r="GJ7" s="1017"/>
      <c r="GK7" s="1017"/>
      <c r="GL7" s="1017"/>
      <c r="GM7" s="1017"/>
      <c r="GN7" s="1017"/>
      <c r="GO7" s="1017"/>
      <c r="GP7" s="1017"/>
      <c r="GQ7" s="1017"/>
      <c r="GR7" s="1017"/>
      <c r="GS7" s="1017"/>
      <c r="GT7" s="1017"/>
      <c r="GU7" s="1017"/>
      <c r="GV7" s="1017"/>
      <c r="GW7" s="1017"/>
      <c r="GX7" s="1017"/>
      <c r="GY7" s="1017"/>
      <c r="GZ7" s="1017"/>
      <c r="HA7" s="1017"/>
      <c r="HB7" s="1017"/>
      <c r="HC7" s="1017"/>
      <c r="HD7" s="1017"/>
      <c r="HE7" s="1017"/>
      <c r="HF7" s="1017"/>
      <c r="HG7" s="1017"/>
      <c r="HH7" s="1017"/>
      <c r="HI7" s="1017"/>
      <c r="HJ7" s="1017"/>
      <c r="HK7" s="1017"/>
      <c r="HL7" s="1017"/>
      <c r="HM7" s="1017"/>
      <c r="HN7" s="1017"/>
      <c r="HO7" s="1017"/>
      <c r="HP7" s="1017"/>
      <c r="HQ7" s="1017"/>
      <c r="HR7" s="1017"/>
      <c r="HS7" s="1017"/>
      <c r="HT7" s="1017"/>
      <c r="HU7" s="1017"/>
      <c r="HV7" s="1017"/>
      <c r="HW7" s="1017"/>
      <c r="HX7" s="1017"/>
      <c r="HY7" s="1017"/>
      <c r="HZ7" s="1017"/>
      <c r="IA7" s="1017"/>
      <c r="IB7" s="1017"/>
      <c r="IC7" s="1017"/>
      <c r="ID7" s="1017"/>
      <c r="IE7" s="1017"/>
      <c r="IF7" s="1017"/>
      <c r="IG7" s="1017"/>
      <c r="IH7" s="1017"/>
      <c r="II7" s="1017"/>
      <c r="IJ7" s="1017"/>
      <c r="IK7" s="1017"/>
      <c r="IL7" s="1017"/>
      <c r="IM7" s="1017"/>
    </row>
    <row r="8" spans="1:247">
      <c r="A8" s="612" t="s">
        <v>422</v>
      </c>
      <c r="B8" s="1043"/>
      <c r="C8" s="1044">
        <v>225.36099999999999</v>
      </c>
      <c r="D8" s="1045">
        <f>359.021*2/3</f>
        <v>239.34733333333335</v>
      </c>
      <c r="E8" s="1046">
        <f>365.169*2/3</f>
        <v>243.446</v>
      </c>
      <c r="F8" s="1046">
        <f>372.107*2/3</f>
        <v>248.07133333333334</v>
      </c>
      <c r="G8" s="1047">
        <f>379.549*2/3</f>
        <v>253.03266666666664</v>
      </c>
      <c r="H8" s="1048">
        <v>234.51451517870268</v>
      </c>
      <c r="I8" s="1048">
        <v>238.53042299278198</v>
      </c>
      <c r="J8" s="1048">
        <v>243.05674847173336</v>
      </c>
      <c r="K8" s="1049">
        <v>247.87374855923466</v>
      </c>
      <c r="L8" s="1028"/>
      <c r="M8" s="1045"/>
      <c r="N8" s="1050">
        <v>234.51451517870271</v>
      </c>
      <c r="O8" s="1045">
        <v>238.53042299278226</v>
      </c>
      <c r="P8" s="1046">
        <v>243.5956389088046</v>
      </c>
      <c r="Q8" s="1046">
        <v>248.39397247444492</v>
      </c>
      <c r="R8" s="1045">
        <f t="shared" si="10"/>
        <v>-2.8421709430404007E-13</v>
      </c>
      <c r="S8" s="1046">
        <f t="shared" si="8"/>
        <v>-0.53889043707124529</v>
      </c>
      <c r="T8" s="1046">
        <f t="shared" si="8"/>
        <v>-0.52022391521026634</v>
      </c>
      <c r="U8" s="1050">
        <f t="shared" si="6"/>
        <v>4.0159078140795543</v>
      </c>
      <c r="V8" s="948"/>
      <c r="W8" s="1045">
        <f t="shared" si="9"/>
        <v>238.53042299278226</v>
      </c>
      <c r="X8" s="1046">
        <v>243.446</v>
      </c>
      <c r="Y8" s="1045">
        <f t="shared" si="7"/>
        <v>4.9155770072177347</v>
      </c>
      <c r="Z8" s="1051">
        <f t="shared" si="3"/>
        <v>5.4925511733987563E-3</v>
      </c>
      <c r="AA8" s="1017"/>
      <c r="AB8" s="952"/>
      <c r="AC8" s="1017"/>
      <c r="AD8" s="1017"/>
      <c r="AE8" s="1017"/>
      <c r="AF8" s="1017"/>
      <c r="AG8" s="1017"/>
      <c r="AH8" s="1017"/>
      <c r="AI8" s="1017"/>
      <c r="AJ8" s="1017"/>
      <c r="AK8" s="1017"/>
      <c r="AL8" s="1017"/>
      <c r="AM8" s="1017"/>
      <c r="AN8" s="1017"/>
      <c r="AO8" s="1017"/>
      <c r="AP8" s="1017"/>
      <c r="AQ8" s="1017"/>
      <c r="AR8" s="1017"/>
      <c r="AS8" s="1017"/>
      <c r="AT8" s="1017"/>
      <c r="AU8" s="1017"/>
      <c r="AV8" s="1017"/>
      <c r="AW8" s="1017"/>
      <c r="AX8" s="1017"/>
      <c r="AY8" s="1017"/>
      <c r="AZ8" s="1017"/>
      <c r="BA8" s="1017"/>
      <c r="BB8" s="1017"/>
      <c r="BC8" s="1017"/>
      <c r="BD8" s="1017"/>
      <c r="BE8" s="1017"/>
      <c r="BF8" s="1017"/>
      <c r="BG8" s="1017"/>
      <c r="BH8" s="1017"/>
      <c r="BI8" s="1017"/>
      <c r="BJ8" s="1017"/>
      <c r="BK8" s="1017"/>
      <c r="BL8" s="1017"/>
      <c r="BM8" s="1017"/>
      <c r="BN8" s="1017"/>
      <c r="BO8" s="1017"/>
      <c r="BP8" s="1017"/>
      <c r="BQ8" s="1017"/>
      <c r="BR8" s="1017"/>
      <c r="BS8" s="1017"/>
      <c r="BT8" s="1017"/>
      <c r="BU8" s="1017"/>
      <c r="BV8" s="1017"/>
      <c r="BW8" s="1017"/>
      <c r="BX8" s="1017"/>
      <c r="BY8" s="1017"/>
      <c r="BZ8" s="1017"/>
      <c r="CA8" s="1017"/>
      <c r="CB8" s="1017"/>
      <c r="CC8" s="1017"/>
      <c r="CD8" s="1017"/>
      <c r="CE8" s="1017"/>
      <c r="CF8" s="1017"/>
      <c r="CG8" s="1017"/>
      <c r="CH8" s="1017"/>
      <c r="CI8" s="1017"/>
      <c r="CJ8" s="1017"/>
      <c r="CK8" s="1017"/>
      <c r="CL8" s="1017"/>
      <c r="CM8" s="1017"/>
      <c r="CN8" s="1017"/>
      <c r="CO8" s="1017"/>
      <c r="CP8" s="1017"/>
      <c r="CQ8" s="1017"/>
      <c r="CR8" s="1017"/>
      <c r="CS8" s="1017"/>
      <c r="CT8" s="1017"/>
      <c r="CU8" s="1017"/>
      <c r="CV8" s="1017"/>
      <c r="CW8" s="1017"/>
      <c r="CX8" s="1017"/>
      <c r="CY8" s="1017"/>
      <c r="CZ8" s="1017"/>
      <c r="DA8" s="1017"/>
      <c r="DB8" s="1017"/>
      <c r="DC8" s="1017"/>
      <c r="DD8" s="1017"/>
      <c r="DE8" s="1017"/>
      <c r="DF8" s="1017"/>
      <c r="DG8" s="1017"/>
      <c r="DH8" s="1017"/>
      <c r="DI8" s="1017"/>
      <c r="DJ8" s="1017"/>
      <c r="DK8" s="1017"/>
      <c r="DL8" s="1017"/>
      <c r="DM8" s="1017"/>
      <c r="DN8" s="1017"/>
      <c r="DO8" s="1017"/>
      <c r="DP8" s="1017"/>
      <c r="DQ8" s="1017"/>
      <c r="DR8" s="1017"/>
      <c r="DS8" s="1017"/>
      <c r="DT8" s="1017"/>
      <c r="DU8" s="1017"/>
      <c r="DV8" s="1017"/>
      <c r="DW8" s="1017"/>
      <c r="DX8" s="1017"/>
      <c r="DY8" s="1017"/>
      <c r="DZ8" s="1017"/>
      <c r="EA8" s="1017"/>
      <c r="EB8" s="1017"/>
      <c r="EC8" s="1017"/>
      <c r="ED8" s="1017"/>
      <c r="EE8" s="1017"/>
      <c r="EF8" s="1017"/>
      <c r="EG8" s="1017"/>
      <c r="EH8" s="1017"/>
      <c r="EI8" s="1017"/>
      <c r="EJ8" s="1017"/>
      <c r="EK8" s="1017"/>
      <c r="EL8" s="1017"/>
      <c r="EM8" s="1017"/>
      <c r="EN8" s="1017"/>
      <c r="EO8" s="1017"/>
      <c r="EP8" s="1017"/>
      <c r="EQ8" s="1017"/>
      <c r="ER8" s="1017"/>
      <c r="ES8" s="1017"/>
      <c r="ET8" s="1017"/>
      <c r="EU8" s="1017"/>
      <c r="EV8" s="1017"/>
      <c r="EW8" s="1017"/>
      <c r="EX8" s="1017"/>
      <c r="EY8" s="1017"/>
      <c r="EZ8" s="1017"/>
      <c r="FA8" s="1017"/>
      <c r="FB8" s="1017"/>
      <c r="FC8" s="1017"/>
      <c r="FD8" s="1017"/>
      <c r="FE8" s="1017"/>
      <c r="FF8" s="1017"/>
      <c r="FG8" s="1017"/>
      <c r="FH8" s="1017"/>
      <c r="FI8" s="1017"/>
      <c r="FJ8" s="1017"/>
      <c r="FK8" s="1017"/>
      <c r="FL8" s="1017"/>
      <c r="FM8" s="1017"/>
      <c r="FN8" s="1017"/>
      <c r="FO8" s="1017"/>
      <c r="FP8" s="1017"/>
      <c r="FQ8" s="1017"/>
      <c r="FR8" s="1017"/>
      <c r="FS8" s="1017"/>
      <c r="FT8" s="1017"/>
      <c r="FU8" s="1017"/>
      <c r="FV8" s="1017"/>
      <c r="FW8" s="1017"/>
      <c r="FX8" s="1017"/>
      <c r="FY8" s="1017"/>
      <c r="FZ8" s="1017"/>
      <c r="GA8" s="1017"/>
      <c r="GB8" s="1017"/>
      <c r="GC8" s="1017"/>
      <c r="GD8" s="1017"/>
      <c r="GE8" s="1017"/>
      <c r="GF8" s="1017"/>
      <c r="GG8" s="1017"/>
      <c r="GH8" s="1017"/>
      <c r="GI8" s="1017"/>
      <c r="GJ8" s="1017"/>
      <c r="GK8" s="1017"/>
      <c r="GL8" s="1017"/>
      <c r="GM8" s="1017"/>
      <c r="GN8" s="1017"/>
      <c r="GO8" s="1017"/>
      <c r="GP8" s="1017"/>
      <c r="GQ8" s="1017"/>
      <c r="GR8" s="1017"/>
      <c r="GS8" s="1017"/>
      <c r="GT8" s="1017"/>
      <c r="GU8" s="1017"/>
      <c r="GV8" s="1017"/>
      <c r="GW8" s="1017"/>
      <c r="GX8" s="1017"/>
      <c r="GY8" s="1017"/>
      <c r="GZ8" s="1017"/>
      <c r="HA8" s="1017"/>
      <c r="HB8" s="1017"/>
      <c r="HC8" s="1017"/>
      <c r="HD8" s="1017"/>
      <c r="HE8" s="1017"/>
      <c r="HF8" s="1017"/>
      <c r="HG8" s="1017"/>
      <c r="HH8" s="1017"/>
      <c r="HI8" s="1017"/>
      <c r="HJ8" s="1017"/>
      <c r="HK8" s="1017"/>
      <c r="HL8" s="1017"/>
      <c r="HM8" s="1017"/>
      <c r="HN8" s="1017"/>
      <c r="HO8" s="1017"/>
      <c r="HP8" s="1017"/>
      <c r="HQ8" s="1017"/>
      <c r="HR8" s="1017"/>
      <c r="HS8" s="1017"/>
      <c r="HT8" s="1017"/>
      <c r="HU8" s="1017"/>
      <c r="HV8" s="1017"/>
      <c r="HW8" s="1017"/>
      <c r="HX8" s="1017"/>
      <c r="HY8" s="1017"/>
      <c r="HZ8" s="1017"/>
      <c r="IA8" s="1017"/>
      <c r="IB8" s="1017"/>
      <c r="IC8" s="1017"/>
      <c r="ID8" s="1017"/>
      <c r="IE8" s="1017"/>
      <c r="IF8" s="1017"/>
      <c r="IG8" s="1017"/>
      <c r="IH8" s="1017"/>
      <c r="II8" s="1017"/>
      <c r="IJ8" s="1017"/>
      <c r="IK8" s="1017"/>
      <c r="IL8" s="1017"/>
      <c r="IM8" s="1017"/>
    </row>
    <row r="9" spans="1:247">
      <c r="A9" s="612" t="s">
        <v>423</v>
      </c>
      <c r="B9" s="1043"/>
      <c r="C9" s="1044">
        <v>145.05000000000001</v>
      </c>
      <c r="D9" s="1045">
        <v>151.78899999999999</v>
      </c>
      <c r="E9" s="1046">
        <v>160.57300000000001</v>
      </c>
      <c r="F9" s="1046">
        <v>170.91800000000001</v>
      </c>
      <c r="G9" s="1047">
        <v>181.22800000000001</v>
      </c>
      <c r="H9" s="1048">
        <v>145.03192098702098</v>
      </c>
      <c r="I9" s="1048">
        <v>153.42487667341229</v>
      </c>
      <c r="J9" s="1048">
        <v>163.30874732067824</v>
      </c>
      <c r="K9" s="1049">
        <v>173.16020516663872</v>
      </c>
      <c r="L9" s="1028"/>
      <c r="M9" s="1045"/>
      <c r="N9" s="1050">
        <v>145.03192098702098</v>
      </c>
      <c r="O9" s="1045">
        <v>153.55072883020358</v>
      </c>
      <c r="P9" s="1046">
        <v>163.62727187452495</v>
      </c>
      <c r="Q9" s="1046">
        <v>173.66008068335145</v>
      </c>
      <c r="R9" s="1045">
        <f t="shared" si="10"/>
        <v>-0.12585215679129647</v>
      </c>
      <c r="S9" s="1046">
        <f t="shared" si="8"/>
        <v>-0.3185245538467143</v>
      </c>
      <c r="T9" s="1046">
        <f t="shared" si="8"/>
        <v>-0.49987551671273422</v>
      </c>
      <c r="U9" s="1050">
        <f t="shared" si="6"/>
        <v>8.5188078431826</v>
      </c>
      <c r="V9" s="948"/>
      <c r="W9" s="1045">
        <f t="shared" si="9"/>
        <v>153.55072883020358</v>
      </c>
      <c r="X9" s="1046">
        <v>160.57300000000001</v>
      </c>
      <c r="Y9" s="1045">
        <f t="shared" si="7"/>
        <v>7.0222711697964257</v>
      </c>
      <c r="Z9" s="1051">
        <f t="shared" si="3"/>
        <v>7.8465221268948695E-3</v>
      </c>
      <c r="AA9" s="1017"/>
      <c r="AB9" s="952"/>
      <c r="AC9" s="1017"/>
      <c r="AD9" s="1017"/>
      <c r="AE9" s="1017"/>
      <c r="AF9" s="1017"/>
      <c r="AG9" s="1017"/>
      <c r="AH9" s="1017"/>
      <c r="AI9" s="1017"/>
      <c r="AJ9" s="1017"/>
      <c r="AK9" s="1017"/>
      <c r="AL9" s="1017"/>
      <c r="AM9" s="1017"/>
      <c r="AN9" s="1017"/>
      <c r="AO9" s="1017"/>
      <c r="AP9" s="1017"/>
      <c r="AQ9" s="1017"/>
      <c r="AR9" s="1017"/>
      <c r="AS9" s="1017"/>
      <c r="AT9" s="1017"/>
      <c r="AU9" s="1017"/>
      <c r="AV9" s="1017"/>
      <c r="AW9" s="1017"/>
      <c r="AX9" s="1017"/>
      <c r="AY9" s="1017"/>
      <c r="AZ9" s="1017"/>
      <c r="BA9" s="1017"/>
      <c r="BB9" s="1017"/>
      <c r="BC9" s="1017"/>
      <c r="BD9" s="1017"/>
      <c r="BE9" s="1017"/>
      <c r="BF9" s="1017"/>
      <c r="BG9" s="1017"/>
      <c r="BH9" s="1017"/>
      <c r="BI9" s="1017"/>
      <c r="BJ9" s="1017"/>
      <c r="BK9" s="1017"/>
      <c r="BL9" s="1017"/>
      <c r="BM9" s="1017"/>
      <c r="BN9" s="1017"/>
      <c r="BO9" s="1017"/>
      <c r="BP9" s="1017"/>
      <c r="BQ9" s="1017"/>
      <c r="BR9" s="1017"/>
      <c r="BS9" s="1017"/>
      <c r="BT9" s="1017"/>
      <c r="BU9" s="1017"/>
      <c r="BV9" s="1017"/>
      <c r="BW9" s="1017"/>
      <c r="BX9" s="1017"/>
      <c r="BY9" s="1017"/>
      <c r="BZ9" s="1017"/>
      <c r="CA9" s="1017"/>
      <c r="CB9" s="1017"/>
      <c r="CC9" s="1017"/>
      <c r="CD9" s="1017"/>
      <c r="CE9" s="1017"/>
      <c r="CF9" s="1017"/>
      <c r="CG9" s="1017"/>
      <c r="CH9" s="1017"/>
      <c r="CI9" s="1017"/>
      <c r="CJ9" s="1017"/>
      <c r="CK9" s="1017"/>
      <c r="CL9" s="1017"/>
      <c r="CM9" s="1017"/>
      <c r="CN9" s="1017"/>
      <c r="CO9" s="1017"/>
      <c r="CP9" s="1017"/>
      <c r="CQ9" s="1017"/>
      <c r="CR9" s="1017"/>
      <c r="CS9" s="1017"/>
      <c r="CT9" s="1017"/>
      <c r="CU9" s="1017"/>
      <c r="CV9" s="1017"/>
      <c r="CW9" s="1017"/>
      <c r="CX9" s="1017"/>
      <c r="CY9" s="1017"/>
      <c r="CZ9" s="1017"/>
      <c r="DA9" s="1017"/>
      <c r="DB9" s="1017"/>
      <c r="DC9" s="1017"/>
      <c r="DD9" s="1017"/>
      <c r="DE9" s="1017"/>
      <c r="DF9" s="1017"/>
      <c r="DG9" s="1017"/>
      <c r="DH9" s="1017"/>
      <c r="DI9" s="1017"/>
      <c r="DJ9" s="1017"/>
      <c r="DK9" s="1017"/>
      <c r="DL9" s="1017"/>
      <c r="DM9" s="1017"/>
      <c r="DN9" s="1017"/>
      <c r="DO9" s="1017"/>
      <c r="DP9" s="1017"/>
      <c r="DQ9" s="1017"/>
      <c r="DR9" s="1017"/>
      <c r="DS9" s="1017"/>
      <c r="DT9" s="1017"/>
      <c r="DU9" s="1017"/>
      <c r="DV9" s="1017"/>
      <c r="DW9" s="1017"/>
      <c r="DX9" s="1017"/>
      <c r="DY9" s="1017"/>
      <c r="DZ9" s="1017"/>
      <c r="EA9" s="1017"/>
      <c r="EB9" s="1017"/>
      <c r="EC9" s="1017"/>
      <c r="ED9" s="1017"/>
      <c r="EE9" s="1017"/>
      <c r="EF9" s="1017"/>
      <c r="EG9" s="1017"/>
      <c r="EH9" s="1017"/>
      <c r="EI9" s="1017"/>
      <c r="EJ9" s="1017"/>
      <c r="EK9" s="1017"/>
      <c r="EL9" s="1017"/>
      <c r="EM9" s="1017"/>
      <c r="EN9" s="1017"/>
      <c r="EO9" s="1017"/>
      <c r="EP9" s="1017"/>
      <c r="EQ9" s="1017"/>
      <c r="ER9" s="1017"/>
      <c r="ES9" s="1017"/>
      <c r="ET9" s="1017"/>
      <c r="EU9" s="1017"/>
      <c r="EV9" s="1017"/>
      <c r="EW9" s="1017"/>
      <c r="EX9" s="1017"/>
      <c r="EY9" s="1017"/>
      <c r="EZ9" s="1017"/>
      <c r="FA9" s="1017"/>
      <c r="FB9" s="1017"/>
      <c r="FC9" s="1017"/>
      <c r="FD9" s="1017"/>
      <c r="FE9" s="1017"/>
      <c r="FF9" s="1017"/>
      <c r="FG9" s="1017"/>
      <c r="FH9" s="1017"/>
      <c r="FI9" s="1017"/>
      <c r="FJ9" s="1017"/>
      <c r="FK9" s="1017"/>
      <c r="FL9" s="1017"/>
      <c r="FM9" s="1017"/>
      <c r="FN9" s="1017"/>
      <c r="FO9" s="1017"/>
      <c r="FP9" s="1017"/>
      <c r="FQ9" s="1017"/>
      <c r="FR9" s="1017"/>
      <c r="FS9" s="1017"/>
      <c r="FT9" s="1017"/>
      <c r="FU9" s="1017"/>
      <c r="FV9" s="1017"/>
      <c r="FW9" s="1017"/>
      <c r="FX9" s="1017"/>
      <c r="FY9" s="1017"/>
      <c r="FZ9" s="1017"/>
      <c r="GA9" s="1017"/>
      <c r="GB9" s="1017"/>
      <c r="GC9" s="1017"/>
      <c r="GD9" s="1017"/>
      <c r="GE9" s="1017"/>
      <c r="GF9" s="1017"/>
      <c r="GG9" s="1017"/>
      <c r="GH9" s="1017"/>
      <c r="GI9" s="1017"/>
      <c r="GJ9" s="1017"/>
      <c r="GK9" s="1017"/>
      <c r="GL9" s="1017"/>
      <c r="GM9" s="1017"/>
      <c r="GN9" s="1017"/>
      <c r="GO9" s="1017"/>
      <c r="GP9" s="1017"/>
      <c r="GQ9" s="1017"/>
      <c r="GR9" s="1017"/>
      <c r="GS9" s="1017"/>
      <c r="GT9" s="1017"/>
      <c r="GU9" s="1017"/>
      <c r="GV9" s="1017"/>
      <c r="GW9" s="1017"/>
      <c r="GX9" s="1017"/>
      <c r="GY9" s="1017"/>
      <c r="GZ9" s="1017"/>
      <c r="HA9" s="1017"/>
      <c r="HB9" s="1017"/>
      <c r="HC9" s="1017"/>
      <c r="HD9" s="1017"/>
      <c r="HE9" s="1017"/>
      <c r="HF9" s="1017"/>
      <c r="HG9" s="1017"/>
      <c r="HH9" s="1017"/>
      <c r="HI9" s="1017"/>
      <c r="HJ9" s="1017"/>
      <c r="HK9" s="1017"/>
      <c r="HL9" s="1017"/>
      <c r="HM9" s="1017"/>
      <c r="HN9" s="1017"/>
      <c r="HO9" s="1017"/>
      <c r="HP9" s="1017"/>
      <c r="HQ9" s="1017"/>
      <c r="HR9" s="1017"/>
      <c r="HS9" s="1017"/>
      <c r="HT9" s="1017"/>
      <c r="HU9" s="1017"/>
      <c r="HV9" s="1017"/>
      <c r="HW9" s="1017"/>
      <c r="HX9" s="1017"/>
      <c r="HY9" s="1017"/>
      <c r="HZ9" s="1017"/>
      <c r="IA9" s="1017"/>
      <c r="IB9" s="1017"/>
      <c r="IC9" s="1017"/>
      <c r="ID9" s="1017"/>
      <c r="IE9" s="1017"/>
      <c r="IF9" s="1017"/>
      <c r="IG9" s="1017"/>
      <c r="IH9" s="1017"/>
      <c r="II9" s="1017"/>
      <c r="IJ9" s="1017"/>
      <c r="IK9" s="1017"/>
      <c r="IL9" s="1017"/>
      <c r="IM9" s="1017"/>
    </row>
    <row r="10" spans="1:247">
      <c r="A10" s="612" t="s">
        <v>424</v>
      </c>
      <c r="B10" s="1043"/>
      <c r="C10" s="1044">
        <f>78.276*15/100</f>
        <v>11.741399999999999</v>
      </c>
      <c r="D10" s="1046">
        <f>81.665*15/100</f>
        <v>12.249750000000001</v>
      </c>
      <c r="E10" s="1046">
        <f>81.665*15/100</f>
        <v>12.249750000000001</v>
      </c>
      <c r="F10" s="1046">
        <f>81.665*15/100</f>
        <v>12.249750000000001</v>
      </c>
      <c r="G10" s="1047">
        <f>81.665*15/100</f>
        <v>12.249750000000001</v>
      </c>
      <c r="H10" s="1048">
        <v>12.3617793342444</v>
      </c>
      <c r="I10" s="1048">
        <v>12.3617793342444</v>
      </c>
      <c r="J10" s="1048">
        <v>12.3617793342444</v>
      </c>
      <c r="K10" s="1049">
        <v>12.3617793342444</v>
      </c>
      <c r="L10" s="1028"/>
      <c r="M10" s="1045"/>
      <c r="N10" s="1050">
        <v>12.3617793342444</v>
      </c>
      <c r="O10" s="1045">
        <v>12.3617793342444</v>
      </c>
      <c r="P10" s="1046">
        <v>12.3617793342444</v>
      </c>
      <c r="Q10" s="1046">
        <v>12.3617793342444</v>
      </c>
      <c r="R10" s="1045">
        <f t="shared" si="10"/>
        <v>0</v>
      </c>
      <c r="S10" s="1046">
        <f t="shared" si="8"/>
        <v>0</v>
      </c>
      <c r="T10" s="1046">
        <f t="shared" si="8"/>
        <v>0</v>
      </c>
      <c r="U10" s="1050">
        <f t="shared" si="6"/>
        <v>0</v>
      </c>
      <c r="V10" s="948"/>
      <c r="W10" s="1045">
        <f t="shared" si="9"/>
        <v>12.3617793342444</v>
      </c>
      <c r="X10" s="1046">
        <v>12.249750000000001</v>
      </c>
      <c r="Y10" s="1045">
        <f t="shared" si="7"/>
        <v>-0.11202933424439898</v>
      </c>
      <c r="Z10" s="1051">
        <f t="shared" si="3"/>
        <v>-1.2517896685488734E-4</v>
      </c>
      <c r="AA10" s="1017"/>
      <c r="AB10" s="952"/>
      <c r="AC10" s="1017"/>
      <c r="AD10" s="1017"/>
      <c r="AE10" s="1017"/>
      <c r="AF10" s="1017"/>
      <c r="AG10" s="1017"/>
      <c r="AH10" s="1017"/>
      <c r="AI10" s="1017"/>
      <c r="AJ10" s="1017"/>
      <c r="AK10" s="1017"/>
      <c r="AL10" s="1017"/>
      <c r="AM10" s="1017"/>
      <c r="AN10" s="1017"/>
      <c r="AO10" s="1017"/>
      <c r="AP10" s="1017"/>
      <c r="AQ10" s="1017"/>
      <c r="AR10" s="1017"/>
      <c r="AS10" s="1017"/>
      <c r="AT10" s="1017"/>
      <c r="AU10" s="1017"/>
      <c r="AV10" s="1017"/>
      <c r="AW10" s="1017"/>
      <c r="AX10" s="1017"/>
      <c r="AY10" s="1017"/>
      <c r="AZ10" s="1017"/>
      <c r="BA10" s="1017"/>
      <c r="BB10" s="1017"/>
      <c r="BC10" s="1017"/>
      <c r="BD10" s="1017"/>
      <c r="BE10" s="1017"/>
      <c r="BF10" s="1017"/>
      <c r="BG10" s="1017"/>
      <c r="BH10" s="1017"/>
      <c r="BI10" s="1017"/>
      <c r="BJ10" s="1017"/>
      <c r="BK10" s="1017"/>
      <c r="BL10" s="1017"/>
      <c r="BM10" s="1017"/>
      <c r="BN10" s="1017"/>
      <c r="BO10" s="1017"/>
      <c r="BP10" s="1017"/>
      <c r="BQ10" s="1017"/>
      <c r="BR10" s="1017"/>
      <c r="BS10" s="1017"/>
      <c r="BT10" s="1017"/>
      <c r="BU10" s="1017"/>
      <c r="BV10" s="1017"/>
      <c r="BW10" s="1017"/>
      <c r="BX10" s="1017"/>
      <c r="BY10" s="1017"/>
      <c r="BZ10" s="1017"/>
      <c r="CA10" s="1017"/>
      <c r="CB10" s="1017"/>
      <c r="CC10" s="1017"/>
      <c r="CD10" s="1017"/>
      <c r="CE10" s="1017"/>
      <c r="CF10" s="1017"/>
      <c r="CG10" s="1017"/>
      <c r="CH10" s="1017"/>
      <c r="CI10" s="1017"/>
      <c r="CJ10" s="1017"/>
      <c r="CK10" s="1017"/>
      <c r="CL10" s="1017"/>
      <c r="CM10" s="1017"/>
      <c r="CN10" s="1017"/>
      <c r="CO10" s="1017"/>
      <c r="CP10" s="1017"/>
      <c r="CQ10" s="1017"/>
      <c r="CR10" s="1017"/>
      <c r="CS10" s="1017"/>
      <c r="CT10" s="1017"/>
      <c r="CU10" s="1017"/>
      <c r="CV10" s="1017"/>
      <c r="CW10" s="1017"/>
      <c r="CX10" s="1017"/>
      <c r="CY10" s="1017"/>
      <c r="CZ10" s="1017"/>
      <c r="DA10" s="1017"/>
      <c r="DB10" s="1017"/>
      <c r="DC10" s="1017"/>
      <c r="DD10" s="1017"/>
      <c r="DE10" s="1017"/>
      <c r="DF10" s="1017"/>
      <c r="DG10" s="1017"/>
      <c r="DH10" s="1017"/>
      <c r="DI10" s="1017"/>
      <c r="DJ10" s="1017"/>
      <c r="DK10" s="1017"/>
      <c r="DL10" s="1017"/>
      <c r="DM10" s="1017"/>
      <c r="DN10" s="1017"/>
      <c r="DO10" s="1017"/>
      <c r="DP10" s="1017"/>
      <c r="DQ10" s="1017"/>
      <c r="DR10" s="1017"/>
      <c r="DS10" s="1017"/>
      <c r="DT10" s="1017"/>
      <c r="DU10" s="1017"/>
      <c r="DV10" s="1017"/>
      <c r="DW10" s="1017"/>
      <c r="DX10" s="1017"/>
      <c r="DY10" s="1017"/>
      <c r="DZ10" s="1017"/>
      <c r="EA10" s="1017"/>
      <c r="EB10" s="1017"/>
      <c r="EC10" s="1017"/>
      <c r="ED10" s="1017"/>
      <c r="EE10" s="1017"/>
      <c r="EF10" s="1017"/>
      <c r="EG10" s="1017"/>
      <c r="EH10" s="1017"/>
      <c r="EI10" s="1017"/>
      <c r="EJ10" s="1017"/>
      <c r="EK10" s="1017"/>
      <c r="EL10" s="1017"/>
      <c r="EM10" s="1017"/>
      <c r="EN10" s="1017"/>
      <c r="EO10" s="1017"/>
      <c r="EP10" s="1017"/>
      <c r="EQ10" s="1017"/>
      <c r="ER10" s="1017"/>
      <c r="ES10" s="1017"/>
      <c r="ET10" s="1017"/>
      <c r="EU10" s="1017"/>
      <c r="EV10" s="1017"/>
      <c r="EW10" s="1017"/>
      <c r="EX10" s="1017"/>
      <c r="EY10" s="1017"/>
      <c r="EZ10" s="1017"/>
      <c r="FA10" s="1017"/>
      <c r="FB10" s="1017"/>
      <c r="FC10" s="1017"/>
      <c r="FD10" s="1017"/>
      <c r="FE10" s="1017"/>
      <c r="FF10" s="1017"/>
      <c r="FG10" s="1017"/>
      <c r="FH10" s="1017"/>
      <c r="FI10" s="1017"/>
      <c r="FJ10" s="1017"/>
      <c r="FK10" s="1017"/>
      <c r="FL10" s="1017"/>
      <c r="FM10" s="1017"/>
      <c r="FN10" s="1017"/>
      <c r="FO10" s="1017"/>
      <c r="FP10" s="1017"/>
      <c r="FQ10" s="1017"/>
      <c r="FR10" s="1017"/>
      <c r="FS10" s="1017"/>
      <c r="FT10" s="1017"/>
      <c r="FU10" s="1017"/>
      <c r="FV10" s="1017"/>
      <c r="FW10" s="1017"/>
      <c r="FX10" s="1017"/>
      <c r="FY10" s="1017"/>
      <c r="FZ10" s="1017"/>
      <c r="GA10" s="1017"/>
      <c r="GB10" s="1017"/>
      <c r="GC10" s="1017"/>
      <c r="GD10" s="1017"/>
      <c r="GE10" s="1017"/>
      <c r="GF10" s="1017"/>
      <c r="GG10" s="1017"/>
      <c r="GH10" s="1017"/>
      <c r="GI10" s="1017"/>
      <c r="GJ10" s="1017"/>
      <c r="GK10" s="1017"/>
      <c r="GL10" s="1017"/>
      <c r="GM10" s="1017"/>
      <c r="GN10" s="1017"/>
      <c r="GO10" s="1017"/>
      <c r="GP10" s="1017"/>
      <c r="GQ10" s="1017"/>
      <c r="GR10" s="1017"/>
      <c r="GS10" s="1017"/>
      <c r="GT10" s="1017"/>
      <c r="GU10" s="1017"/>
      <c r="GV10" s="1017"/>
      <c r="GW10" s="1017"/>
      <c r="GX10" s="1017"/>
      <c r="GY10" s="1017"/>
      <c r="GZ10" s="1017"/>
      <c r="HA10" s="1017"/>
      <c r="HB10" s="1017"/>
      <c r="HC10" s="1017"/>
      <c r="HD10" s="1017"/>
      <c r="HE10" s="1017"/>
      <c r="HF10" s="1017"/>
      <c r="HG10" s="1017"/>
      <c r="HH10" s="1017"/>
      <c r="HI10" s="1017"/>
      <c r="HJ10" s="1017"/>
      <c r="HK10" s="1017"/>
      <c r="HL10" s="1017"/>
      <c r="HM10" s="1017"/>
      <c r="HN10" s="1017"/>
      <c r="HO10" s="1017"/>
      <c r="HP10" s="1017"/>
      <c r="HQ10" s="1017"/>
      <c r="HR10" s="1017"/>
      <c r="HS10" s="1017"/>
      <c r="HT10" s="1017"/>
      <c r="HU10" s="1017"/>
      <c r="HV10" s="1017"/>
      <c r="HW10" s="1017"/>
      <c r="HX10" s="1017"/>
      <c r="HY10" s="1017"/>
      <c r="HZ10" s="1017"/>
      <c r="IA10" s="1017"/>
      <c r="IB10" s="1017"/>
      <c r="IC10" s="1017"/>
      <c r="ID10" s="1017"/>
      <c r="IE10" s="1017"/>
      <c r="IF10" s="1017"/>
      <c r="IG10" s="1017"/>
      <c r="IH10" s="1017"/>
      <c r="II10" s="1017"/>
      <c r="IJ10" s="1017"/>
      <c r="IK10" s="1017"/>
      <c r="IL10" s="1017"/>
      <c r="IM10" s="1017"/>
    </row>
    <row r="11" spans="1:247">
      <c r="A11" s="612" t="s">
        <v>924</v>
      </c>
      <c r="B11" s="1043"/>
      <c r="C11" s="1044">
        <v>119.77200000000001</v>
      </c>
      <c r="D11" s="1045">
        <v>126.02200000000001</v>
      </c>
      <c r="E11" s="1046">
        <v>133.64599999999999</v>
      </c>
      <c r="F11" s="1046">
        <v>141.55199999999999</v>
      </c>
      <c r="G11" s="1047">
        <v>150.66300000000001</v>
      </c>
      <c r="H11" s="1048">
        <v>126.98377729565971</v>
      </c>
      <c r="I11" s="1048">
        <v>134.66543276448792</v>
      </c>
      <c r="J11" s="1048">
        <v>142.63257422606679</v>
      </c>
      <c r="K11" s="1049">
        <v>151.81260975583774</v>
      </c>
      <c r="L11" s="1028"/>
      <c r="M11" s="1045"/>
      <c r="N11" s="1050">
        <v>126.98377729565971</v>
      </c>
      <c r="O11" s="1045">
        <v>134.13764979915743</v>
      </c>
      <c r="P11" s="1046">
        <v>142.16984043797109</v>
      </c>
      <c r="Q11" s="1046">
        <v>151.06323629284663</v>
      </c>
      <c r="R11" s="1045">
        <f t="shared" si="10"/>
        <v>0.52778296533048774</v>
      </c>
      <c r="S11" s="1046">
        <f t="shared" si="8"/>
        <v>0.46273378809570431</v>
      </c>
      <c r="T11" s="1046">
        <f t="shared" si="8"/>
        <v>0.74937346299111596</v>
      </c>
      <c r="U11" s="1050">
        <f t="shared" si="6"/>
        <v>7.1538725034977233</v>
      </c>
      <c r="V11" s="948"/>
      <c r="W11" s="1045">
        <f t="shared" si="9"/>
        <v>134.13764979915743</v>
      </c>
      <c r="X11" s="1046">
        <v>133.64599999999999</v>
      </c>
      <c r="Y11" s="1045">
        <f t="shared" si="7"/>
        <v>-0.49164979915744311</v>
      </c>
      <c r="Z11" s="1051">
        <f t="shared" si="3"/>
        <v>-5.4935802598522136E-4</v>
      </c>
      <c r="AA11" s="1017"/>
      <c r="AB11" s="952"/>
      <c r="AC11" s="1017"/>
      <c r="AD11" s="1017"/>
      <c r="AE11" s="1017"/>
      <c r="AF11" s="1017"/>
      <c r="AG11" s="1017"/>
      <c r="AH11" s="1017"/>
      <c r="AI11" s="1017"/>
      <c r="AJ11" s="1017"/>
      <c r="AK11" s="1017"/>
      <c r="AL11" s="1017"/>
      <c r="AM11" s="1017"/>
      <c r="AN11" s="1017"/>
      <c r="AO11" s="1017"/>
      <c r="AP11" s="1017"/>
      <c r="AQ11" s="1017"/>
      <c r="AR11" s="1017"/>
      <c r="AS11" s="1017"/>
      <c r="AT11" s="1017"/>
      <c r="AU11" s="1017"/>
      <c r="AV11" s="1017"/>
      <c r="AW11" s="1017"/>
      <c r="AX11" s="1017"/>
      <c r="AY11" s="1017"/>
      <c r="AZ11" s="1017"/>
      <c r="BA11" s="1017"/>
      <c r="BB11" s="1017"/>
      <c r="BC11" s="1017"/>
      <c r="BD11" s="1017"/>
      <c r="BE11" s="1017"/>
      <c r="BF11" s="1017"/>
      <c r="BG11" s="1017"/>
      <c r="BH11" s="1017"/>
      <c r="BI11" s="1017"/>
      <c r="BJ11" s="1017"/>
      <c r="BK11" s="1017"/>
      <c r="BL11" s="1017"/>
      <c r="BM11" s="1017"/>
      <c r="BN11" s="1017"/>
      <c r="BO11" s="1017"/>
      <c r="BP11" s="1017"/>
      <c r="BQ11" s="1017"/>
      <c r="BR11" s="1017"/>
      <c r="BS11" s="1017"/>
      <c r="BT11" s="1017"/>
      <c r="BU11" s="1017"/>
      <c r="BV11" s="1017"/>
      <c r="BW11" s="1017"/>
      <c r="BX11" s="1017"/>
      <c r="BY11" s="1017"/>
      <c r="BZ11" s="1017"/>
      <c r="CA11" s="1017"/>
      <c r="CB11" s="1017"/>
      <c r="CC11" s="1017"/>
      <c r="CD11" s="1017"/>
      <c r="CE11" s="1017"/>
      <c r="CF11" s="1017"/>
      <c r="CG11" s="1017"/>
      <c r="CH11" s="1017"/>
      <c r="CI11" s="1017"/>
      <c r="CJ11" s="1017"/>
      <c r="CK11" s="1017"/>
      <c r="CL11" s="1017"/>
      <c r="CM11" s="1017"/>
      <c r="CN11" s="1017"/>
      <c r="CO11" s="1017"/>
      <c r="CP11" s="1017"/>
      <c r="CQ11" s="1017"/>
      <c r="CR11" s="1017"/>
      <c r="CS11" s="1017"/>
      <c r="CT11" s="1017"/>
      <c r="CU11" s="1017"/>
      <c r="CV11" s="1017"/>
      <c r="CW11" s="1017"/>
      <c r="CX11" s="1017"/>
      <c r="CY11" s="1017"/>
      <c r="CZ11" s="1017"/>
      <c r="DA11" s="1017"/>
      <c r="DB11" s="1017"/>
      <c r="DC11" s="1017"/>
      <c r="DD11" s="1017"/>
      <c r="DE11" s="1017"/>
      <c r="DF11" s="1017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G11" s="1017"/>
      <c r="EH11" s="1017"/>
      <c r="EI11" s="1017"/>
      <c r="EJ11" s="1017"/>
      <c r="EK11" s="1017"/>
      <c r="EL11" s="1017"/>
      <c r="EM11" s="1017"/>
      <c r="EN11" s="1017"/>
      <c r="EO11" s="1017"/>
      <c r="EP11" s="1017"/>
      <c r="EQ11" s="1017"/>
      <c r="ER11" s="1017"/>
      <c r="ES11" s="1017"/>
      <c r="ET11" s="1017"/>
      <c r="EU11" s="1017"/>
      <c r="EV11" s="1017"/>
      <c r="EW11" s="1017"/>
      <c r="EX11" s="1017"/>
      <c r="EY11" s="1017"/>
      <c r="EZ11" s="1017"/>
      <c r="FA11" s="1017"/>
      <c r="FB11" s="1017"/>
      <c r="FC11" s="1017"/>
      <c r="FD11" s="1017"/>
      <c r="FE11" s="1017"/>
      <c r="FF11" s="1017"/>
      <c r="FG11" s="1017"/>
      <c r="FH11" s="1017"/>
      <c r="FI11" s="1017"/>
      <c r="FJ11" s="1017"/>
      <c r="FK11" s="1017"/>
      <c r="FL11" s="1017"/>
      <c r="FM11" s="1017"/>
      <c r="FN11" s="1017"/>
      <c r="FO11" s="1017"/>
      <c r="FP11" s="1017"/>
      <c r="FQ11" s="1017"/>
      <c r="FR11" s="1017"/>
      <c r="FS11" s="1017"/>
      <c r="FT11" s="1017"/>
      <c r="FU11" s="1017"/>
      <c r="FV11" s="1017"/>
      <c r="FW11" s="1017"/>
      <c r="FX11" s="1017"/>
      <c r="FY11" s="1017"/>
      <c r="FZ11" s="1017"/>
      <c r="GA11" s="1017"/>
      <c r="GB11" s="1017"/>
      <c r="GC11" s="1017"/>
      <c r="GD11" s="1017"/>
      <c r="GE11" s="1017"/>
      <c r="GF11" s="1017"/>
      <c r="GG11" s="1017"/>
      <c r="GH11" s="1017"/>
      <c r="GI11" s="1017"/>
      <c r="GJ11" s="1017"/>
      <c r="GK11" s="1017"/>
      <c r="GL11" s="1017"/>
      <c r="GM11" s="1017"/>
      <c r="GN11" s="1017"/>
      <c r="GO11" s="1017"/>
      <c r="GP11" s="1017"/>
      <c r="GQ11" s="1017"/>
      <c r="GR11" s="1017"/>
      <c r="GS11" s="1017"/>
      <c r="GT11" s="1017"/>
      <c r="GU11" s="1017"/>
      <c r="GV11" s="1017"/>
      <c r="GW11" s="1017"/>
      <c r="GX11" s="1017"/>
      <c r="GY11" s="1017"/>
      <c r="GZ11" s="1017"/>
      <c r="HA11" s="1017"/>
      <c r="HB11" s="1017"/>
      <c r="HC11" s="1017"/>
      <c r="HD11" s="1017"/>
      <c r="HE11" s="1017"/>
      <c r="HF11" s="1017"/>
      <c r="HG11" s="1017"/>
      <c r="HH11" s="1017"/>
      <c r="HI11" s="1017"/>
      <c r="HJ11" s="1017"/>
      <c r="HK11" s="1017"/>
      <c r="HL11" s="1017"/>
      <c r="HM11" s="1017"/>
      <c r="HN11" s="1017"/>
      <c r="HO11" s="1017"/>
      <c r="HP11" s="1017"/>
      <c r="HQ11" s="1017"/>
      <c r="HR11" s="1017"/>
      <c r="HS11" s="1017"/>
      <c r="HT11" s="1017"/>
      <c r="HU11" s="1017"/>
      <c r="HV11" s="1017"/>
      <c r="HW11" s="1017"/>
      <c r="HX11" s="1017"/>
      <c r="HY11" s="1017"/>
      <c r="HZ11" s="1017"/>
      <c r="IA11" s="1017"/>
      <c r="IB11" s="1017"/>
      <c r="IC11" s="1017"/>
      <c r="ID11" s="1017"/>
      <c r="IE11" s="1017"/>
      <c r="IF11" s="1017"/>
      <c r="IG11" s="1017"/>
      <c r="IH11" s="1017"/>
      <c r="II11" s="1017"/>
      <c r="IJ11" s="1017"/>
      <c r="IK11" s="1017"/>
      <c r="IL11" s="1017"/>
      <c r="IM11" s="1017"/>
    </row>
    <row r="12" spans="1:247">
      <c r="A12" s="612" t="s">
        <v>925</v>
      </c>
      <c r="B12" s="1043"/>
      <c r="C12" s="1044">
        <v>186.61600000000001</v>
      </c>
      <c r="D12" s="1045">
        <v>190</v>
      </c>
      <c r="E12" s="1046">
        <v>265</v>
      </c>
      <c r="F12" s="1046">
        <v>227.5</v>
      </c>
      <c r="G12" s="1047">
        <v>227.5</v>
      </c>
      <c r="H12" s="1048">
        <v>190</v>
      </c>
      <c r="I12" s="1048">
        <v>265</v>
      </c>
      <c r="J12" s="1048">
        <v>227.5</v>
      </c>
      <c r="K12" s="1049">
        <v>227.5</v>
      </c>
      <c r="L12" s="1028"/>
      <c r="M12" s="1045"/>
      <c r="N12" s="1050">
        <f t="shared" ref="N12:N68" si="11">H12+M12</f>
        <v>190</v>
      </c>
      <c r="O12" s="1045">
        <f>I12-65</f>
        <v>200</v>
      </c>
      <c r="P12" s="1046">
        <f>J12-27.5</f>
        <v>200</v>
      </c>
      <c r="Q12" s="1046">
        <f>K12-27.5</f>
        <v>200</v>
      </c>
      <c r="R12" s="1045">
        <f t="shared" si="10"/>
        <v>65</v>
      </c>
      <c r="S12" s="1046">
        <f t="shared" si="8"/>
        <v>27.5</v>
      </c>
      <c r="T12" s="1046">
        <f t="shared" si="8"/>
        <v>27.5</v>
      </c>
      <c r="U12" s="1050">
        <f t="shared" si="6"/>
        <v>10</v>
      </c>
      <c r="V12" s="948"/>
      <c r="W12" s="1045">
        <f t="shared" si="9"/>
        <v>200</v>
      </c>
      <c r="X12" s="1046">
        <v>265</v>
      </c>
      <c r="Y12" s="1045">
        <f t="shared" si="7"/>
        <v>65</v>
      </c>
      <c r="Z12" s="1051">
        <f t="shared" si="3"/>
        <v>7.2629484950942444E-2</v>
      </c>
      <c r="AA12" s="1017"/>
      <c r="AB12" s="952"/>
      <c r="AC12" s="1017"/>
      <c r="AD12" s="1017"/>
      <c r="AE12" s="1017"/>
      <c r="AF12" s="1017"/>
      <c r="AG12" s="1017"/>
      <c r="AH12" s="1017"/>
      <c r="AI12" s="1017"/>
      <c r="AJ12" s="1017"/>
      <c r="AK12" s="1017"/>
      <c r="AL12" s="1017"/>
      <c r="AM12" s="1017"/>
      <c r="AN12" s="1017"/>
      <c r="AO12" s="1017"/>
      <c r="AP12" s="1017"/>
      <c r="AQ12" s="1017"/>
      <c r="AR12" s="1017"/>
      <c r="AS12" s="1017"/>
      <c r="AT12" s="1017"/>
      <c r="AU12" s="1017"/>
      <c r="AV12" s="1017"/>
      <c r="AW12" s="1017"/>
      <c r="AX12" s="1017"/>
      <c r="AY12" s="1017"/>
      <c r="AZ12" s="1017"/>
      <c r="BA12" s="1017"/>
      <c r="BB12" s="1017"/>
      <c r="BC12" s="1017"/>
      <c r="BD12" s="1017"/>
      <c r="BE12" s="1017"/>
      <c r="BF12" s="1017"/>
      <c r="BG12" s="1017"/>
      <c r="BH12" s="1017"/>
      <c r="BI12" s="1017"/>
      <c r="BJ12" s="1017"/>
      <c r="BK12" s="1017"/>
      <c r="BL12" s="1017"/>
      <c r="BM12" s="1017"/>
      <c r="BN12" s="1017"/>
      <c r="BO12" s="1017"/>
      <c r="BP12" s="1017"/>
      <c r="BQ12" s="1017"/>
      <c r="BR12" s="1017"/>
      <c r="BS12" s="1017"/>
      <c r="BT12" s="1017"/>
      <c r="BU12" s="1017"/>
      <c r="BV12" s="1017"/>
      <c r="BW12" s="1017"/>
      <c r="BX12" s="1017"/>
      <c r="BY12" s="1017"/>
      <c r="BZ12" s="1017"/>
      <c r="CA12" s="1017"/>
      <c r="CB12" s="1017"/>
      <c r="CC12" s="1017"/>
      <c r="CD12" s="1017"/>
      <c r="CE12" s="1017"/>
      <c r="CF12" s="1017"/>
      <c r="CG12" s="1017"/>
      <c r="CH12" s="1017"/>
      <c r="CI12" s="1017"/>
      <c r="CJ12" s="1017"/>
      <c r="CK12" s="1017"/>
      <c r="CL12" s="1017"/>
      <c r="CM12" s="1017"/>
      <c r="CN12" s="1017"/>
      <c r="CO12" s="1017"/>
      <c r="CP12" s="1017"/>
      <c r="CQ12" s="1017"/>
      <c r="CR12" s="1017"/>
      <c r="CS12" s="1017"/>
      <c r="CT12" s="1017"/>
      <c r="CU12" s="1017"/>
      <c r="CV12" s="1017"/>
      <c r="CW12" s="1017"/>
      <c r="CX12" s="1017"/>
      <c r="CY12" s="1017"/>
      <c r="CZ12" s="1017"/>
      <c r="DA12" s="1017"/>
      <c r="DB12" s="1017"/>
      <c r="DC12" s="1017"/>
      <c r="DD12" s="1017"/>
      <c r="DE12" s="1017"/>
      <c r="DF12" s="1017"/>
      <c r="DG12" s="1017"/>
      <c r="DH12" s="1017"/>
      <c r="DI12" s="1017"/>
      <c r="DJ12" s="1017"/>
      <c r="DK12" s="1017"/>
      <c r="DL12" s="1017"/>
      <c r="DM12" s="1017"/>
      <c r="DN12" s="1017"/>
      <c r="DO12" s="1017"/>
      <c r="DP12" s="1017"/>
      <c r="DQ12" s="1017"/>
      <c r="DR12" s="1017"/>
      <c r="DS12" s="1017"/>
      <c r="DT12" s="1017"/>
      <c r="DU12" s="1017"/>
      <c r="DV12" s="1017"/>
      <c r="DW12" s="1017"/>
      <c r="DX12" s="1017"/>
      <c r="DY12" s="1017"/>
      <c r="DZ12" s="1017"/>
      <c r="EA12" s="1017"/>
      <c r="EB12" s="1017"/>
      <c r="EC12" s="1017"/>
      <c r="ED12" s="1017"/>
      <c r="EE12" s="1017"/>
      <c r="EF12" s="1017"/>
      <c r="EG12" s="1017"/>
      <c r="EH12" s="1017"/>
      <c r="EI12" s="1017"/>
      <c r="EJ12" s="1017"/>
      <c r="EK12" s="1017"/>
      <c r="EL12" s="1017"/>
      <c r="EM12" s="1017"/>
      <c r="EN12" s="1017"/>
      <c r="EO12" s="1017"/>
      <c r="EP12" s="1017"/>
      <c r="EQ12" s="1017"/>
      <c r="ER12" s="1017"/>
      <c r="ES12" s="1017"/>
      <c r="ET12" s="1017"/>
      <c r="EU12" s="1017"/>
      <c r="EV12" s="1017"/>
      <c r="EW12" s="1017"/>
      <c r="EX12" s="1017"/>
      <c r="EY12" s="1017"/>
      <c r="EZ12" s="1017"/>
      <c r="FA12" s="1017"/>
      <c r="FB12" s="1017"/>
      <c r="FC12" s="1017"/>
      <c r="FD12" s="1017"/>
      <c r="FE12" s="1017"/>
      <c r="FF12" s="1017"/>
      <c r="FG12" s="1017"/>
      <c r="FH12" s="1017"/>
      <c r="FI12" s="1017"/>
      <c r="FJ12" s="1017"/>
      <c r="FK12" s="1017"/>
      <c r="FL12" s="1017"/>
      <c r="FM12" s="1017"/>
      <c r="FN12" s="1017"/>
      <c r="FO12" s="1017"/>
      <c r="FP12" s="1017"/>
      <c r="FQ12" s="1017"/>
      <c r="FR12" s="1017"/>
      <c r="FS12" s="1017"/>
      <c r="FT12" s="1017"/>
      <c r="FU12" s="1017"/>
      <c r="FV12" s="1017"/>
      <c r="FW12" s="1017"/>
      <c r="FX12" s="1017"/>
      <c r="FY12" s="1017"/>
      <c r="FZ12" s="1017"/>
      <c r="GA12" s="1017"/>
      <c r="GB12" s="1017"/>
      <c r="GC12" s="1017"/>
      <c r="GD12" s="1017"/>
      <c r="GE12" s="1017"/>
      <c r="GF12" s="1017"/>
      <c r="GG12" s="1017"/>
      <c r="GH12" s="1017"/>
      <c r="GI12" s="1017"/>
      <c r="GJ12" s="1017"/>
      <c r="GK12" s="1017"/>
      <c r="GL12" s="1017"/>
      <c r="GM12" s="1017"/>
      <c r="GN12" s="1017"/>
      <c r="GO12" s="1017"/>
      <c r="GP12" s="1017"/>
      <c r="GQ12" s="1017"/>
      <c r="GR12" s="1017"/>
      <c r="GS12" s="1017"/>
      <c r="GT12" s="1017"/>
      <c r="GU12" s="1017"/>
      <c r="GV12" s="1017"/>
      <c r="GW12" s="1017"/>
      <c r="GX12" s="1017"/>
      <c r="GY12" s="1017"/>
      <c r="GZ12" s="1017"/>
      <c r="HA12" s="1017"/>
      <c r="HB12" s="1017"/>
      <c r="HC12" s="1017"/>
      <c r="HD12" s="1017"/>
      <c r="HE12" s="1017"/>
      <c r="HF12" s="1017"/>
      <c r="HG12" s="1017"/>
      <c r="HH12" s="1017"/>
      <c r="HI12" s="1017"/>
      <c r="HJ12" s="1017"/>
      <c r="HK12" s="1017"/>
      <c r="HL12" s="1017"/>
      <c r="HM12" s="1017"/>
      <c r="HN12" s="1017"/>
      <c r="HO12" s="1017"/>
      <c r="HP12" s="1017"/>
      <c r="HQ12" s="1017"/>
      <c r="HR12" s="1017"/>
      <c r="HS12" s="1017"/>
      <c r="HT12" s="1017"/>
      <c r="HU12" s="1017"/>
      <c r="HV12" s="1017"/>
      <c r="HW12" s="1017"/>
      <c r="HX12" s="1017"/>
      <c r="HY12" s="1017"/>
      <c r="HZ12" s="1017"/>
      <c r="IA12" s="1017"/>
      <c r="IB12" s="1017"/>
      <c r="IC12" s="1017"/>
      <c r="ID12" s="1017"/>
      <c r="IE12" s="1017"/>
      <c r="IF12" s="1017"/>
      <c r="IG12" s="1017"/>
      <c r="IH12" s="1017"/>
      <c r="II12" s="1017"/>
      <c r="IJ12" s="1017"/>
      <c r="IK12" s="1017"/>
      <c r="IL12" s="1017"/>
      <c r="IM12" s="1017"/>
    </row>
    <row r="13" spans="1:247">
      <c r="A13" s="612" t="s">
        <v>427</v>
      </c>
      <c r="B13" s="1043"/>
      <c r="C13" s="1044">
        <v>32.077536000000002</v>
      </c>
      <c r="D13" s="1045">
        <f>39.724</f>
        <v>39.723999999999997</v>
      </c>
      <c r="E13" s="1046">
        <v>42.125999999999998</v>
      </c>
      <c r="F13" s="1046">
        <v>45.143999999999998</v>
      </c>
      <c r="G13" s="1047">
        <v>47.866</v>
      </c>
      <c r="H13" s="1048">
        <v>39.223477599999995</v>
      </c>
      <c r="I13" s="1048">
        <v>41.595212400000001</v>
      </c>
      <c r="J13" s="1048">
        <v>44.575185599999998</v>
      </c>
      <c r="K13" s="1049">
        <v>47.262888400000001</v>
      </c>
      <c r="L13" s="1028"/>
      <c r="M13" s="1045"/>
      <c r="N13" s="1050">
        <f t="shared" si="11"/>
        <v>39.223477599999995</v>
      </c>
      <c r="O13" s="1045">
        <f>I13+0.168134529475967</f>
        <v>41.763346929475965</v>
      </c>
      <c r="P13" s="1046">
        <f>J13+0.425529765829182</f>
        <v>45.00071536582918</v>
      </c>
      <c r="Q13" s="1046">
        <f>K13+0.667801848558564</f>
        <v>47.930690248558562</v>
      </c>
      <c r="R13" s="1045">
        <f t="shared" si="10"/>
        <v>-0.16813452947596375</v>
      </c>
      <c r="S13" s="1046">
        <f t="shared" si="8"/>
        <v>-0.42552976582918234</v>
      </c>
      <c r="T13" s="1046">
        <f t="shared" si="8"/>
        <v>-0.66780184855856106</v>
      </c>
      <c r="U13" s="1050">
        <f t="shared" si="6"/>
        <v>2.5398693294759696</v>
      </c>
      <c r="V13" s="948"/>
      <c r="W13" s="1045">
        <f t="shared" si="9"/>
        <v>41.763346929475965</v>
      </c>
      <c r="X13" s="1046">
        <v>42.125999999999998</v>
      </c>
      <c r="Y13" s="1045">
        <f t="shared" si="7"/>
        <v>0.36265307052403273</v>
      </c>
      <c r="Z13" s="1051">
        <f t="shared" si="3"/>
        <v>4.0522008812366621E-4</v>
      </c>
      <c r="AA13" s="1017"/>
      <c r="AB13" s="952"/>
      <c r="AC13" s="1017"/>
      <c r="AD13" s="1017"/>
      <c r="AE13" s="1017"/>
      <c r="AF13" s="1017"/>
      <c r="AG13" s="1017"/>
      <c r="AH13" s="1017"/>
      <c r="AI13" s="1017"/>
      <c r="AJ13" s="1017"/>
      <c r="AK13" s="1017"/>
      <c r="AL13" s="1017"/>
      <c r="AM13" s="1017"/>
      <c r="AN13" s="1017"/>
      <c r="AO13" s="1017"/>
      <c r="AP13" s="1017"/>
      <c r="AQ13" s="1017"/>
      <c r="AR13" s="1017"/>
      <c r="AS13" s="1017"/>
      <c r="AT13" s="1017"/>
      <c r="AU13" s="1017"/>
      <c r="AV13" s="1017"/>
      <c r="AW13" s="1017"/>
      <c r="AX13" s="1017"/>
      <c r="AY13" s="1017"/>
      <c r="AZ13" s="1017"/>
      <c r="BA13" s="1017"/>
      <c r="BB13" s="1017"/>
      <c r="BC13" s="1017"/>
      <c r="BD13" s="1017"/>
      <c r="BE13" s="1017"/>
      <c r="BF13" s="1017"/>
      <c r="BG13" s="1017"/>
      <c r="BH13" s="1017"/>
      <c r="BI13" s="1017"/>
      <c r="BJ13" s="1017"/>
      <c r="BK13" s="1017"/>
      <c r="BL13" s="1017"/>
      <c r="BM13" s="1017"/>
      <c r="BN13" s="1017"/>
      <c r="BO13" s="1017"/>
      <c r="BP13" s="1017"/>
      <c r="BQ13" s="1017"/>
      <c r="BR13" s="1017"/>
      <c r="BS13" s="1017"/>
      <c r="BT13" s="1017"/>
      <c r="BU13" s="1017"/>
      <c r="BV13" s="1017"/>
      <c r="BW13" s="1017"/>
      <c r="BX13" s="1017"/>
      <c r="BY13" s="1017"/>
      <c r="BZ13" s="1017"/>
      <c r="CA13" s="1017"/>
      <c r="CB13" s="1017"/>
      <c r="CC13" s="1017"/>
      <c r="CD13" s="1017"/>
      <c r="CE13" s="1017"/>
      <c r="CF13" s="1017"/>
      <c r="CG13" s="1017"/>
      <c r="CH13" s="1017"/>
      <c r="CI13" s="1017"/>
      <c r="CJ13" s="1017"/>
      <c r="CK13" s="1017"/>
      <c r="CL13" s="1017"/>
      <c r="CM13" s="1017"/>
      <c r="CN13" s="1017"/>
      <c r="CO13" s="1017"/>
      <c r="CP13" s="1017"/>
      <c r="CQ13" s="1017"/>
      <c r="CR13" s="1017"/>
      <c r="CS13" s="1017"/>
      <c r="CT13" s="1017"/>
      <c r="CU13" s="1017"/>
      <c r="CV13" s="1017"/>
      <c r="CW13" s="1017"/>
      <c r="CX13" s="1017"/>
      <c r="CY13" s="1017"/>
      <c r="CZ13" s="1017"/>
      <c r="DA13" s="1017"/>
      <c r="DB13" s="1017"/>
      <c r="DC13" s="1017"/>
      <c r="DD13" s="1017"/>
      <c r="DE13" s="1017"/>
      <c r="DF13" s="1017"/>
      <c r="DG13" s="1017"/>
      <c r="DH13" s="1017"/>
      <c r="DI13" s="1017"/>
      <c r="DJ13" s="1017"/>
      <c r="DK13" s="1017"/>
      <c r="DL13" s="1017"/>
      <c r="DM13" s="1017"/>
      <c r="DN13" s="1017"/>
      <c r="DO13" s="1017"/>
      <c r="DP13" s="1017"/>
      <c r="DQ13" s="1017"/>
      <c r="DR13" s="1017"/>
      <c r="DS13" s="1017"/>
      <c r="DT13" s="1017"/>
      <c r="DU13" s="1017"/>
      <c r="DV13" s="1017"/>
      <c r="DW13" s="1017"/>
      <c r="DX13" s="1017"/>
      <c r="DY13" s="1017"/>
      <c r="DZ13" s="1017"/>
      <c r="EA13" s="1017"/>
      <c r="EB13" s="1017"/>
      <c r="EC13" s="1017"/>
      <c r="ED13" s="1017"/>
      <c r="EE13" s="1017"/>
      <c r="EF13" s="1017"/>
      <c r="EG13" s="1017"/>
      <c r="EH13" s="1017"/>
      <c r="EI13" s="1017"/>
      <c r="EJ13" s="1017"/>
      <c r="EK13" s="1017"/>
      <c r="EL13" s="1017"/>
      <c r="EM13" s="1017"/>
      <c r="EN13" s="1017"/>
      <c r="EO13" s="1017"/>
      <c r="EP13" s="1017"/>
      <c r="EQ13" s="1017"/>
      <c r="ER13" s="1017"/>
      <c r="ES13" s="1017"/>
      <c r="ET13" s="1017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1017"/>
      <c r="FP13" s="1017"/>
      <c r="FQ13" s="1017"/>
      <c r="FR13" s="1017"/>
      <c r="FS13" s="1017"/>
      <c r="FT13" s="1017"/>
      <c r="FU13" s="1017"/>
      <c r="FV13" s="1017"/>
      <c r="FW13" s="1017"/>
      <c r="FX13" s="1017"/>
      <c r="FY13" s="1017"/>
      <c r="FZ13" s="1017"/>
      <c r="GA13" s="1017"/>
      <c r="GB13" s="1017"/>
      <c r="GC13" s="1017"/>
      <c r="GD13" s="1017"/>
      <c r="GE13" s="1017"/>
      <c r="GF13" s="1017"/>
      <c r="GG13" s="1017"/>
      <c r="GH13" s="1017"/>
      <c r="GI13" s="1017"/>
      <c r="GJ13" s="1017"/>
      <c r="GK13" s="1017"/>
      <c r="GL13" s="1017"/>
      <c r="GM13" s="1017"/>
      <c r="GN13" s="1017"/>
      <c r="GO13" s="1017"/>
      <c r="GP13" s="1017"/>
      <c r="GQ13" s="1017"/>
      <c r="GR13" s="1017"/>
      <c r="GS13" s="1017"/>
      <c r="GT13" s="1017"/>
      <c r="GU13" s="1017"/>
      <c r="GV13" s="1017"/>
      <c r="GW13" s="1017"/>
      <c r="GX13" s="1017"/>
      <c r="GY13" s="1017"/>
      <c r="GZ13" s="1017"/>
      <c r="HA13" s="1017"/>
      <c r="HB13" s="1017"/>
      <c r="HC13" s="1017"/>
      <c r="HD13" s="1017"/>
      <c r="HE13" s="1017"/>
      <c r="HF13" s="1017"/>
      <c r="HG13" s="1017"/>
      <c r="HH13" s="1017"/>
      <c r="HI13" s="1017"/>
      <c r="HJ13" s="1017"/>
      <c r="HK13" s="1017"/>
      <c r="HL13" s="1017"/>
      <c r="HM13" s="1017"/>
      <c r="HN13" s="1017"/>
      <c r="HO13" s="1017"/>
      <c r="HP13" s="1017"/>
      <c r="HQ13" s="1017"/>
      <c r="HR13" s="1017"/>
      <c r="HS13" s="1017"/>
      <c r="HT13" s="1017"/>
      <c r="HU13" s="1017"/>
      <c r="HV13" s="1017"/>
      <c r="HW13" s="1017"/>
      <c r="HX13" s="1017"/>
      <c r="HY13" s="1017"/>
      <c r="HZ13" s="1017"/>
      <c r="IA13" s="1017"/>
      <c r="IB13" s="1017"/>
      <c r="IC13" s="1017"/>
      <c r="ID13" s="1017"/>
      <c r="IE13" s="1017"/>
      <c r="IF13" s="1017"/>
      <c r="IG13" s="1017"/>
      <c r="IH13" s="1017"/>
      <c r="II13" s="1017"/>
      <c r="IJ13" s="1017"/>
      <c r="IK13" s="1017"/>
      <c r="IL13" s="1017"/>
      <c r="IM13" s="1017"/>
    </row>
    <row r="14" spans="1:247">
      <c r="A14" s="612" t="s">
        <v>428</v>
      </c>
      <c r="B14" s="1043"/>
      <c r="C14" s="1044">
        <v>64.472999999999999</v>
      </c>
      <c r="D14" s="1045">
        <v>83.165999999999997</v>
      </c>
      <c r="E14" s="1046">
        <v>116.65900000000001</v>
      </c>
      <c r="F14" s="1046">
        <v>116.65900000000001</v>
      </c>
      <c r="G14" s="1047">
        <v>116.65900000000001</v>
      </c>
      <c r="H14" s="1048">
        <v>55.352486313538783</v>
      </c>
      <c r="I14" s="1048">
        <v>58.810412296543227</v>
      </c>
      <c r="J14" s="1048">
        <v>70.572254310005718</v>
      </c>
      <c r="K14" s="1049">
        <v>75.681943830028814</v>
      </c>
      <c r="L14" s="1028"/>
      <c r="M14" s="1045"/>
      <c r="N14" s="1050">
        <f t="shared" si="11"/>
        <v>55.352486313538783</v>
      </c>
      <c r="O14" s="1045">
        <f>I14</f>
        <v>58.810412296543227</v>
      </c>
      <c r="P14" s="1046">
        <f t="shared" ref="P14:Q14" si="12">J14</f>
        <v>70.572254310005718</v>
      </c>
      <c r="Q14" s="1046">
        <f t="shared" si="12"/>
        <v>75.681943830028814</v>
      </c>
      <c r="R14" s="1045">
        <f t="shared" si="10"/>
        <v>0</v>
      </c>
      <c r="S14" s="1046">
        <f t="shared" si="8"/>
        <v>0</v>
      </c>
      <c r="T14" s="1046">
        <f t="shared" si="8"/>
        <v>0</v>
      </c>
      <c r="U14" s="1050">
        <f t="shared" si="6"/>
        <v>3.4579259830044435</v>
      </c>
      <c r="V14" s="948"/>
      <c r="W14" s="1045">
        <f t="shared" si="9"/>
        <v>58.810412296543227</v>
      </c>
      <c r="X14" s="1046">
        <v>116.65900000000001</v>
      </c>
      <c r="Y14" s="1045">
        <f t="shared" si="7"/>
        <v>57.848587703456779</v>
      </c>
      <c r="Z14" s="1051">
        <f t="shared" si="3"/>
        <v>6.4638663539099819E-2</v>
      </c>
      <c r="AA14" s="1017"/>
      <c r="AB14" s="952"/>
      <c r="AC14" s="1017"/>
      <c r="AD14" s="1017"/>
      <c r="AE14" s="1017"/>
      <c r="AF14" s="1017"/>
      <c r="AG14" s="1017"/>
      <c r="AH14" s="1017"/>
      <c r="AI14" s="1017"/>
      <c r="AJ14" s="1017"/>
      <c r="AK14" s="1017"/>
      <c r="AL14" s="1017"/>
      <c r="AM14" s="1017"/>
      <c r="AN14" s="1017"/>
      <c r="AO14" s="1017"/>
      <c r="AP14" s="1017"/>
      <c r="AQ14" s="1017"/>
      <c r="AR14" s="1017"/>
      <c r="AS14" s="1017"/>
      <c r="AT14" s="1017"/>
      <c r="AU14" s="1017"/>
      <c r="AV14" s="1017"/>
      <c r="AW14" s="1017"/>
      <c r="AX14" s="1017"/>
      <c r="AY14" s="1017"/>
      <c r="AZ14" s="1017"/>
      <c r="BA14" s="1017"/>
      <c r="BB14" s="1017"/>
      <c r="BC14" s="1017"/>
      <c r="BD14" s="1017"/>
      <c r="BE14" s="1017"/>
      <c r="BF14" s="1017"/>
      <c r="BG14" s="1017"/>
      <c r="BH14" s="1017"/>
      <c r="BI14" s="1017"/>
      <c r="BJ14" s="1017"/>
      <c r="BK14" s="1017"/>
      <c r="BL14" s="1017"/>
      <c r="BM14" s="1017"/>
      <c r="BN14" s="1017"/>
      <c r="BO14" s="1017"/>
      <c r="BP14" s="1017"/>
      <c r="BQ14" s="1017"/>
      <c r="BR14" s="1017"/>
      <c r="BS14" s="1017"/>
      <c r="BT14" s="1017"/>
      <c r="BU14" s="1017"/>
      <c r="BV14" s="1017"/>
      <c r="BW14" s="1017"/>
      <c r="BX14" s="1017"/>
      <c r="BY14" s="1017"/>
      <c r="BZ14" s="1017"/>
      <c r="CA14" s="1017"/>
      <c r="CB14" s="1017"/>
      <c r="CC14" s="1017"/>
      <c r="CD14" s="1017"/>
      <c r="CE14" s="1017"/>
      <c r="CF14" s="1017"/>
      <c r="CG14" s="1017"/>
      <c r="CH14" s="1017"/>
      <c r="CI14" s="1017"/>
      <c r="CJ14" s="1017"/>
      <c r="CK14" s="1017"/>
      <c r="CL14" s="1017"/>
      <c r="CM14" s="1017"/>
      <c r="CN14" s="1017"/>
      <c r="CO14" s="1017"/>
      <c r="CP14" s="1017"/>
      <c r="CQ14" s="1017"/>
      <c r="CR14" s="1017"/>
      <c r="CS14" s="1017"/>
      <c r="CT14" s="1017"/>
      <c r="CU14" s="1017"/>
      <c r="CV14" s="1017"/>
      <c r="CW14" s="1017"/>
      <c r="CX14" s="1017"/>
      <c r="CY14" s="1017"/>
      <c r="CZ14" s="1017"/>
      <c r="DA14" s="1017"/>
      <c r="DB14" s="1017"/>
      <c r="DC14" s="1017"/>
      <c r="DD14" s="1017"/>
      <c r="DE14" s="1017"/>
      <c r="DF14" s="1017"/>
      <c r="DG14" s="1017"/>
      <c r="DH14" s="1017"/>
      <c r="DI14" s="1017"/>
      <c r="DJ14" s="1017"/>
      <c r="DK14" s="1017"/>
      <c r="DL14" s="1017"/>
      <c r="DM14" s="1017"/>
      <c r="DN14" s="1017"/>
      <c r="DO14" s="1017"/>
      <c r="DP14" s="1017"/>
      <c r="DQ14" s="1017"/>
      <c r="DR14" s="1017"/>
      <c r="DS14" s="1017"/>
      <c r="DT14" s="1017"/>
      <c r="DU14" s="1017"/>
      <c r="DV14" s="1017"/>
      <c r="DW14" s="1017"/>
      <c r="DX14" s="1017"/>
      <c r="DY14" s="1017"/>
      <c r="DZ14" s="1017"/>
      <c r="EA14" s="1017"/>
      <c r="EB14" s="1017"/>
      <c r="EC14" s="1017"/>
      <c r="ED14" s="1017"/>
      <c r="EE14" s="1017"/>
      <c r="EF14" s="1017"/>
      <c r="EG14" s="1017"/>
      <c r="EH14" s="1017"/>
      <c r="EI14" s="1017"/>
      <c r="EJ14" s="1017"/>
      <c r="EK14" s="1017"/>
      <c r="EL14" s="1017"/>
      <c r="EM14" s="1017"/>
      <c r="EN14" s="1017"/>
      <c r="EO14" s="1017"/>
      <c r="EP14" s="1017"/>
      <c r="EQ14" s="1017"/>
      <c r="ER14" s="1017"/>
      <c r="ES14" s="1017"/>
      <c r="ET14" s="1017"/>
      <c r="EU14" s="1017"/>
      <c r="EV14" s="1017"/>
      <c r="EW14" s="1017"/>
      <c r="EX14" s="1017"/>
      <c r="EY14" s="1017"/>
      <c r="EZ14" s="1017"/>
      <c r="FA14" s="1017"/>
      <c r="FB14" s="1017"/>
      <c r="FC14" s="1017"/>
      <c r="FD14" s="1017"/>
      <c r="FE14" s="1017"/>
      <c r="FF14" s="1017"/>
      <c r="FG14" s="1017"/>
      <c r="FH14" s="1017"/>
      <c r="FI14" s="1017"/>
      <c r="FJ14" s="1017"/>
      <c r="FK14" s="1017"/>
      <c r="FL14" s="1017"/>
      <c r="FM14" s="1017"/>
      <c r="FN14" s="1017"/>
      <c r="FO14" s="1017"/>
      <c r="FP14" s="1017"/>
      <c r="FQ14" s="1017"/>
      <c r="FR14" s="1017"/>
      <c r="FS14" s="1017"/>
      <c r="FT14" s="1017"/>
      <c r="FU14" s="1017"/>
      <c r="FV14" s="1017"/>
      <c r="FW14" s="1017"/>
      <c r="FX14" s="1017"/>
      <c r="FY14" s="1017"/>
      <c r="FZ14" s="1017"/>
      <c r="GA14" s="1017"/>
      <c r="GB14" s="1017"/>
      <c r="GC14" s="1017"/>
      <c r="GD14" s="1017"/>
      <c r="GE14" s="1017"/>
      <c r="GF14" s="1017"/>
      <c r="GG14" s="1017"/>
      <c r="GH14" s="1017"/>
      <c r="GI14" s="1017"/>
      <c r="GJ14" s="1017"/>
      <c r="GK14" s="1017"/>
      <c r="GL14" s="1017"/>
      <c r="GM14" s="1017"/>
      <c r="GN14" s="1017"/>
      <c r="GO14" s="1017"/>
      <c r="GP14" s="1017"/>
      <c r="GQ14" s="1017"/>
      <c r="GR14" s="1017"/>
      <c r="GS14" s="1017"/>
      <c r="GT14" s="1017"/>
      <c r="GU14" s="1017"/>
      <c r="GV14" s="1017"/>
      <c r="GW14" s="1017"/>
      <c r="GX14" s="1017"/>
      <c r="GY14" s="1017"/>
      <c r="GZ14" s="1017"/>
      <c r="HA14" s="1017"/>
      <c r="HB14" s="1017"/>
      <c r="HC14" s="1017"/>
      <c r="HD14" s="1017"/>
      <c r="HE14" s="1017"/>
      <c r="HF14" s="1017"/>
      <c r="HG14" s="1017"/>
      <c r="HH14" s="1017"/>
      <c r="HI14" s="1017"/>
      <c r="HJ14" s="1017"/>
      <c r="HK14" s="1017"/>
      <c r="HL14" s="1017"/>
      <c r="HM14" s="1017"/>
      <c r="HN14" s="1017"/>
      <c r="HO14" s="1017"/>
      <c r="HP14" s="1017"/>
      <c r="HQ14" s="1017"/>
      <c r="HR14" s="1017"/>
      <c r="HS14" s="1017"/>
      <c r="HT14" s="1017"/>
      <c r="HU14" s="1017"/>
      <c r="HV14" s="1017"/>
      <c r="HW14" s="1017"/>
      <c r="HX14" s="1017"/>
      <c r="HY14" s="1017"/>
      <c r="HZ14" s="1017"/>
      <c r="IA14" s="1017"/>
      <c r="IB14" s="1017"/>
      <c r="IC14" s="1017"/>
      <c r="ID14" s="1017"/>
      <c r="IE14" s="1017"/>
      <c r="IF14" s="1017"/>
      <c r="IG14" s="1017"/>
      <c r="IH14" s="1017"/>
      <c r="II14" s="1017"/>
      <c r="IJ14" s="1017"/>
      <c r="IK14" s="1017"/>
      <c r="IL14" s="1017"/>
      <c r="IM14" s="1017"/>
    </row>
    <row r="15" spans="1:247">
      <c r="A15" s="1052" t="s">
        <v>926</v>
      </c>
      <c r="B15" s="1053"/>
      <c r="C15" s="1054">
        <v>0</v>
      </c>
      <c r="D15" s="1045">
        <v>8.8000000000000007</v>
      </c>
      <c r="E15" s="1046">
        <v>3.0550000000000002</v>
      </c>
      <c r="F15" s="1046">
        <v>3.1467000000000001</v>
      </c>
      <c r="G15" s="1047">
        <v>3.2410999999999999</v>
      </c>
      <c r="H15" s="1048">
        <v>8.8000000000000007</v>
      </c>
      <c r="I15" s="1048">
        <v>3.0550000000000002</v>
      </c>
      <c r="J15" s="1048">
        <v>3.1467000000000001</v>
      </c>
      <c r="K15" s="1049">
        <v>3.2410999999999999</v>
      </c>
      <c r="L15" s="1028"/>
      <c r="M15" s="1045"/>
      <c r="N15" s="1050">
        <f t="shared" si="11"/>
        <v>8.8000000000000007</v>
      </c>
      <c r="O15" s="1045">
        <f>E15</f>
        <v>3.0550000000000002</v>
      </c>
      <c r="P15" s="1046">
        <f>F15</f>
        <v>3.1467000000000001</v>
      </c>
      <c r="Q15" s="1046">
        <f>G15</f>
        <v>3.2410999999999999</v>
      </c>
      <c r="R15" s="1045">
        <f t="shared" si="10"/>
        <v>0</v>
      </c>
      <c r="S15" s="1046">
        <f t="shared" si="8"/>
        <v>0</v>
      </c>
      <c r="T15" s="1046">
        <f t="shared" si="8"/>
        <v>0</v>
      </c>
      <c r="U15" s="1050">
        <f t="shared" si="6"/>
        <v>-5.745000000000001</v>
      </c>
      <c r="V15" s="948"/>
      <c r="W15" s="1045">
        <f t="shared" si="9"/>
        <v>3.0550000000000002</v>
      </c>
      <c r="X15" s="1046">
        <v>3.0550000000000002</v>
      </c>
      <c r="Y15" s="1045">
        <f t="shared" si="7"/>
        <v>0</v>
      </c>
      <c r="Z15" s="1051">
        <f t="shared" si="3"/>
        <v>0</v>
      </c>
      <c r="AA15" s="1017"/>
      <c r="AB15" s="952"/>
      <c r="AC15" s="1017"/>
      <c r="AD15" s="1017"/>
      <c r="AE15" s="1017"/>
      <c r="AF15" s="1017"/>
      <c r="AG15" s="1017"/>
      <c r="AH15" s="1017"/>
      <c r="AI15" s="1017"/>
      <c r="AJ15" s="1017"/>
      <c r="AK15" s="1017"/>
      <c r="AL15" s="1017"/>
      <c r="AM15" s="1017"/>
      <c r="AN15" s="1017"/>
      <c r="AO15" s="1017"/>
      <c r="AP15" s="1017"/>
      <c r="AQ15" s="1017"/>
      <c r="AR15" s="1017"/>
      <c r="AS15" s="1017"/>
      <c r="AT15" s="1017"/>
      <c r="AU15" s="1017"/>
      <c r="AV15" s="1017"/>
      <c r="AW15" s="1017"/>
      <c r="AX15" s="1017"/>
      <c r="AY15" s="1017"/>
      <c r="AZ15" s="1017"/>
      <c r="BA15" s="1017"/>
      <c r="BB15" s="1017"/>
      <c r="BC15" s="1017"/>
      <c r="BD15" s="1017"/>
      <c r="BE15" s="1017"/>
      <c r="BF15" s="1017"/>
      <c r="BG15" s="1017"/>
      <c r="BH15" s="1017"/>
      <c r="BI15" s="1017"/>
      <c r="BJ15" s="1017"/>
      <c r="BK15" s="1017"/>
      <c r="BL15" s="1017"/>
      <c r="BM15" s="1017"/>
      <c r="BN15" s="1017"/>
      <c r="BO15" s="1017"/>
      <c r="BP15" s="1017"/>
      <c r="BQ15" s="1017"/>
      <c r="BR15" s="1017"/>
      <c r="BS15" s="1017"/>
      <c r="BT15" s="1017"/>
      <c r="BU15" s="1017"/>
      <c r="BV15" s="1017"/>
      <c r="BW15" s="1017"/>
      <c r="BX15" s="1017"/>
      <c r="BY15" s="1017"/>
      <c r="BZ15" s="1017"/>
      <c r="CA15" s="1017"/>
      <c r="CB15" s="1017"/>
      <c r="CC15" s="1017"/>
      <c r="CD15" s="1017"/>
      <c r="CE15" s="1017"/>
      <c r="CF15" s="1017"/>
      <c r="CG15" s="1017"/>
      <c r="CH15" s="1017"/>
      <c r="CI15" s="1017"/>
      <c r="CJ15" s="1017"/>
      <c r="CK15" s="1017"/>
      <c r="CL15" s="1017"/>
      <c r="CM15" s="1017"/>
      <c r="CN15" s="1017"/>
      <c r="CO15" s="1017"/>
      <c r="CP15" s="1017"/>
      <c r="CQ15" s="1017"/>
      <c r="CR15" s="1017"/>
      <c r="CS15" s="1017"/>
      <c r="CT15" s="1017"/>
      <c r="CU15" s="1017"/>
      <c r="CV15" s="1017"/>
      <c r="CW15" s="1017"/>
      <c r="CX15" s="1017"/>
      <c r="CY15" s="1017"/>
      <c r="CZ15" s="1017"/>
      <c r="DA15" s="1017"/>
      <c r="DB15" s="1017"/>
      <c r="DC15" s="1017"/>
      <c r="DD15" s="1017"/>
      <c r="DE15" s="1017"/>
      <c r="DF15" s="1017"/>
      <c r="DG15" s="1017"/>
      <c r="DH15" s="1017"/>
      <c r="DI15" s="1017"/>
      <c r="DJ15" s="1017"/>
      <c r="DK15" s="1017"/>
      <c r="DL15" s="1017"/>
      <c r="DM15" s="1017"/>
      <c r="DN15" s="1017"/>
      <c r="DO15" s="1017"/>
      <c r="DP15" s="1017"/>
      <c r="DQ15" s="1017"/>
      <c r="DR15" s="1017"/>
      <c r="DS15" s="1017"/>
      <c r="DT15" s="1017"/>
      <c r="DU15" s="1017"/>
      <c r="DV15" s="1017"/>
      <c r="DW15" s="1017"/>
      <c r="DX15" s="1017"/>
      <c r="DY15" s="1017"/>
      <c r="DZ15" s="1017"/>
      <c r="EA15" s="1017"/>
      <c r="EB15" s="1017"/>
      <c r="EC15" s="1017"/>
      <c r="ED15" s="1017"/>
      <c r="EE15" s="1017"/>
      <c r="EF15" s="1017"/>
      <c r="EG15" s="1017"/>
      <c r="EH15" s="1017"/>
      <c r="EI15" s="1017"/>
      <c r="EJ15" s="1017"/>
      <c r="EK15" s="1017"/>
      <c r="EL15" s="1017"/>
      <c r="EM15" s="1017"/>
      <c r="EN15" s="1017"/>
      <c r="EO15" s="1017"/>
      <c r="EP15" s="1017"/>
      <c r="EQ15" s="1017"/>
      <c r="ER15" s="1017"/>
      <c r="ES15" s="1017"/>
      <c r="ET15" s="1017"/>
      <c r="EU15" s="1017"/>
      <c r="EV15" s="1017"/>
      <c r="EW15" s="1017"/>
      <c r="EX15" s="1017"/>
      <c r="EY15" s="1017"/>
      <c r="EZ15" s="1017"/>
      <c r="FA15" s="1017"/>
      <c r="FB15" s="1017"/>
      <c r="FC15" s="1017"/>
      <c r="FD15" s="1017"/>
      <c r="FE15" s="1017"/>
      <c r="FF15" s="1017"/>
      <c r="FG15" s="1017"/>
      <c r="FH15" s="1017"/>
      <c r="FI15" s="1017"/>
      <c r="FJ15" s="1017"/>
      <c r="FK15" s="1017"/>
      <c r="FL15" s="1017"/>
      <c r="FM15" s="1017"/>
      <c r="FN15" s="1017"/>
      <c r="FO15" s="1017"/>
      <c r="FP15" s="1017"/>
      <c r="FQ15" s="1017"/>
      <c r="FR15" s="1017"/>
      <c r="FS15" s="1017"/>
      <c r="FT15" s="1017"/>
      <c r="FU15" s="1017"/>
      <c r="FV15" s="1017"/>
      <c r="FW15" s="1017"/>
      <c r="FX15" s="1017"/>
      <c r="FY15" s="1017"/>
      <c r="FZ15" s="1017"/>
      <c r="GA15" s="1017"/>
      <c r="GB15" s="1017"/>
      <c r="GC15" s="1017"/>
      <c r="GD15" s="1017"/>
      <c r="GE15" s="1017"/>
      <c r="GF15" s="1017"/>
      <c r="GG15" s="1017"/>
      <c r="GH15" s="1017"/>
      <c r="GI15" s="1017"/>
      <c r="GJ15" s="1017"/>
      <c r="GK15" s="1017"/>
      <c r="GL15" s="1017"/>
      <c r="GM15" s="1017"/>
      <c r="GN15" s="1017"/>
      <c r="GO15" s="1017"/>
      <c r="GP15" s="1017"/>
      <c r="GQ15" s="1017"/>
      <c r="GR15" s="1017"/>
      <c r="GS15" s="1017"/>
      <c r="GT15" s="1017"/>
      <c r="GU15" s="1017"/>
      <c r="GV15" s="1017"/>
      <c r="GW15" s="1017"/>
      <c r="GX15" s="1017"/>
      <c r="GY15" s="1017"/>
      <c r="GZ15" s="1017"/>
      <c r="HA15" s="1017"/>
      <c r="HB15" s="1017"/>
      <c r="HC15" s="1017"/>
      <c r="HD15" s="1017"/>
      <c r="HE15" s="1017"/>
      <c r="HF15" s="1017"/>
      <c r="HG15" s="1017"/>
      <c r="HH15" s="1017"/>
      <c r="HI15" s="1017"/>
      <c r="HJ15" s="1017"/>
      <c r="HK15" s="1017"/>
      <c r="HL15" s="1017"/>
      <c r="HM15" s="1017"/>
      <c r="HN15" s="1017"/>
      <c r="HO15" s="1017"/>
      <c r="HP15" s="1017"/>
      <c r="HQ15" s="1017"/>
      <c r="HR15" s="1017"/>
      <c r="HS15" s="1017"/>
      <c r="HT15" s="1017"/>
      <c r="HU15" s="1017"/>
      <c r="HV15" s="1017"/>
      <c r="HW15" s="1017"/>
      <c r="HX15" s="1017"/>
      <c r="HY15" s="1017"/>
      <c r="HZ15" s="1017"/>
      <c r="IA15" s="1017"/>
      <c r="IB15" s="1017"/>
      <c r="IC15" s="1017"/>
      <c r="ID15" s="1017"/>
      <c r="IE15" s="1017"/>
      <c r="IF15" s="1017"/>
      <c r="IG15" s="1017"/>
      <c r="IH15" s="1017"/>
      <c r="II15" s="1017"/>
      <c r="IJ15" s="1017"/>
      <c r="IK15" s="1017"/>
      <c r="IL15" s="1017"/>
      <c r="IM15" s="1017"/>
    </row>
    <row r="16" spans="1:247" s="1017" customFormat="1">
      <c r="A16" s="1052" t="s">
        <v>430</v>
      </c>
      <c r="B16" s="1053"/>
      <c r="C16" s="1054">
        <v>21.606877999999998</v>
      </c>
      <c r="D16" s="1055">
        <v>0</v>
      </c>
      <c r="E16" s="1056">
        <v>0</v>
      </c>
      <c r="F16" s="1056">
        <v>0</v>
      </c>
      <c r="G16" s="1057">
        <v>0</v>
      </c>
      <c r="H16" s="1058">
        <v>17.535</v>
      </c>
      <c r="I16" s="1058">
        <v>17.535</v>
      </c>
      <c r="J16" s="1058">
        <v>17.535</v>
      </c>
      <c r="K16" s="1059">
        <v>17.535</v>
      </c>
      <c r="L16" s="1028"/>
      <c r="M16" s="1045"/>
      <c r="N16" s="1050">
        <f t="shared" si="11"/>
        <v>17.535</v>
      </c>
      <c r="O16" s="1045">
        <f>I16</f>
        <v>17.535</v>
      </c>
      <c r="P16" s="1046">
        <f t="shared" ref="P16:Q16" si="13">J16</f>
        <v>17.535</v>
      </c>
      <c r="Q16" s="1046">
        <f t="shared" si="13"/>
        <v>17.535</v>
      </c>
      <c r="R16" s="1045">
        <f t="shared" si="10"/>
        <v>0</v>
      </c>
      <c r="S16" s="1046">
        <f t="shared" si="8"/>
        <v>0</v>
      </c>
      <c r="T16" s="1046">
        <f t="shared" si="8"/>
        <v>0</v>
      </c>
      <c r="U16" s="1050">
        <f t="shared" si="6"/>
        <v>0</v>
      </c>
      <c r="V16" s="948"/>
      <c r="W16" s="1045">
        <f t="shared" si="9"/>
        <v>17.535</v>
      </c>
      <c r="X16" s="1046">
        <v>17.535</v>
      </c>
      <c r="Y16" s="1045">
        <f t="shared" si="7"/>
        <v>0</v>
      </c>
      <c r="Z16" s="1051">
        <f t="shared" si="3"/>
        <v>0</v>
      </c>
      <c r="AB16" s="952"/>
    </row>
    <row r="17" spans="1:247">
      <c r="A17" s="1052" t="s">
        <v>927</v>
      </c>
      <c r="B17" s="1053"/>
      <c r="C17" s="1050">
        <v>0</v>
      </c>
      <c r="D17" s="1045">
        <v>90.597999999999999</v>
      </c>
      <c r="E17" s="1046">
        <v>125.387</v>
      </c>
      <c r="F17" s="1046">
        <v>131.04</v>
      </c>
      <c r="G17" s="1047">
        <v>131.04</v>
      </c>
      <c r="H17" s="1048">
        <v>0</v>
      </c>
      <c r="I17" s="1048">
        <v>0</v>
      </c>
      <c r="J17" s="1048">
        <v>0</v>
      </c>
      <c r="K17" s="1049">
        <v>0</v>
      </c>
      <c r="L17" s="1028"/>
      <c r="M17" s="1045"/>
      <c r="N17" s="1050">
        <f t="shared" si="11"/>
        <v>0</v>
      </c>
      <c r="O17" s="1045">
        <v>0</v>
      </c>
      <c r="P17" s="1046">
        <v>0</v>
      </c>
      <c r="Q17" s="1046">
        <v>0</v>
      </c>
      <c r="R17" s="1045">
        <f t="shared" si="10"/>
        <v>0</v>
      </c>
      <c r="S17" s="1046">
        <f t="shared" si="8"/>
        <v>0</v>
      </c>
      <c r="T17" s="1046">
        <f t="shared" si="8"/>
        <v>0</v>
      </c>
      <c r="U17" s="1050">
        <f t="shared" si="6"/>
        <v>0</v>
      </c>
      <c r="V17" s="948"/>
      <c r="W17" s="1045">
        <f t="shared" si="9"/>
        <v>0</v>
      </c>
      <c r="X17" s="1046">
        <v>0</v>
      </c>
      <c r="Y17" s="1045">
        <f t="shared" si="7"/>
        <v>0</v>
      </c>
      <c r="Z17" s="1051">
        <f t="shared" si="3"/>
        <v>0</v>
      </c>
      <c r="AA17" s="1017"/>
      <c r="AB17" s="952"/>
      <c r="AC17" s="1017"/>
      <c r="AD17" s="1017"/>
      <c r="AE17" s="1017"/>
      <c r="AF17" s="1017"/>
      <c r="AG17" s="1017"/>
      <c r="AH17" s="1017"/>
      <c r="AI17" s="1017"/>
      <c r="AJ17" s="1017"/>
      <c r="AK17" s="1017"/>
      <c r="AL17" s="1017"/>
      <c r="AM17" s="1017"/>
      <c r="AN17" s="1017"/>
      <c r="AO17" s="1017"/>
      <c r="AP17" s="1017"/>
      <c r="AQ17" s="1017"/>
      <c r="AR17" s="1017"/>
      <c r="AS17" s="1017"/>
      <c r="AT17" s="1017"/>
      <c r="AU17" s="1017"/>
      <c r="AV17" s="1017"/>
      <c r="AW17" s="1017"/>
      <c r="AX17" s="1017"/>
      <c r="AY17" s="1017"/>
      <c r="AZ17" s="1017"/>
      <c r="BA17" s="1017"/>
      <c r="BB17" s="1017"/>
      <c r="BC17" s="1017"/>
      <c r="BD17" s="1017"/>
      <c r="BE17" s="1017"/>
      <c r="BF17" s="1017"/>
      <c r="BG17" s="1017"/>
      <c r="BH17" s="1017"/>
      <c r="BI17" s="1017"/>
      <c r="BJ17" s="1017"/>
      <c r="BK17" s="1017"/>
      <c r="BL17" s="1017"/>
      <c r="BM17" s="1017"/>
      <c r="BN17" s="1017"/>
      <c r="BO17" s="1017"/>
      <c r="BP17" s="1017"/>
      <c r="BQ17" s="1017"/>
      <c r="BR17" s="1017"/>
      <c r="BS17" s="1017"/>
      <c r="BT17" s="1017"/>
      <c r="BU17" s="1017"/>
      <c r="BV17" s="1017"/>
      <c r="BW17" s="1017"/>
      <c r="BX17" s="1017"/>
      <c r="BY17" s="1017"/>
      <c r="BZ17" s="1017"/>
      <c r="CA17" s="1017"/>
      <c r="CB17" s="1017"/>
      <c r="CC17" s="1017"/>
      <c r="CD17" s="1017"/>
      <c r="CE17" s="1017"/>
      <c r="CF17" s="1017"/>
      <c r="CG17" s="1017"/>
      <c r="CH17" s="1017"/>
      <c r="CI17" s="1017"/>
      <c r="CJ17" s="1017"/>
      <c r="CK17" s="1017"/>
      <c r="CL17" s="1017"/>
      <c r="CM17" s="1017"/>
      <c r="CN17" s="1017"/>
      <c r="CO17" s="1017"/>
      <c r="CP17" s="1017"/>
      <c r="CQ17" s="1017"/>
      <c r="CR17" s="1017"/>
      <c r="CS17" s="1017"/>
      <c r="CT17" s="1017"/>
      <c r="CU17" s="1017"/>
      <c r="CV17" s="1017"/>
      <c r="CW17" s="1017"/>
      <c r="CX17" s="1017"/>
      <c r="CY17" s="1017"/>
      <c r="CZ17" s="1017"/>
      <c r="DA17" s="1017"/>
      <c r="DB17" s="1017"/>
      <c r="DC17" s="1017"/>
      <c r="DD17" s="1017"/>
      <c r="DE17" s="1017"/>
      <c r="DF17" s="1017"/>
      <c r="DG17" s="1017"/>
      <c r="DH17" s="1017"/>
      <c r="DI17" s="1017"/>
      <c r="DJ17" s="1017"/>
      <c r="DK17" s="1017"/>
      <c r="DL17" s="1017"/>
      <c r="DM17" s="1017"/>
      <c r="DN17" s="1017"/>
      <c r="DO17" s="1017"/>
      <c r="DP17" s="1017"/>
      <c r="DQ17" s="1017"/>
      <c r="DR17" s="1017"/>
      <c r="DS17" s="1017"/>
      <c r="DT17" s="1017"/>
      <c r="DU17" s="1017"/>
      <c r="DV17" s="1017"/>
      <c r="DW17" s="1017"/>
      <c r="DX17" s="1017"/>
      <c r="DY17" s="1017"/>
      <c r="DZ17" s="1017"/>
      <c r="EA17" s="1017"/>
      <c r="EB17" s="1017"/>
      <c r="EC17" s="1017"/>
      <c r="ED17" s="1017"/>
      <c r="EE17" s="1017"/>
      <c r="EF17" s="1017"/>
      <c r="EG17" s="1017"/>
      <c r="EH17" s="1017"/>
      <c r="EI17" s="1017"/>
      <c r="EJ17" s="1017"/>
      <c r="EK17" s="1017"/>
      <c r="EL17" s="1017"/>
      <c r="EM17" s="1017"/>
      <c r="EN17" s="1017"/>
      <c r="EO17" s="1017"/>
      <c r="EP17" s="1017"/>
      <c r="EQ17" s="1017"/>
      <c r="ER17" s="1017"/>
      <c r="ES17" s="1017"/>
      <c r="ET17" s="1017"/>
      <c r="EU17" s="1017"/>
      <c r="EV17" s="1017"/>
      <c r="EW17" s="1017"/>
      <c r="EX17" s="1017"/>
      <c r="EY17" s="1017"/>
      <c r="EZ17" s="1017"/>
      <c r="FA17" s="1017"/>
      <c r="FB17" s="1017"/>
      <c r="FC17" s="1017"/>
      <c r="FD17" s="1017"/>
      <c r="FE17" s="1017"/>
      <c r="FF17" s="1017"/>
      <c r="FG17" s="1017"/>
      <c r="FH17" s="1017"/>
      <c r="FI17" s="1017"/>
      <c r="FJ17" s="1017"/>
      <c r="FK17" s="1017"/>
      <c r="FL17" s="1017"/>
      <c r="FM17" s="1017"/>
      <c r="FN17" s="1017"/>
      <c r="FO17" s="1017"/>
      <c r="FP17" s="1017"/>
      <c r="FQ17" s="1017"/>
      <c r="FR17" s="1017"/>
      <c r="FS17" s="1017"/>
      <c r="FT17" s="1017"/>
      <c r="FU17" s="1017"/>
      <c r="FV17" s="1017"/>
      <c r="FW17" s="1017"/>
      <c r="FX17" s="1017"/>
      <c r="FY17" s="1017"/>
      <c r="FZ17" s="1017"/>
      <c r="GA17" s="1017"/>
      <c r="GB17" s="1017"/>
      <c r="GC17" s="1017"/>
      <c r="GD17" s="1017"/>
      <c r="GE17" s="1017"/>
      <c r="GF17" s="1017"/>
      <c r="GG17" s="1017"/>
      <c r="GH17" s="1017"/>
      <c r="GI17" s="1017"/>
      <c r="GJ17" s="1017"/>
      <c r="GK17" s="1017"/>
      <c r="GL17" s="1017"/>
      <c r="GM17" s="1017"/>
      <c r="GN17" s="1017"/>
      <c r="GO17" s="1017"/>
      <c r="GP17" s="1017"/>
      <c r="GQ17" s="1017"/>
      <c r="GR17" s="1017"/>
      <c r="GS17" s="1017"/>
      <c r="GT17" s="1017"/>
      <c r="GU17" s="1017"/>
      <c r="GV17" s="1017"/>
      <c r="GW17" s="1017"/>
      <c r="GX17" s="1017"/>
      <c r="GY17" s="1017"/>
      <c r="GZ17" s="1017"/>
      <c r="HA17" s="1017"/>
      <c r="HB17" s="1017"/>
      <c r="HC17" s="1017"/>
      <c r="HD17" s="1017"/>
      <c r="HE17" s="1017"/>
      <c r="HF17" s="1017"/>
      <c r="HG17" s="1017"/>
      <c r="HH17" s="1017"/>
      <c r="HI17" s="1017"/>
      <c r="HJ17" s="1017"/>
      <c r="HK17" s="1017"/>
      <c r="HL17" s="1017"/>
      <c r="HM17" s="1017"/>
      <c r="HN17" s="1017"/>
      <c r="HO17" s="1017"/>
      <c r="HP17" s="1017"/>
      <c r="HQ17" s="1017"/>
      <c r="HR17" s="1017"/>
      <c r="HS17" s="1017"/>
      <c r="HT17" s="1017"/>
      <c r="HU17" s="1017"/>
      <c r="HV17" s="1017"/>
      <c r="HW17" s="1017"/>
      <c r="HX17" s="1017"/>
      <c r="HY17" s="1017"/>
      <c r="HZ17" s="1017"/>
      <c r="IA17" s="1017"/>
      <c r="IB17" s="1017"/>
      <c r="IC17" s="1017"/>
      <c r="ID17" s="1017"/>
      <c r="IE17" s="1017"/>
      <c r="IF17" s="1017"/>
      <c r="IG17" s="1017"/>
      <c r="IH17" s="1017"/>
      <c r="II17" s="1017"/>
      <c r="IJ17" s="1017"/>
      <c r="IK17" s="1017"/>
      <c r="IL17" s="1017"/>
      <c r="IM17" s="1017"/>
    </row>
    <row r="18" spans="1:247">
      <c r="A18" s="1052" t="s">
        <v>928</v>
      </c>
      <c r="B18" s="1053"/>
      <c r="C18" s="1050">
        <v>0</v>
      </c>
      <c r="D18" s="1045">
        <v>0</v>
      </c>
      <c r="E18" s="1046">
        <f>36.2+23</f>
        <v>59.2</v>
      </c>
      <c r="F18" s="1046">
        <f>52.4+23</f>
        <v>75.400000000000006</v>
      </c>
      <c r="G18" s="1047">
        <f>23+52.4</f>
        <v>75.400000000000006</v>
      </c>
      <c r="H18" s="1048">
        <v>41</v>
      </c>
      <c r="I18" s="1048">
        <v>59.2</v>
      </c>
      <c r="J18" s="1048">
        <v>75.400000000000006</v>
      </c>
      <c r="K18" s="1049">
        <v>75.400000000000006</v>
      </c>
      <c r="L18" s="1028"/>
      <c r="M18" s="1045"/>
      <c r="N18" s="1050">
        <f t="shared" si="11"/>
        <v>41</v>
      </c>
      <c r="O18" s="1045">
        <f>I18-16.2</f>
        <v>43</v>
      </c>
      <c r="P18" s="1046">
        <f>J18-32.4</f>
        <v>43.000000000000007</v>
      </c>
      <c r="Q18" s="1046">
        <f>K18-32.4</f>
        <v>43.000000000000007</v>
      </c>
      <c r="R18" s="1045">
        <f t="shared" si="10"/>
        <v>16.200000000000003</v>
      </c>
      <c r="S18" s="1046">
        <f t="shared" si="8"/>
        <v>32.4</v>
      </c>
      <c r="T18" s="1046">
        <f t="shared" si="8"/>
        <v>32.4</v>
      </c>
      <c r="U18" s="1050">
        <f t="shared" si="6"/>
        <v>2</v>
      </c>
      <c r="V18" s="948"/>
      <c r="W18" s="1045">
        <f t="shared" si="9"/>
        <v>43</v>
      </c>
      <c r="X18" s="1046">
        <v>59.2</v>
      </c>
      <c r="Y18" s="1045">
        <f t="shared" si="7"/>
        <v>16.200000000000003</v>
      </c>
      <c r="Z18" s="1051">
        <f t="shared" si="3"/>
        <v>1.8101502403157964E-2</v>
      </c>
      <c r="AA18" s="1017"/>
      <c r="AB18" s="952"/>
      <c r="AC18" s="1017"/>
      <c r="AD18" s="1017"/>
      <c r="AE18" s="1017"/>
      <c r="AF18" s="1017"/>
      <c r="AG18" s="1017"/>
      <c r="AH18" s="1017"/>
      <c r="AI18" s="1017"/>
      <c r="AJ18" s="1017"/>
      <c r="AK18" s="1017"/>
      <c r="AL18" s="1017"/>
      <c r="AM18" s="1017"/>
      <c r="AN18" s="1017"/>
      <c r="AO18" s="1017"/>
      <c r="AP18" s="1017"/>
      <c r="AQ18" s="1017"/>
      <c r="AR18" s="1017"/>
      <c r="AS18" s="1017"/>
      <c r="AT18" s="1017"/>
      <c r="AU18" s="1017"/>
      <c r="AV18" s="1017"/>
      <c r="AW18" s="1017"/>
      <c r="AX18" s="1017"/>
      <c r="AY18" s="1017"/>
      <c r="AZ18" s="1017"/>
      <c r="BA18" s="1017"/>
      <c r="BB18" s="1017"/>
      <c r="BC18" s="1017"/>
      <c r="BD18" s="1017"/>
      <c r="BE18" s="1017"/>
      <c r="BF18" s="1017"/>
      <c r="BG18" s="1017"/>
      <c r="BH18" s="1017"/>
      <c r="BI18" s="1017"/>
      <c r="BJ18" s="1017"/>
      <c r="BK18" s="1017"/>
      <c r="BL18" s="1017"/>
      <c r="BM18" s="1017"/>
      <c r="BN18" s="1017"/>
      <c r="BO18" s="1017"/>
      <c r="BP18" s="1017"/>
      <c r="BQ18" s="1017"/>
      <c r="BR18" s="1017"/>
      <c r="BS18" s="1017"/>
      <c r="BT18" s="1017"/>
      <c r="BU18" s="1017"/>
      <c r="BV18" s="1017"/>
      <c r="BW18" s="1017"/>
      <c r="BX18" s="1017"/>
      <c r="BY18" s="1017"/>
      <c r="BZ18" s="1017"/>
      <c r="CA18" s="1017"/>
      <c r="CB18" s="1017"/>
      <c r="CC18" s="1017"/>
      <c r="CD18" s="1017"/>
      <c r="CE18" s="1017"/>
      <c r="CF18" s="1017"/>
      <c r="CG18" s="1017"/>
      <c r="CH18" s="1017"/>
      <c r="CI18" s="1017"/>
      <c r="CJ18" s="1017"/>
      <c r="CK18" s="1017"/>
      <c r="CL18" s="1017"/>
      <c r="CM18" s="1017"/>
      <c r="CN18" s="1017"/>
      <c r="CO18" s="1017"/>
      <c r="CP18" s="1017"/>
      <c r="CQ18" s="1017"/>
      <c r="CR18" s="1017"/>
      <c r="CS18" s="1017"/>
      <c r="CT18" s="1017"/>
      <c r="CU18" s="1017"/>
      <c r="CV18" s="1017"/>
      <c r="CW18" s="1017"/>
      <c r="CX18" s="1017"/>
      <c r="CY18" s="1017"/>
      <c r="CZ18" s="1017"/>
      <c r="DA18" s="1017"/>
      <c r="DB18" s="1017"/>
      <c r="DC18" s="1017"/>
      <c r="DD18" s="1017"/>
      <c r="DE18" s="1017"/>
      <c r="DF18" s="1017"/>
      <c r="DG18" s="1017"/>
      <c r="DH18" s="1017"/>
      <c r="DI18" s="1017"/>
      <c r="DJ18" s="1017"/>
      <c r="DK18" s="1017"/>
      <c r="DL18" s="1017"/>
      <c r="DM18" s="1017"/>
      <c r="DN18" s="1017"/>
      <c r="DO18" s="1017"/>
      <c r="DP18" s="1017"/>
      <c r="DQ18" s="1017"/>
      <c r="DR18" s="1017"/>
      <c r="DS18" s="1017"/>
      <c r="DT18" s="1017"/>
      <c r="DU18" s="1017"/>
      <c r="DV18" s="1017"/>
      <c r="DW18" s="1017"/>
      <c r="DX18" s="1017"/>
      <c r="DY18" s="1017"/>
      <c r="DZ18" s="1017"/>
      <c r="EA18" s="1017"/>
      <c r="EB18" s="1017"/>
      <c r="EC18" s="1017"/>
      <c r="ED18" s="1017"/>
      <c r="EE18" s="1017"/>
      <c r="EF18" s="1017"/>
      <c r="EG18" s="1017"/>
      <c r="EH18" s="1017"/>
      <c r="EI18" s="1017"/>
      <c r="EJ18" s="1017"/>
      <c r="EK18" s="1017"/>
      <c r="EL18" s="1017"/>
      <c r="EM18" s="1017"/>
      <c r="EN18" s="1017"/>
      <c r="EO18" s="1017"/>
      <c r="EP18" s="1017"/>
      <c r="EQ18" s="1017"/>
      <c r="ER18" s="1017"/>
      <c r="ES18" s="1017"/>
      <c r="ET18" s="1017"/>
      <c r="EU18" s="1017"/>
      <c r="EV18" s="1017"/>
      <c r="EW18" s="1017"/>
      <c r="EX18" s="1017"/>
      <c r="EY18" s="1017"/>
      <c r="EZ18" s="1017"/>
      <c r="FA18" s="1017"/>
      <c r="FB18" s="1017"/>
      <c r="FC18" s="1017"/>
      <c r="FD18" s="1017"/>
      <c r="FE18" s="1017"/>
      <c r="FF18" s="1017"/>
      <c r="FG18" s="1017"/>
      <c r="FH18" s="1017"/>
      <c r="FI18" s="1017"/>
      <c r="FJ18" s="1017"/>
      <c r="FK18" s="1017"/>
      <c r="FL18" s="1017"/>
      <c r="FM18" s="1017"/>
      <c r="FN18" s="1017"/>
      <c r="FO18" s="1017"/>
      <c r="FP18" s="1017"/>
      <c r="FQ18" s="1017"/>
      <c r="FR18" s="1017"/>
      <c r="FS18" s="1017"/>
      <c r="FT18" s="1017"/>
      <c r="FU18" s="1017"/>
      <c r="FV18" s="1017"/>
      <c r="FW18" s="1017"/>
      <c r="FX18" s="1017"/>
      <c r="FY18" s="1017"/>
      <c r="FZ18" s="1017"/>
      <c r="GA18" s="1017"/>
      <c r="GB18" s="1017"/>
      <c r="GC18" s="1017"/>
      <c r="GD18" s="1017"/>
      <c r="GE18" s="1017"/>
      <c r="GF18" s="1017"/>
      <c r="GG18" s="1017"/>
      <c r="GH18" s="1017"/>
      <c r="GI18" s="1017"/>
      <c r="GJ18" s="1017"/>
      <c r="GK18" s="1017"/>
      <c r="GL18" s="1017"/>
      <c r="GM18" s="1017"/>
      <c r="GN18" s="1017"/>
      <c r="GO18" s="1017"/>
      <c r="GP18" s="1017"/>
      <c r="GQ18" s="1017"/>
      <c r="GR18" s="1017"/>
      <c r="GS18" s="1017"/>
      <c r="GT18" s="1017"/>
      <c r="GU18" s="1017"/>
      <c r="GV18" s="1017"/>
      <c r="GW18" s="1017"/>
      <c r="GX18" s="1017"/>
      <c r="GY18" s="1017"/>
      <c r="GZ18" s="1017"/>
      <c r="HA18" s="1017"/>
      <c r="HB18" s="1017"/>
      <c r="HC18" s="1017"/>
      <c r="HD18" s="1017"/>
      <c r="HE18" s="1017"/>
      <c r="HF18" s="1017"/>
      <c r="HG18" s="1017"/>
      <c r="HH18" s="1017"/>
      <c r="HI18" s="1017"/>
      <c r="HJ18" s="1017"/>
      <c r="HK18" s="1017"/>
      <c r="HL18" s="1017"/>
      <c r="HM18" s="1017"/>
      <c r="HN18" s="1017"/>
      <c r="HO18" s="1017"/>
      <c r="HP18" s="1017"/>
      <c r="HQ18" s="1017"/>
      <c r="HR18" s="1017"/>
      <c r="HS18" s="1017"/>
      <c r="HT18" s="1017"/>
      <c r="HU18" s="1017"/>
      <c r="HV18" s="1017"/>
      <c r="HW18" s="1017"/>
      <c r="HX18" s="1017"/>
      <c r="HY18" s="1017"/>
      <c r="HZ18" s="1017"/>
      <c r="IA18" s="1017"/>
      <c r="IB18" s="1017"/>
      <c r="IC18" s="1017"/>
      <c r="ID18" s="1017"/>
      <c r="IE18" s="1017"/>
      <c r="IF18" s="1017"/>
      <c r="IG18" s="1017"/>
      <c r="IH18" s="1017"/>
      <c r="II18" s="1017"/>
      <c r="IJ18" s="1017"/>
      <c r="IK18" s="1017"/>
      <c r="IL18" s="1017"/>
      <c r="IM18" s="1017"/>
    </row>
    <row r="19" spans="1:247">
      <c r="A19" s="1052" t="s">
        <v>929</v>
      </c>
      <c r="B19" s="1053"/>
      <c r="C19" s="1045">
        <v>177.33799999999999</v>
      </c>
      <c r="D19" s="1045">
        <f>266.163*0.67-23*0.67</f>
        <v>162.91921000000002</v>
      </c>
      <c r="E19" s="1046">
        <v>175.09800000000001</v>
      </c>
      <c r="F19" s="1046">
        <v>174.91200000000001</v>
      </c>
      <c r="G19" s="1047">
        <v>174.83799999999999</v>
      </c>
      <c r="H19" s="1048">
        <v>162.91921000000002</v>
      </c>
      <c r="I19" s="1048">
        <v>175.09800000000001</v>
      </c>
      <c r="J19" s="1048">
        <v>174.91200000000001</v>
      </c>
      <c r="K19" s="1049">
        <v>174.83799999999999</v>
      </c>
      <c r="L19" s="1028"/>
      <c r="M19" s="1045"/>
      <c r="N19" s="1050">
        <f t="shared" si="11"/>
        <v>162.91921000000002</v>
      </c>
      <c r="O19" s="1045">
        <f>N19</f>
        <v>162.91921000000002</v>
      </c>
      <c r="P19" s="1046">
        <f t="shared" ref="P19:Q19" si="14">O19</f>
        <v>162.91921000000002</v>
      </c>
      <c r="Q19" s="1046">
        <f t="shared" si="14"/>
        <v>162.91921000000002</v>
      </c>
      <c r="R19" s="1045">
        <f t="shared" si="10"/>
        <v>12.178789999999992</v>
      </c>
      <c r="S19" s="1046">
        <f t="shared" si="8"/>
        <v>11.992789999999985</v>
      </c>
      <c r="T19" s="1046">
        <f t="shared" si="8"/>
        <v>11.918789999999973</v>
      </c>
      <c r="U19" s="1050">
        <f t="shared" si="6"/>
        <v>0</v>
      </c>
      <c r="V19" s="948"/>
      <c r="W19" s="1045">
        <f t="shared" si="9"/>
        <v>162.91921000000002</v>
      </c>
      <c r="X19" s="1046">
        <v>175.09800000000001</v>
      </c>
      <c r="Y19" s="1045">
        <f t="shared" si="7"/>
        <v>12.178789999999992</v>
      </c>
      <c r="Z19" s="1051">
        <f t="shared" si="3"/>
        <v>1.3608296077318274E-2</v>
      </c>
      <c r="AA19" s="1017"/>
      <c r="AB19" s="952"/>
      <c r="AC19" s="1017"/>
      <c r="AD19" s="1017"/>
      <c r="AE19" s="1017"/>
      <c r="AF19" s="1017"/>
      <c r="AG19" s="1017"/>
      <c r="AH19" s="1017"/>
      <c r="AI19" s="1017"/>
      <c r="AJ19" s="1017"/>
      <c r="AK19" s="1017"/>
      <c r="AL19" s="1017"/>
      <c r="AM19" s="1017"/>
      <c r="AN19" s="1017"/>
      <c r="AO19" s="1017"/>
      <c r="AP19" s="1017"/>
      <c r="AQ19" s="1017"/>
      <c r="AR19" s="1017"/>
      <c r="AS19" s="1017"/>
      <c r="AT19" s="1017"/>
      <c r="AU19" s="1017"/>
      <c r="AV19" s="1017"/>
      <c r="AW19" s="1017"/>
      <c r="AX19" s="1017"/>
      <c r="AY19" s="1017"/>
      <c r="AZ19" s="1017"/>
      <c r="BA19" s="1017"/>
      <c r="BB19" s="1017"/>
      <c r="BC19" s="1017"/>
      <c r="BD19" s="1017"/>
      <c r="BE19" s="1017"/>
      <c r="BF19" s="1017"/>
      <c r="BG19" s="1017"/>
      <c r="BH19" s="1017"/>
      <c r="BI19" s="1017"/>
      <c r="BJ19" s="1017"/>
      <c r="BK19" s="1017"/>
      <c r="BL19" s="1017"/>
      <c r="BM19" s="1017"/>
      <c r="BN19" s="1017"/>
      <c r="BO19" s="1017"/>
      <c r="BP19" s="1017"/>
      <c r="BQ19" s="1017"/>
      <c r="BR19" s="1017"/>
      <c r="BS19" s="1017"/>
      <c r="BT19" s="1017"/>
      <c r="BU19" s="1017"/>
      <c r="BV19" s="1017"/>
      <c r="BW19" s="1017"/>
      <c r="BX19" s="1017"/>
      <c r="BY19" s="1017"/>
      <c r="BZ19" s="1017"/>
      <c r="CA19" s="1017"/>
      <c r="CB19" s="1017"/>
      <c r="CC19" s="1017"/>
      <c r="CD19" s="1017"/>
      <c r="CE19" s="1017"/>
      <c r="CF19" s="1017"/>
      <c r="CG19" s="1017"/>
      <c r="CH19" s="1017"/>
      <c r="CI19" s="1017"/>
      <c r="CJ19" s="1017"/>
      <c r="CK19" s="1017"/>
      <c r="CL19" s="1017"/>
      <c r="CM19" s="1017"/>
      <c r="CN19" s="1017"/>
      <c r="CO19" s="1017"/>
      <c r="CP19" s="1017"/>
      <c r="CQ19" s="1017"/>
      <c r="CR19" s="1017"/>
      <c r="CS19" s="1017"/>
      <c r="CT19" s="1017"/>
      <c r="CU19" s="1017"/>
      <c r="CV19" s="1017"/>
      <c r="CW19" s="1017"/>
      <c r="CX19" s="1017"/>
      <c r="CY19" s="1017"/>
      <c r="CZ19" s="1017"/>
      <c r="DA19" s="1017"/>
      <c r="DB19" s="1017"/>
      <c r="DC19" s="1017"/>
      <c r="DD19" s="1017"/>
      <c r="DE19" s="1017"/>
      <c r="DF19" s="1017"/>
      <c r="DG19" s="1017"/>
      <c r="DH19" s="1017"/>
      <c r="DI19" s="1017"/>
      <c r="DJ19" s="1017"/>
      <c r="DK19" s="1017"/>
      <c r="DL19" s="1017"/>
      <c r="DM19" s="1017"/>
      <c r="DN19" s="1017"/>
      <c r="DO19" s="1017"/>
      <c r="DP19" s="1017"/>
      <c r="DQ19" s="1017"/>
      <c r="DR19" s="1017"/>
      <c r="DS19" s="1017"/>
      <c r="DT19" s="1017"/>
      <c r="DU19" s="1017"/>
      <c r="DV19" s="1017"/>
      <c r="DW19" s="1017"/>
      <c r="DX19" s="1017"/>
      <c r="DY19" s="1017"/>
      <c r="DZ19" s="1017"/>
      <c r="EA19" s="1017"/>
      <c r="EB19" s="1017"/>
      <c r="EC19" s="1017"/>
      <c r="ED19" s="1017"/>
      <c r="EE19" s="1017"/>
      <c r="EF19" s="1017"/>
      <c r="EG19" s="1017"/>
      <c r="EH19" s="1017"/>
      <c r="EI19" s="1017"/>
      <c r="EJ19" s="1017"/>
      <c r="EK19" s="1017"/>
      <c r="EL19" s="1017"/>
      <c r="EM19" s="1017"/>
      <c r="EN19" s="1017"/>
      <c r="EO19" s="1017"/>
      <c r="EP19" s="1017"/>
      <c r="EQ19" s="1017"/>
      <c r="ER19" s="1017"/>
      <c r="ES19" s="1017"/>
      <c r="ET19" s="1017"/>
      <c r="EU19" s="1017"/>
      <c r="EV19" s="1017"/>
      <c r="EW19" s="1017"/>
      <c r="EX19" s="1017"/>
      <c r="EY19" s="1017"/>
      <c r="EZ19" s="1017"/>
      <c r="FA19" s="1017"/>
      <c r="FB19" s="1017"/>
      <c r="FC19" s="1017"/>
      <c r="FD19" s="1017"/>
      <c r="FE19" s="1017"/>
      <c r="FF19" s="1017"/>
      <c r="FG19" s="1017"/>
      <c r="FH19" s="1017"/>
      <c r="FI19" s="1017"/>
      <c r="FJ19" s="1017"/>
      <c r="FK19" s="1017"/>
      <c r="FL19" s="1017"/>
      <c r="FM19" s="1017"/>
      <c r="FN19" s="1017"/>
      <c r="FO19" s="1017"/>
      <c r="FP19" s="1017"/>
      <c r="FQ19" s="1017"/>
      <c r="FR19" s="1017"/>
      <c r="FS19" s="1017"/>
      <c r="FT19" s="1017"/>
      <c r="FU19" s="1017"/>
      <c r="FV19" s="1017"/>
      <c r="FW19" s="1017"/>
      <c r="FX19" s="1017"/>
      <c r="FY19" s="1017"/>
      <c r="FZ19" s="1017"/>
      <c r="GA19" s="1017"/>
      <c r="GB19" s="1017"/>
      <c r="GC19" s="1017"/>
      <c r="GD19" s="1017"/>
      <c r="GE19" s="1017"/>
      <c r="GF19" s="1017"/>
      <c r="GG19" s="1017"/>
      <c r="GH19" s="1017"/>
      <c r="GI19" s="1017"/>
      <c r="GJ19" s="1017"/>
      <c r="GK19" s="1017"/>
      <c r="GL19" s="1017"/>
      <c r="GM19" s="1017"/>
      <c r="GN19" s="1017"/>
      <c r="GO19" s="1017"/>
      <c r="GP19" s="1017"/>
      <c r="GQ19" s="1017"/>
      <c r="GR19" s="1017"/>
      <c r="GS19" s="1017"/>
      <c r="GT19" s="1017"/>
      <c r="GU19" s="1017"/>
      <c r="GV19" s="1017"/>
      <c r="GW19" s="1017"/>
      <c r="GX19" s="1017"/>
      <c r="GY19" s="1017"/>
      <c r="GZ19" s="1017"/>
      <c r="HA19" s="1017"/>
      <c r="HB19" s="1017"/>
      <c r="HC19" s="1017"/>
      <c r="HD19" s="1017"/>
      <c r="HE19" s="1017"/>
      <c r="HF19" s="1017"/>
      <c r="HG19" s="1017"/>
      <c r="HH19" s="1017"/>
      <c r="HI19" s="1017"/>
      <c r="HJ19" s="1017"/>
      <c r="HK19" s="1017"/>
      <c r="HL19" s="1017"/>
      <c r="HM19" s="1017"/>
      <c r="HN19" s="1017"/>
      <c r="HO19" s="1017"/>
      <c r="HP19" s="1017"/>
      <c r="HQ19" s="1017"/>
      <c r="HR19" s="1017"/>
      <c r="HS19" s="1017"/>
      <c r="HT19" s="1017"/>
      <c r="HU19" s="1017"/>
      <c r="HV19" s="1017"/>
      <c r="HW19" s="1017"/>
      <c r="HX19" s="1017"/>
      <c r="HY19" s="1017"/>
      <c r="HZ19" s="1017"/>
      <c r="IA19" s="1017"/>
      <c r="IB19" s="1017"/>
      <c r="IC19" s="1017"/>
      <c r="ID19" s="1017"/>
      <c r="IE19" s="1017"/>
      <c r="IF19" s="1017"/>
      <c r="IG19" s="1017"/>
      <c r="IH19" s="1017"/>
      <c r="II19" s="1017"/>
      <c r="IJ19" s="1017"/>
      <c r="IK19" s="1017"/>
      <c r="IL19" s="1017"/>
      <c r="IM19" s="1017"/>
    </row>
    <row r="20" spans="1:247">
      <c r="A20" s="1052" t="s">
        <v>432</v>
      </c>
      <c r="B20" s="1053"/>
      <c r="C20" s="1045">
        <f>C5-SUM(C6:C19)</f>
        <v>43.206185999999434</v>
      </c>
      <c r="D20" s="1045">
        <f t="shared" ref="D20:G20" si="15">D5-SUM(D6:D19)</f>
        <v>8.9492733333318029</v>
      </c>
      <c r="E20" s="1046">
        <f t="shared" si="15"/>
        <v>49.312249999997221</v>
      </c>
      <c r="F20" s="1046">
        <f t="shared" si="15"/>
        <v>50.403216666667504</v>
      </c>
      <c r="G20" s="1047">
        <f t="shared" si="15"/>
        <v>50.368483333335462</v>
      </c>
      <c r="H20" s="1048">
        <v>8.9492733333318029</v>
      </c>
      <c r="I20" s="1048">
        <v>49.312249999997221</v>
      </c>
      <c r="J20" s="1048">
        <v>50.403216666667504</v>
      </c>
      <c r="K20" s="1049">
        <v>50.368483333335462</v>
      </c>
      <c r="L20" s="1028"/>
      <c r="M20" s="1045"/>
      <c r="N20" s="1050">
        <f t="shared" si="11"/>
        <v>8.9492733333318029</v>
      </c>
      <c r="O20" s="1045">
        <f>I20</f>
        <v>49.312249999997221</v>
      </c>
      <c r="P20" s="1046">
        <f t="shared" ref="P20:Q20" si="16">J20</f>
        <v>50.403216666667504</v>
      </c>
      <c r="Q20" s="1046">
        <f t="shared" si="16"/>
        <v>50.368483333335462</v>
      </c>
      <c r="R20" s="1045">
        <f t="shared" si="10"/>
        <v>0</v>
      </c>
      <c r="S20" s="1046">
        <f t="shared" si="8"/>
        <v>0</v>
      </c>
      <c r="T20" s="1046">
        <f t="shared" si="8"/>
        <v>0</v>
      </c>
      <c r="U20" s="1050">
        <f t="shared" si="6"/>
        <v>40.362976666665418</v>
      </c>
      <c r="V20" s="948"/>
      <c r="W20" s="1045">
        <f t="shared" si="9"/>
        <v>49.312249999997221</v>
      </c>
      <c r="X20" s="1046">
        <v>49.312249999997221</v>
      </c>
      <c r="Y20" s="1045">
        <f t="shared" si="7"/>
        <v>0</v>
      </c>
      <c r="Z20" s="1051">
        <f t="shared" si="3"/>
        <v>0</v>
      </c>
      <c r="AA20" s="1017"/>
      <c r="AB20" s="952"/>
      <c r="AC20" s="1017"/>
      <c r="AD20" s="1017"/>
      <c r="AE20" s="1017"/>
      <c r="AF20" s="1017"/>
      <c r="AG20" s="1017"/>
      <c r="AH20" s="1017"/>
      <c r="AI20" s="1017"/>
      <c r="AJ20" s="1017"/>
      <c r="AK20" s="1017"/>
      <c r="AL20" s="1017"/>
      <c r="AM20" s="1017"/>
      <c r="AN20" s="1017"/>
      <c r="AO20" s="1017"/>
      <c r="AP20" s="1017"/>
      <c r="AQ20" s="1017"/>
      <c r="AR20" s="1017"/>
      <c r="AS20" s="1017"/>
      <c r="AT20" s="1017"/>
      <c r="AU20" s="1017"/>
      <c r="AV20" s="1017"/>
      <c r="AW20" s="1017"/>
      <c r="AX20" s="1017"/>
      <c r="AY20" s="1017"/>
      <c r="AZ20" s="1017"/>
      <c r="BA20" s="1017"/>
      <c r="BB20" s="1017"/>
      <c r="BC20" s="1017"/>
      <c r="BD20" s="1017"/>
      <c r="BE20" s="1017"/>
      <c r="BF20" s="1017"/>
      <c r="BG20" s="1017"/>
      <c r="BH20" s="1017"/>
      <c r="BI20" s="1017"/>
      <c r="BJ20" s="1017"/>
      <c r="BK20" s="1017"/>
      <c r="BL20" s="1017"/>
      <c r="BM20" s="1017"/>
      <c r="BN20" s="1017"/>
      <c r="BO20" s="1017"/>
      <c r="BP20" s="1017"/>
      <c r="BQ20" s="1017"/>
      <c r="BR20" s="1017"/>
      <c r="BS20" s="1017"/>
      <c r="BT20" s="1017"/>
      <c r="BU20" s="1017"/>
      <c r="BV20" s="1017"/>
      <c r="BW20" s="1017"/>
      <c r="BX20" s="1017"/>
      <c r="BY20" s="1017"/>
      <c r="BZ20" s="1017"/>
      <c r="CA20" s="1017"/>
      <c r="CB20" s="1017"/>
      <c r="CC20" s="1017"/>
      <c r="CD20" s="1017"/>
      <c r="CE20" s="1017"/>
      <c r="CF20" s="1017"/>
      <c r="CG20" s="1017"/>
      <c r="CH20" s="1017"/>
      <c r="CI20" s="1017"/>
      <c r="CJ20" s="1017"/>
      <c r="CK20" s="1017"/>
      <c r="CL20" s="1017"/>
      <c r="CM20" s="1017"/>
      <c r="CN20" s="1017"/>
      <c r="CO20" s="1017"/>
      <c r="CP20" s="1017"/>
      <c r="CQ20" s="1017"/>
      <c r="CR20" s="1017"/>
      <c r="CS20" s="1017"/>
      <c r="CT20" s="1017"/>
      <c r="CU20" s="1017"/>
      <c r="CV20" s="1017"/>
      <c r="CW20" s="1017"/>
      <c r="CX20" s="1017"/>
      <c r="CY20" s="1017"/>
      <c r="CZ20" s="1017"/>
      <c r="DA20" s="1017"/>
      <c r="DB20" s="1017"/>
      <c r="DC20" s="1017"/>
      <c r="DD20" s="1017"/>
      <c r="DE20" s="1017"/>
      <c r="DF20" s="1017"/>
      <c r="DG20" s="1017"/>
      <c r="DH20" s="1017"/>
      <c r="DI20" s="1017"/>
      <c r="DJ20" s="1017"/>
      <c r="DK20" s="1017"/>
      <c r="DL20" s="1017"/>
      <c r="DM20" s="1017"/>
      <c r="DN20" s="1017"/>
      <c r="DO20" s="1017"/>
      <c r="DP20" s="1017"/>
      <c r="DQ20" s="1017"/>
      <c r="DR20" s="1017"/>
      <c r="DS20" s="1017"/>
      <c r="DT20" s="1017"/>
      <c r="DU20" s="1017"/>
      <c r="DV20" s="1017"/>
      <c r="DW20" s="1017"/>
      <c r="DX20" s="1017"/>
      <c r="DY20" s="1017"/>
      <c r="DZ20" s="1017"/>
      <c r="EA20" s="1017"/>
      <c r="EB20" s="1017"/>
      <c r="EC20" s="1017"/>
      <c r="ED20" s="1017"/>
      <c r="EE20" s="1017"/>
      <c r="EF20" s="1017"/>
      <c r="EG20" s="1017"/>
      <c r="EH20" s="1017"/>
      <c r="EI20" s="1017"/>
      <c r="EJ20" s="1017"/>
      <c r="EK20" s="1017"/>
      <c r="EL20" s="1017"/>
      <c r="EM20" s="1017"/>
      <c r="EN20" s="1017"/>
      <c r="EO20" s="1017"/>
      <c r="EP20" s="1017"/>
      <c r="EQ20" s="1017"/>
      <c r="ER20" s="1017"/>
      <c r="ES20" s="1017"/>
      <c r="ET20" s="1017"/>
      <c r="EU20" s="1017"/>
      <c r="EV20" s="1017"/>
      <c r="EW20" s="1017"/>
      <c r="EX20" s="1017"/>
      <c r="EY20" s="1017"/>
      <c r="EZ20" s="1017"/>
      <c r="FA20" s="1017"/>
      <c r="FB20" s="1017"/>
      <c r="FC20" s="1017"/>
      <c r="FD20" s="1017"/>
      <c r="FE20" s="1017"/>
      <c r="FF20" s="1017"/>
      <c r="FG20" s="1017"/>
      <c r="FH20" s="1017"/>
      <c r="FI20" s="1017"/>
      <c r="FJ20" s="1017"/>
      <c r="FK20" s="1017"/>
      <c r="FL20" s="1017"/>
      <c r="FM20" s="1017"/>
      <c r="FN20" s="1017"/>
      <c r="FO20" s="1017"/>
      <c r="FP20" s="1017"/>
      <c r="FQ20" s="1017"/>
      <c r="FR20" s="1017"/>
      <c r="FS20" s="1017"/>
      <c r="FT20" s="1017"/>
      <c r="FU20" s="1017"/>
      <c r="FV20" s="1017"/>
      <c r="FW20" s="1017"/>
      <c r="FX20" s="1017"/>
      <c r="FY20" s="1017"/>
      <c r="FZ20" s="1017"/>
      <c r="GA20" s="1017"/>
      <c r="GB20" s="1017"/>
      <c r="GC20" s="1017"/>
      <c r="GD20" s="1017"/>
      <c r="GE20" s="1017"/>
      <c r="GF20" s="1017"/>
      <c r="GG20" s="1017"/>
      <c r="GH20" s="1017"/>
      <c r="GI20" s="1017"/>
      <c r="GJ20" s="1017"/>
      <c r="GK20" s="1017"/>
      <c r="GL20" s="1017"/>
      <c r="GM20" s="1017"/>
      <c r="GN20" s="1017"/>
      <c r="GO20" s="1017"/>
      <c r="GP20" s="1017"/>
      <c r="GQ20" s="1017"/>
      <c r="GR20" s="1017"/>
      <c r="GS20" s="1017"/>
      <c r="GT20" s="1017"/>
      <c r="GU20" s="1017"/>
      <c r="GV20" s="1017"/>
      <c r="GW20" s="1017"/>
      <c r="GX20" s="1017"/>
      <c r="GY20" s="1017"/>
      <c r="GZ20" s="1017"/>
      <c r="HA20" s="1017"/>
      <c r="HB20" s="1017"/>
      <c r="HC20" s="1017"/>
      <c r="HD20" s="1017"/>
      <c r="HE20" s="1017"/>
      <c r="HF20" s="1017"/>
      <c r="HG20" s="1017"/>
      <c r="HH20" s="1017"/>
      <c r="HI20" s="1017"/>
      <c r="HJ20" s="1017"/>
      <c r="HK20" s="1017"/>
      <c r="HL20" s="1017"/>
      <c r="HM20" s="1017"/>
      <c r="HN20" s="1017"/>
      <c r="HO20" s="1017"/>
      <c r="HP20" s="1017"/>
      <c r="HQ20" s="1017"/>
      <c r="HR20" s="1017"/>
      <c r="HS20" s="1017"/>
      <c r="HT20" s="1017"/>
      <c r="HU20" s="1017"/>
      <c r="HV20" s="1017"/>
      <c r="HW20" s="1017"/>
      <c r="HX20" s="1017"/>
      <c r="HY20" s="1017"/>
      <c r="HZ20" s="1017"/>
      <c r="IA20" s="1017"/>
      <c r="IB20" s="1017"/>
      <c r="IC20" s="1017"/>
      <c r="ID20" s="1017"/>
      <c r="IE20" s="1017"/>
      <c r="IF20" s="1017"/>
      <c r="IG20" s="1017"/>
      <c r="IH20" s="1017"/>
      <c r="II20" s="1017"/>
      <c r="IJ20" s="1017"/>
      <c r="IK20" s="1017"/>
      <c r="IL20" s="1017"/>
      <c r="IM20" s="1017"/>
    </row>
    <row r="21" spans="1:247" s="957" customFormat="1">
      <c r="A21" s="790" t="s">
        <v>433</v>
      </c>
      <c r="B21" s="1060" t="s">
        <v>930</v>
      </c>
      <c r="C21" s="1034">
        <v>5956.85</v>
      </c>
      <c r="D21" s="1061">
        <v>6048.3954333333331</v>
      </c>
      <c r="E21" s="1062">
        <v>6391.875</v>
      </c>
      <c r="F21" s="1062">
        <v>6775.3010000000004</v>
      </c>
      <c r="G21" s="1063">
        <v>7208.8530000000001</v>
      </c>
      <c r="H21" s="1064">
        <f>SUM(H22:H28)</f>
        <v>6084.0573136001121</v>
      </c>
      <c r="I21" s="1064">
        <f t="shared" ref="I21:K21" si="17">SUM(I22:I28)</f>
        <v>6403.6424275673744</v>
      </c>
      <c r="J21" s="1064">
        <f t="shared" si="17"/>
        <v>6784.0485526864531</v>
      </c>
      <c r="K21" s="1065">
        <f t="shared" si="17"/>
        <v>7234.4692423554725</v>
      </c>
      <c r="L21" s="1028"/>
      <c r="M21" s="1066">
        <f>SUM(M22:M28)</f>
        <v>0</v>
      </c>
      <c r="N21" s="1034">
        <f t="shared" si="11"/>
        <v>6084.0573136001121</v>
      </c>
      <c r="O21" s="1066">
        <f>SUM(O22:O28)</f>
        <v>6394.8931218243724</v>
      </c>
      <c r="P21" s="1062">
        <f t="shared" ref="P21:T21" si="18">SUM(P22:P28)</f>
        <v>6775.2787994918917</v>
      </c>
      <c r="Q21" s="1062">
        <f t="shared" si="18"/>
        <v>7224.8218308885598</v>
      </c>
      <c r="R21" s="1066">
        <f t="shared" si="18"/>
        <v>8.7493057430008179</v>
      </c>
      <c r="S21" s="1062">
        <f t="shared" si="18"/>
        <v>8.76975319456119</v>
      </c>
      <c r="T21" s="1062">
        <f t="shared" si="18"/>
        <v>9.6474114669125441</v>
      </c>
      <c r="U21" s="1034">
        <f t="shared" si="6"/>
        <v>310.83580822426029</v>
      </c>
      <c r="V21" s="948"/>
      <c r="W21" s="1066">
        <f>SUM(W22:W28)</f>
        <v>6394.8931218243724</v>
      </c>
      <c r="X21" s="1062">
        <f>SUM(X22:X28)</f>
        <v>6391.875</v>
      </c>
      <c r="Y21" s="1066">
        <f t="shared" si="7"/>
        <v>-3.0181218243724288</v>
      </c>
      <c r="Z21" s="1067">
        <f t="shared" si="3"/>
        <v>-3.3723789788210499E-3</v>
      </c>
      <c r="AA21" s="1042"/>
      <c r="AB21" s="952"/>
      <c r="AC21" s="1042"/>
      <c r="AD21" s="1042"/>
      <c r="AE21" s="1042"/>
      <c r="AF21" s="1042"/>
      <c r="AG21" s="1042"/>
      <c r="AH21" s="1042"/>
      <c r="AI21" s="1042"/>
      <c r="AJ21" s="1042"/>
      <c r="AK21" s="1042"/>
      <c r="AL21" s="1042"/>
      <c r="AM21" s="1042"/>
      <c r="AN21" s="1042"/>
      <c r="AO21" s="1042"/>
      <c r="AP21" s="1042"/>
      <c r="AQ21" s="1042"/>
      <c r="AR21" s="1042"/>
      <c r="AS21" s="1042"/>
      <c r="AT21" s="1042"/>
      <c r="AU21" s="1042"/>
      <c r="AV21" s="1042"/>
      <c r="AW21" s="1042"/>
      <c r="AX21" s="1042"/>
      <c r="AY21" s="1042"/>
      <c r="AZ21" s="1042"/>
      <c r="BA21" s="1042"/>
      <c r="BB21" s="1042"/>
      <c r="BC21" s="1042"/>
      <c r="BD21" s="1042"/>
      <c r="BE21" s="1042"/>
      <c r="BF21" s="1042"/>
      <c r="BG21" s="1042"/>
      <c r="BH21" s="1042"/>
      <c r="BI21" s="1042"/>
      <c r="BJ21" s="1042"/>
      <c r="BK21" s="1042"/>
      <c r="BL21" s="1042"/>
      <c r="BM21" s="1042"/>
      <c r="BN21" s="1042"/>
      <c r="BO21" s="1042"/>
      <c r="BP21" s="1042"/>
      <c r="BQ21" s="1042"/>
      <c r="BR21" s="1042"/>
      <c r="BS21" s="1042"/>
      <c r="BT21" s="1042"/>
      <c r="BU21" s="1042"/>
      <c r="BV21" s="1042"/>
      <c r="BW21" s="1042"/>
      <c r="BX21" s="1042"/>
      <c r="BY21" s="1042"/>
      <c r="BZ21" s="1042"/>
      <c r="CA21" s="1042"/>
      <c r="CB21" s="1042"/>
      <c r="CC21" s="1042"/>
      <c r="CD21" s="1042"/>
      <c r="CE21" s="1042"/>
      <c r="CF21" s="1042"/>
      <c r="CG21" s="1042"/>
      <c r="CH21" s="1042"/>
      <c r="CI21" s="1042"/>
      <c r="CJ21" s="1042"/>
      <c r="CK21" s="1042"/>
      <c r="CL21" s="1042"/>
      <c r="CM21" s="1042"/>
      <c r="CN21" s="1042"/>
      <c r="CO21" s="1042"/>
      <c r="CP21" s="1042"/>
      <c r="CQ21" s="1042"/>
      <c r="CR21" s="1042"/>
      <c r="CS21" s="1042"/>
      <c r="CT21" s="1042"/>
      <c r="CU21" s="1042"/>
      <c r="CV21" s="1042"/>
      <c r="CW21" s="1042"/>
      <c r="CX21" s="1042"/>
      <c r="CY21" s="1042"/>
      <c r="CZ21" s="1042"/>
      <c r="DA21" s="1042"/>
      <c r="DB21" s="1042"/>
      <c r="DC21" s="1042"/>
      <c r="DD21" s="1042"/>
      <c r="DE21" s="1042"/>
      <c r="DF21" s="1042"/>
      <c r="DG21" s="1042"/>
      <c r="DH21" s="1042"/>
      <c r="DI21" s="1042"/>
      <c r="DJ21" s="1042"/>
      <c r="DK21" s="1042"/>
      <c r="DL21" s="1042"/>
      <c r="DM21" s="1042"/>
      <c r="DN21" s="1042"/>
      <c r="DO21" s="1042"/>
      <c r="DP21" s="1042"/>
      <c r="DQ21" s="1042"/>
      <c r="DR21" s="1042"/>
      <c r="DS21" s="1042"/>
      <c r="DT21" s="1042"/>
      <c r="DU21" s="1042"/>
      <c r="DV21" s="1042"/>
      <c r="DW21" s="1042"/>
      <c r="DX21" s="1042"/>
      <c r="DY21" s="1042"/>
      <c r="DZ21" s="1042"/>
      <c r="EA21" s="1042"/>
      <c r="EB21" s="1042"/>
      <c r="EC21" s="1042"/>
      <c r="ED21" s="1042"/>
      <c r="EE21" s="1042"/>
      <c r="EF21" s="1042"/>
      <c r="EG21" s="1042"/>
      <c r="EH21" s="1042"/>
      <c r="EI21" s="1042"/>
      <c r="EJ21" s="1042"/>
      <c r="EK21" s="1042"/>
      <c r="EL21" s="1042"/>
      <c r="EM21" s="1042"/>
      <c r="EN21" s="1042"/>
      <c r="EO21" s="1042"/>
      <c r="EP21" s="1042"/>
      <c r="EQ21" s="1042"/>
      <c r="ER21" s="1042"/>
      <c r="ES21" s="1042"/>
      <c r="ET21" s="1042"/>
      <c r="EU21" s="1042"/>
      <c r="EV21" s="1042"/>
      <c r="EW21" s="1042"/>
      <c r="EX21" s="1042"/>
      <c r="EY21" s="1042"/>
      <c r="EZ21" s="1042"/>
      <c r="FA21" s="1042"/>
      <c r="FB21" s="1042"/>
      <c r="FC21" s="1042"/>
      <c r="FD21" s="1042"/>
      <c r="FE21" s="1042"/>
      <c r="FF21" s="1042"/>
      <c r="FG21" s="1042"/>
      <c r="FH21" s="1042"/>
      <c r="FI21" s="1042"/>
      <c r="FJ21" s="1042"/>
      <c r="FK21" s="1042"/>
      <c r="FL21" s="1042"/>
      <c r="FM21" s="1042"/>
      <c r="FN21" s="1042"/>
      <c r="FO21" s="1042"/>
      <c r="FP21" s="1042"/>
      <c r="FQ21" s="1042"/>
      <c r="FR21" s="1042"/>
      <c r="FS21" s="1042"/>
      <c r="FT21" s="1042"/>
      <c r="FU21" s="1042"/>
      <c r="FV21" s="1042"/>
      <c r="FW21" s="1042"/>
      <c r="FX21" s="1042"/>
      <c r="FY21" s="1042"/>
      <c r="FZ21" s="1042"/>
      <c r="GA21" s="1042"/>
      <c r="GB21" s="1042"/>
      <c r="GC21" s="1042"/>
      <c r="GD21" s="1042"/>
      <c r="GE21" s="1042"/>
      <c r="GF21" s="1042"/>
      <c r="GG21" s="1042"/>
      <c r="GH21" s="1042"/>
      <c r="GI21" s="1042"/>
      <c r="GJ21" s="1042"/>
      <c r="GK21" s="1042"/>
      <c r="GL21" s="1042"/>
      <c r="GM21" s="1042"/>
      <c r="GN21" s="1042"/>
      <c r="GO21" s="1042"/>
      <c r="GP21" s="1042"/>
      <c r="GQ21" s="1042"/>
      <c r="GR21" s="1042"/>
      <c r="GS21" s="1042"/>
      <c r="GT21" s="1042"/>
      <c r="GU21" s="1042"/>
      <c r="GV21" s="1042"/>
      <c r="GW21" s="1042"/>
      <c r="GX21" s="1042"/>
      <c r="GY21" s="1042"/>
      <c r="GZ21" s="1042"/>
      <c r="HA21" s="1042"/>
      <c r="HB21" s="1042"/>
      <c r="HC21" s="1042"/>
      <c r="HD21" s="1042"/>
      <c r="HE21" s="1042"/>
      <c r="HF21" s="1042"/>
      <c r="HG21" s="1042"/>
      <c r="HH21" s="1042"/>
      <c r="HI21" s="1042"/>
      <c r="HJ21" s="1042"/>
      <c r="HK21" s="1042"/>
      <c r="HL21" s="1042"/>
      <c r="HM21" s="1042"/>
      <c r="HN21" s="1042"/>
      <c r="HO21" s="1042"/>
      <c r="HP21" s="1042"/>
      <c r="HQ21" s="1042"/>
      <c r="HR21" s="1042"/>
      <c r="HS21" s="1042"/>
      <c r="HT21" s="1042"/>
      <c r="HU21" s="1042"/>
      <c r="HV21" s="1042"/>
      <c r="HW21" s="1042"/>
      <c r="HX21" s="1042"/>
      <c r="HY21" s="1042"/>
      <c r="HZ21" s="1042"/>
      <c r="IA21" s="1042"/>
      <c r="IB21" s="1042"/>
      <c r="IC21" s="1042"/>
      <c r="ID21" s="1042"/>
      <c r="IE21" s="1042"/>
      <c r="IF21" s="1042"/>
      <c r="IG21" s="1042"/>
      <c r="IH21" s="1042"/>
      <c r="II21" s="1042"/>
      <c r="IJ21" s="1042"/>
      <c r="IK21" s="1042"/>
      <c r="IL21" s="1042"/>
      <c r="IM21" s="1042"/>
    </row>
    <row r="22" spans="1:247">
      <c r="A22" s="1052" t="s">
        <v>434</v>
      </c>
      <c r="B22" s="1053"/>
      <c r="C22" s="1050">
        <v>2681.6010000000001</v>
      </c>
      <c r="D22" s="1068">
        <v>2865.913</v>
      </c>
      <c r="E22" s="1046">
        <v>3077.0920000000001</v>
      </c>
      <c r="F22" s="1046">
        <v>3296.297</v>
      </c>
      <c r="G22" s="1047">
        <v>3542.1279999999997</v>
      </c>
      <c r="H22" s="1058">
        <v>2843.4925565099202</v>
      </c>
      <c r="I22" s="1058">
        <v>3076.0076662980887</v>
      </c>
      <c r="J22" s="1058">
        <v>3307.0902307779511</v>
      </c>
      <c r="K22" s="1059">
        <v>3569.4370108364374</v>
      </c>
      <c r="L22" s="1028"/>
      <c r="M22" s="1068"/>
      <c r="N22" s="1050">
        <v>2843.4925565099202</v>
      </c>
      <c r="O22" s="1045">
        <v>3083.313404717167</v>
      </c>
      <c r="P22" s="1046">
        <v>3319.7138833237454</v>
      </c>
      <c r="Q22" s="1046">
        <v>3578.3245383320477</v>
      </c>
      <c r="R22" s="1045">
        <f t="shared" ref="R22:T28" si="19">I22-O22</f>
        <v>-7.3057384190783523</v>
      </c>
      <c r="S22" s="1046">
        <f t="shared" si="19"/>
        <v>-12.623652545794357</v>
      </c>
      <c r="T22" s="1046">
        <f t="shared" si="19"/>
        <v>-8.8875274956103567</v>
      </c>
      <c r="U22" s="1050">
        <f t="shared" si="6"/>
        <v>239.82084820724685</v>
      </c>
      <c r="V22" s="948"/>
      <c r="W22" s="1045">
        <f t="shared" ref="W22:W29" si="20">O22</f>
        <v>3083.313404717167</v>
      </c>
      <c r="X22" s="1046">
        <v>3077.0920000000001</v>
      </c>
      <c r="Y22" s="1045">
        <f t="shared" si="7"/>
        <v>-6.2214047171669336</v>
      </c>
      <c r="Z22" s="1051">
        <f t="shared" si="3"/>
        <v>-6.9516526196799714E-3</v>
      </c>
      <c r="AA22" s="1017"/>
      <c r="AB22" s="952"/>
      <c r="AC22" s="1017"/>
      <c r="AD22" s="1017"/>
      <c r="AE22" s="1017"/>
      <c r="AF22" s="1017"/>
      <c r="AG22" s="1017"/>
      <c r="AH22" s="1017"/>
      <c r="AI22" s="1017"/>
      <c r="AJ22" s="1017"/>
      <c r="AK22" s="1017"/>
      <c r="AL22" s="1017"/>
      <c r="AM22" s="1017"/>
      <c r="AN22" s="1017"/>
      <c r="AO22" s="1017"/>
      <c r="AP22" s="1017"/>
      <c r="AQ22" s="1017"/>
      <c r="AR22" s="1017"/>
      <c r="AS22" s="1017"/>
      <c r="AT22" s="1017"/>
      <c r="AU22" s="1017"/>
      <c r="AV22" s="1017"/>
      <c r="AW22" s="1017"/>
      <c r="AX22" s="1017"/>
      <c r="AY22" s="1017"/>
      <c r="AZ22" s="1017"/>
      <c r="BA22" s="1017"/>
      <c r="BB22" s="1017"/>
      <c r="BC22" s="1017"/>
      <c r="BD22" s="1017"/>
      <c r="BE22" s="1017"/>
      <c r="BF22" s="1017"/>
      <c r="BG22" s="1017"/>
      <c r="BH22" s="1017"/>
      <c r="BI22" s="1017"/>
      <c r="BJ22" s="1017"/>
      <c r="BK22" s="1017"/>
      <c r="BL22" s="1017"/>
      <c r="BM22" s="1017"/>
      <c r="BN22" s="1017"/>
      <c r="BO22" s="1017"/>
      <c r="BP22" s="1017"/>
      <c r="BQ22" s="1017"/>
      <c r="BR22" s="1017"/>
      <c r="BS22" s="1017"/>
      <c r="BT22" s="1017"/>
      <c r="BU22" s="1017"/>
      <c r="BV22" s="1017"/>
      <c r="BW22" s="1017"/>
      <c r="BX22" s="1017"/>
      <c r="BY22" s="1017"/>
      <c r="BZ22" s="1017"/>
      <c r="CA22" s="1017"/>
      <c r="CB22" s="1017"/>
      <c r="CC22" s="1017"/>
      <c r="CD22" s="1017"/>
      <c r="CE22" s="1017"/>
      <c r="CF22" s="1017"/>
      <c r="CG22" s="1017"/>
      <c r="CH22" s="1017"/>
      <c r="CI22" s="1017"/>
      <c r="CJ22" s="1017"/>
      <c r="CK22" s="1017"/>
      <c r="CL22" s="1017"/>
      <c r="CM22" s="1017"/>
      <c r="CN22" s="1017"/>
      <c r="CO22" s="1017"/>
      <c r="CP22" s="1017"/>
      <c r="CQ22" s="1017"/>
      <c r="CR22" s="1017"/>
      <c r="CS22" s="1017"/>
      <c r="CT22" s="1017"/>
      <c r="CU22" s="1017"/>
      <c r="CV22" s="1017"/>
      <c r="CW22" s="1017"/>
      <c r="CX22" s="1017"/>
      <c r="CY22" s="1017"/>
      <c r="CZ22" s="1017"/>
      <c r="DA22" s="1017"/>
      <c r="DB22" s="1017"/>
      <c r="DC22" s="1017"/>
      <c r="DD22" s="1017"/>
      <c r="DE22" s="1017"/>
      <c r="DF22" s="1017"/>
      <c r="DG22" s="1017"/>
      <c r="DH22" s="1017"/>
      <c r="DI22" s="1017"/>
      <c r="DJ22" s="1017"/>
      <c r="DK22" s="1017"/>
      <c r="DL22" s="1017"/>
      <c r="DM22" s="1017"/>
      <c r="DN22" s="1017"/>
      <c r="DO22" s="1017"/>
      <c r="DP22" s="1017"/>
      <c r="DQ22" s="1017"/>
      <c r="DR22" s="1017"/>
      <c r="DS22" s="1017"/>
      <c r="DT22" s="1017"/>
      <c r="DU22" s="1017"/>
      <c r="DV22" s="1017"/>
      <c r="DW22" s="1017"/>
      <c r="DX22" s="1017"/>
      <c r="DY22" s="1017"/>
      <c r="DZ22" s="1017"/>
      <c r="EA22" s="1017"/>
      <c r="EB22" s="1017"/>
      <c r="EC22" s="1017"/>
      <c r="ED22" s="1017"/>
      <c r="EE22" s="1017"/>
      <c r="EF22" s="1017"/>
      <c r="EG22" s="1017"/>
      <c r="EH22" s="1017"/>
      <c r="EI22" s="1017"/>
      <c r="EJ22" s="1017"/>
      <c r="EK22" s="1017"/>
      <c r="EL22" s="1017"/>
      <c r="EM22" s="1017"/>
      <c r="EN22" s="1017"/>
      <c r="EO22" s="1017"/>
      <c r="EP22" s="1017"/>
      <c r="EQ22" s="1017"/>
      <c r="ER22" s="1017"/>
      <c r="ES22" s="1017"/>
      <c r="ET22" s="1017"/>
      <c r="EU22" s="1017"/>
      <c r="EV22" s="1017"/>
      <c r="EW22" s="1017"/>
      <c r="EX22" s="1017"/>
      <c r="EY22" s="1017"/>
      <c r="EZ22" s="1017"/>
      <c r="FA22" s="1017"/>
      <c r="FB22" s="1017"/>
      <c r="FC22" s="1017"/>
      <c r="FD22" s="1017"/>
      <c r="FE22" s="1017"/>
      <c r="FF22" s="1017"/>
      <c r="FG22" s="1017"/>
      <c r="FH22" s="1017"/>
      <c r="FI22" s="1017"/>
      <c r="FJ22" s="1017"/>
      <c r="FK22" s="1017"/>
      <c r="FL22" s="1017"/>
      <c r="FM22" s="1017"/>
      <c r="FN22" s="1017"/>
      <c r="FO22" s="1017"/>
      <c r="FP22" s="1017"/>
      <c r="FQ22" s="1017"/>
      <c r="FR22" s="1017"/>
      <c r="FS22" s="1017"/>
      <c r="FT22" s="1017"/>
      <c r="FU22" s="1017"/>
      <c r="FV22" s="1017"/>
      <c r="FW22" s="1017"/>
      <c r="FX22" s="1017"/>
      <c r="FY22" s="1017"/>
      <c r="FZ22" s="1017"/>
      <c r="GA22" s="1017"/>
      <c r="GB22" s="1017"/>
      <c r="GC22" s="1017"/>
      <c r="GD22" s="1017"/>
      <c r="GE22" s="1017"/>
      <c r="GF22" s="1017"/>
      <c r="GG22" s="1017"/>
      <c r="GH22" s="1017"/>
      <c r="GI22" s="1017"/>
      <c r="GJ22" s="1017"/>
      <c r="GK22" s="1017"/>
      <c r="GL22" s="1017"/>
      <c r="GM22" s="1017"/>
      <c r="GN22" s="1017"/>
      <c r="GO22" s="1017"/>
      <c r="GP22" s="1017"/>
      <c r="GQ22" s="1017"/>
      <c r="GR22" s="1017"/>
      <c r="GS22" s="1017"/>
      <c r="GT22" s="1017"/>
      <c r="GU22" s="1017"/>
      <c r="GV22" s="1017"/>
      <c r="GW22" s="1017"/>
      <c r="GX22" s="1017"/>
      <c r="GY22" s="1017"/>
      <c r="GZ22" s="1017"/>
      <c r="HA22" s="1017"/>
      <c r="HB22" s="1017"/>
      <c r="HC22" s="1017"/>
      <c r="HD22" s="1017"/>
      <c r="HE22" s="1017"/>
      <c r="HF22" s="1017"/>
      <c r="HG22" s="1017"/>
      <c r="HH22" s="1017"/>
      <c r="HI22" s="1017"/>
      <c r="HJ22" s="1017"/>
      <c r="HK22" s="1017"/>
      <c r="HL22" s="1017"/>
      <c r="HM22" s="1017"/>
      <c r="HN22" s="1017"/>
      <c r="HO22" s="1017"/>
      <c r="HP22" s="1017"/>
      <c r="HQ22" s="1017"/>
      <c r="HR22" s="1017"/>
      <c r="HS22" s="1017"/>
      <c r="HT22" s="1017"/>
      <c r="HU22" s="1017"/>
      <c r="HV22" s="1017"/>
      <c r="HW22" s="1017"/>
      <c r="HX22" s="1017"/>
      <c r="HY22" s="1017"/>
      <c r="HZ22" s="1017"/>
      <c r="IA22" s="1017"/>
      <c r="IB22" s="1017"/>
      <c r="IC22" s="1017"/>
      <c r="ID22" s="1017"/>
      <c r="IE22" s="1017"/>
      <c r="IF22" s="1017"/>
      <c r="IG22" s="1017"/>
      <c r="IH22" s="1017"/>
      <c r="II22" s="1017"/>
      <c r="IJ22" s="1017"/>
      <c r="IK22" s="1017"/>
      <c r="IL22" s="1017"/>
      <c r="IM22" s="1017"/>
    </row>
    <row r="23" spans="1:247">
      <c r="A23" s="1052" t="s">
        <v>435</v>
      </c>
      <c r="B23" s="1053"/>
      <c r="C23" s="1050">
        <v>2719.1179999999999</v>
      </c>
      <c r="D23" s="1068">
        <v>2562.973</v>
      </c>
      <c r="E23" s="1046">
        <v>2618.4720000000002</v>
      </c>
      <c r="F23" s="1046">
        <v>2820.7489999999998</v>
      </c>
      <c r="G23" s="1047">
        <v>2991.152</v>
      </c>
      <c r="H23" s="1048">
        <v>2613.617163749057</v>
      </c>
      <c r="I23" s="1048">
        <v>2633.7055910245704</v>
      </c>
      <c r="J23" s="1048">
        <v>2827.486398797555</v>
      </c>
      <c r="K23" s="1049">
        <v>2994.9717940794071</v>
      </c>
      <c r="L23" s="1028"/>
      <c r="M23" s="1045"/>
      <c r="N23" s="1050">
        <v>2575.617163749057</v>
      </c>
      <c r="O23" s="1045">
        <v>2613.7055910245704</v>
      </c>
      <c r="P23" s="1046">
        <v>2802.4863987975555</v>
      </c>
      <c r="Q23" s="1046">
        <v>2972.9717940794076</v>
      </c>
      <c r="R23" s="1045">
        <f t="shared" si="19"/>
        <v>20</v>
      </c>
      <c r="S23" s="1046">
        <f t="shared" si="19"/>
        <v>24.999999999999545</v>
      </c>
      <c r="T23" s="1046">
        <f t="shared" si="19"/>
        <v>21.999999999999545</v>
      </c>
      <c r="U23" s="1050">
        <f t="shared" si="6"/>
        <v>38.088427275513368</v>
      </c>
      <c r="V23" s="948"/>
      <c r="W23" s="1045">
        <f t="shared" si="20"/>
        <v>2613.7055910245704</v>
      </c>
      <c r="X23" s="1046">
        <v>2618.4720000000002</v>
      </c>
      <c r="Y23" s="1045">
        <f t="shared" si="7"/>
        <v>4.7664089754298402</v>
      </c>
      <c r="Z23" s="1051">
        <f t="shared" si="3"/>
        <v>5.3258742915541319E-3</v>
      </c>
      <c r="AA23" s="1017"/>
      <c r="AB23" s="952"/>
      <c r="AC23" s="1017"/>
      <c r="AD23" s="1017"/>
      <c r="AE23" s="1017"/>
      <c r="AF23" s="1017"/>
      <c r="AG23" s="1017"/>
      <c r="AH23" s="1017"/>
      <c r="AI23" s="1017"/>
      <c r="AJ23" s="1017"/>
      <c r="AK23" s="1017"/>
      <c r="AL23" s="1017"/>
      <c r="AM23" s="1017"/>
      <c r="AN23" s="1017"/>
      <c r="AO23" s="1017"/>
      <c r="AP23" s="1017"/>
      <c r="AQ23" s="1017"/>
      <c r="AR23" s="1017"/>
      <c r="AS23" s="1017"/>
      <c r="AT23" s="1017"/>
      <c r="AU23" s="1017"/>
      <c r="AV23" s="1017"/>
      <c r="AW23" s="1017"/>
      <c r="AX23" s="1017"/>
      <c r="AY23" s="1017"/>
      <c r="AZ23" s="1017"/>
      <c r="BA23" s="1017"/>
      <c r="BB23" s="1017"/>
      <c r="BC23" s="1017"/>
      <c r="BD23" s="1017"/>
      <c r="BE23" s="1017"/>
      <c r="BF23" s="1017"/>
      <c r="BG23" s="1017"/>
      <c r="BH23" s="1017"/>
      <c r="BI23" s="1017"/>
      <c r="BJ23" s="1017"/>
      <c r="BK23" s="1017"/>
      <c r="BL23" s="1017"/>
      <c r="BM23" s="1017"/>
      <c r="BN23" s="1017"/>
      <c r="BO23" s="1017"/>
      <c r="BP23" s="1017"/>
      <c r="BQ23" s="1017"/>
      <c r="BR23" s="1017"/>
      <c r="BS23" s="1017"/>
      <c r="BT23" s="1017"/>
      <c r="BU23" s="1017"/>
      <c r="BV23" s="1017"/>
      <c r="BW23" s="1017"/>
      <c r="BX23" s="1017"/>
      <c r="BY23" s="1017"/>
      <c r="BZ23" s="1017"/>
      <c r="CA23" s="1017"/>
      <c r="CB23" s="1017"/>
      <c r="CC23" s="1017"/>
      <c r="CD23" s="1017"/>
      <c r="CE23" s="1017"/>
      <c r="CF23" s="1017"/>
      <c r="CG23" s="1017"/>
      <c r="CH23" s="1017"/>
      <c r="CI23" s="1017"/>
      <c r="CJ23" s="1017"/>
      <c r="CK23" s="1017"/>
      <c r="CL23" s="1017"/>
      <c r="CM23" s="1017"/>
      <c r="CN23" s="1017"/>
      <c r="CO23" s="1017"/>
      <c r="CP23" s="1017"/>
      <c r="CQ23" s="1017"/>
      <c r="CR23" s="1017"/>
      <c r="CS23" s="1017"/>
      <c r="CT23" s="1017"/>
      <c r="CU23" s="1017"/>
      <c r="CV23" s="1017"/>
      <c r="CW23" s="1017"/>
      <c r="CX23" s="1017"/>
      <c r="CY23" s="1017"/>
      <c r="CZ23" s="1017"/>
      <c r="DA23" s="1017"/>
      <c r="DB23" s="1017"/>
      <c r="DC23" s="1017"/>
      <c r="DD23" s="1017"/>
      <c r="DE23" s="1017"/>
      <c r="DF23" s="1017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G23" s="1017"/>
      <c r="EH23" s="1017"/>
      <c r="EI23" s="1017"/>
      <c r="EJ23" s="1017"/>
      <c r="EK23" s="1017"/>
      <c r="EL23" s="1017"/>
      <c r="EM23" s="1017"/>
      <c r="EN23" s="1017"/>
      <c r="EO23" s="1017"/>
      <c r="EP23" s="1017"/>
      <c r="EQ23" s="1017"/>
      <c r="ER23" s="1017"/>
      <c r="ES23" s="1017"/>
      <c r="ET23" s="1017"/>
      <c r="EU23" s="1017"/>
      <c r="EV23" s="1017"/>
      <c r="EW23" s="1017"/>
      <c r="EX23" s="1017"/>
      <c r="EY23" s="1017"/>
      <c r="EZ23" s="1017"/>
      <c r="FA23" s="1017"/>
      <c r="FB23" s="1017"/>
      <c r="FC23" s="1017"/>
      <c r="FD23" s="1017"/>
      <c r="FE23" s="1017"/>
      <c r="FF23" s="1017"/>
      <c r="FG23" s="1017"/>
      <c r="FH23" s="1017"/>
      <c r="FI23" s="1017"/>
      <c r="FJ23" s="1017"/>
      <c r="FK23" s="1017"/>
      <c r="FL23" s="1017"/>
      <c r="FM23" s="1017"/>
      <c r="FN23" s="1017"/>
      <c r="FO23" s="1017"/>
      <c r="FP23" s="1017"/>
      <c r="FQ23" s="1017"/>
      <c r="FR23" s="1017"/>
      <c r="FS23" s="1017"/>
      <c r="FT23" s="1017"/>
      <c r="FU23" s="1017"/>
      <c r="FV23" s="1017"/>
      <c r="FW23" s="1017"/>
      <c r="FX23" s="1017"/>
      <c r="FY23" s="1017"/>
      <c r="FZ23" s="1017"/>
      <c r="GA23" s="1017"/>
      <c r="GB23" s="1017"/>
      <c r="GC23" s="1017"/>
      <c r="GD23" s="1017"/>
      <c r="GE23" s="1017"/>
      <c r="GF23" s="1017"/>
      <c r="GG23" s="1017"/>
      <c r="GH23" s="1017"/>
      <c r="GI23" s="1017"/>
      <c r="GJ23" s="1017"/>
      <c r="GK23" s="1017"/>
      <c r="GL23" s="1017"/>
      <c r="GM23" s="1017"/>
      <c r="GN23" s="1017"/>
      <c r="GO23" s="1017"/>
      <c r="GP23" s="1017"/>
      <c r="GQ23" s="1017"/>
      <c r="GR23" s="1017"/>
      <c r="GS23" s="1017"/>
      <c r="GT23" s="1017"/>
      <c r="GU23" s="1017"/>
      <c r="GV23" s="1017"/>
      <c r="GW23" s="1017"/>
      <c r="GX23" s="1017"/>
      <c r="GY23" s="1017"/>
      <c r="GZ23" s="1017"/>
      <c r="HA23" s="1017"/>
      <c r="HB23" s="1017"/>
      <c r="HC23" s="1017"/>
      <c r="HD23" s="1017"/>
      <c r="HE23" s="1017"/>
      <c r="HF23" s="1017"/>
      <c r="HG23" s="1017"/>
      <c r="HH23" s="1017"/>
      <c r="HI23" s="1017"/>
      <c r="HJ23" s="1017"/>
      <c r="HK23" s="1017"/>
      <c r="HL23" s="1017"/>
      <c r="HM23" s="1017"/>
      <c r="HN23" s="1017"/>
      <c r="HO23" s="1017"/>
      <c r="HP23" s="1017"/>
      <c r="HQ23" s="1017"/>
      <c r="HR23" s="1017"/>
      <c r="HS23" s="1017"/>
      <c r="HT23" s="1017"/>
      <c r="HU23" s="1017"/>
      <c r="HV23" s="1017"/>
      <c r="HW23" s="1017"/>
      <c r="HX23" s="1017"/>
      <c r="HY23" s="1017"/>
      <c r="HZ23" s="1017"/>
      <c r="IA23" s="1017"/>
      <c r="IB23" s="1017"/>
      <c r="IC23" s="1017"/>
      <c r="ID23" s="1017"/>
      <c r="IE23" s="1017"/>
      <c r="IF23" s="1017"/>
      <c r="IG23" s="1017"/>
      <c r="IH23" s="1017"/>
      <c r="II23" s="1017"/>
      <c r="IJ23" s="1017"/>
      <c r="IK23" s="1017"/>
      <c r="IL23" s="1017"/>
      <c r="IM23" s="1017"/>
    </row>
    <row r="24" spans="1:247">
      <c r="A24" s="1052" t="s">
        <v>436</v>
      </c>
      <c r="B24" s="1053"/>
      <c r="C24" s="1050">
        <v>179.21100000000001</v>
      </c>
      <c r="D24" s="1068">
        <v>171.56399999999999</v>
      </c>
      <c r="E24" s="1046">
        <v>242.63800000000001</v>
      </c>
      <c r="F24" s="1046">
        <v>241.69</v>
      </c>
      <c r="G24" s="1047">
        <v>252.46600000000001</v>
      </c>
      <c r="H24" s="1048">
        <v>169.20533734117063</v>
      </c>
      <c r="I24" s="1048">
        <v>230.03188664399761</v>
      </c>
      <c r="J24" s="1048">
        <v>227.32119679762943</v>
      </c>
      <c r="K24" s="1049">
        <v>236.55931452317805</v>
      </c>
      <c r="L24" s="1028"/>
      <c r="M24" s="1068"/>
      <c r="N24" s="1050">
        <v>169.20533734117063</v>
      </c>
      <c r="O24" s="1045">
        <v>230.94397920184878</v>
      </c>
      <c r="P24" s="1046">
        <v>228.17176461602637</v>
      </c>
      <c r="Q24" s="1046">
        <v>237.59676226205451</v>
      </c>
      <c r="R24" s="1045">
        <f t="shared" si="19"/>
        <v>-0.91209255785116738</v>
      </c>
      <c r="S24" s="1046">
        <f t="shared" si="19"/>
        <v>-0.8505678183969394</v>
      </c>
      <c r="T24" s="1046">
        <f t="shared" si="19"/>
        <v>-1.037447738876466</v>
      </c>
      <c r="U24" s="1050">
        <f t="shared" si="6"/>
        <v>61.738641860678143</v>
      </c>
      <c r="V24" s="948"/>
      <c r="W24" s="1045">
        <f t="shared" si="20"/>
        <v>230.94397920184878</v>
      </c>
      <c r="X24" s="1046">
        <v>242.63800000000001</v>
      </c>
      <c r="Y24" s="1045">
        <f t="shared" si="7"/>
        <v>11.694020798151229</v>
      </c>
      <c r="Z24" s="1051">
        <f t="shared" si="3"/>
        <v>1.3066626270389733E-2</v>
      </c>
      <c r="AA24" s="1017"/>
      <c r="AB24" s="952"/>
      <c r="AC24" s="1017"/>
      <c r="AD24" s="1017"/>
      <c r="AE24" s="1017"/>
      <c r="AF24" s="1017"/>
      <c r="AG24" s="1017"/>
      <c r="AH24" s="1017"/>
      <c r="AI24" s="1017"/>
      <c r="AJ24" s="1017"/>
      <c r="AK24" s="1017"/>
      <c r="AL24" s="1017"/>
      <c r="AM24" s="1017"/>
      <c r="AN24" s="1017"/>
      <c r="AO24" s="1017"/>
      <c r="AP24" s="1017"/>
      <c r="AQ24" s="1017"/>
      <c r="AR24" s="1017"/>
      <c r="AS24" s="1017"/>
      <c r="AT24" s="1017"/>
      <c r="AU24" s="1017"/>
      <c r="AV24" s="1017"/>
      <c r="AW24" s="1017"/>
      <c r="AX24" s="1017"/>
      <c r="AY24" s="1017"/>
      <c r="AZ24" s="1017"/>
      <c r="BA24" s="1017"/>
      <c r="BB24" s="1017"/>
      <c r="BC24" s="1017"/>
      <c r="BD24" s="1017"/>
      <c r="BE24" s="1017"/>
      <c r="BF24" s="1017"/>
      <c r="BG24" s="1017"/>
      <c r="BH24" s="1017"/>
      <c r="BI24" s="1017"/>
      <c r="BJ24" s="1017"/>
      <c r="BK24" s="1017"/>
      <c r="BL24" s="1017"/>
      <c r="BM24" s="1017"/>
      <c r="BN24" s="1017"/>
      <c r="BO24" s="1017"/>
      <c r="BP24" s="1017"/>
      <c r="BQ24" s="1017"/>
      <c r="BR24" s="1017"/>
      <c r="BS24" s="1017"/>
      <c r="BT24" s="1017"/>
      <c r="BU24" s="1017"/>
      <c r="BV24" s="1017"/>
      <c r="BW24" s="1017"/>
      <c r="BX24" s="1017"/>
      <c r="BY24" s="1017"/>
      <c r="BZ24" s="1017"/>
      <c r="CA24" s="1017"/>
      <c r="CB24" s="1017"/>
      <c r="CC24" s="1017"/>
      <c r="CD24" s="1017"/>
      <c r="CE24" s="1017"/>
      <c r="CF24" s="1017"/>
      <c r="CG24" s="1017"/>
      <c r="CH24" s="1017"/>
      <c r="CI24" s="1017"/>
      <c r="CJ24" s="1017"/>
      <c r="CK24" s="1017"/>
      <c r="CL24" s="1017"/>
      <c r="CM24" s="1017"/>
      <c r="CN24" s="1017"/>
      <c r="CO24" s="1017"/>
      <c r="CP24" s="1017"/>
      <c r="CQ24" s="1017"/>
      <c r="CR24" s="1017"/>
      <c r="CS24" s="1017"/>
      <c r="CT24" s="1017"/>
      <c r="CU24" s="1017"/>
      <c r="CV24" s="1017"/>
      <c r="CW24" s="1017"/>
      <c r="CX24" s="1017"/>
      <c r="CY24" s="1017"/>
      <c r="CZ24" s="1017"/>
      <c r="DA24" s="1017"/>
      <c r="DB24" s="1017"/>
      <c r="DC24" s="1017"/>
      <c r="DD24" s="1017"/>
      <c r="DE24" s="1017"/>
      <c r="DF24" s="1017"/>
      <c r="DG24" s="1017"/>
      <c r="DH24" s="1017"/>
      <c r="DI24" s="1017"/>
      <c r="DJ24" s="1017"/>
      <c r="DK24" s="1017"/>
      <c r="DL24" s="1017"/>
      <c r="DM24" s="1017"/>
      <c r="DN24" s="1017"/>
      <c r="DO24" s="1017"/>
      <c r="DP24" s="1017"/>
      <c r="DQ24" s="1017"/>
      <c r="DR24" s="1017"/>
      <c r="DS24" s="1017"/>
      <c r="DT24" s="1017"/>
      <c r="DU24" s="1017"/>
      <c r="DV24" s="1017"/>
      <c r="DW24" s="1017"/>
      <c r="DX24" s="1017"/>
      <c r="DY24" s="1017"/>
      <c r="DZ24" s="1017"/>
      <c r="EA24" s="1017"/>
      <c r="EB24" s="1017"/>
      <c r="EC24" s="1017"/>
      <c r="ED24" s="1017"/>
      <c r="EE24" s="1017"/>
      <c r="EF24" s="1017"/>
      <c r="EG24" s="1017"/>
      <c r="EH24" s="1017"/>
      <c r="EI24" s="1017"/>
      <c r="EJ24" s="1017"/>
      <c r="EK24" s="1017"/>
      <c r="EL24" s="1017"/>
      <c r="EM24" s="1017"/>
      <c r="EN24" s="1017"/>
      <c r="EO24" s="1017"/>
      <c r="EP24" s="1017"/>
      <c r="EQ24" s="1017"/>
      <c r="ER24" s="1017"/>
      <c r="ES24" s="1017"/>
      <c r="ET24" s="1017"/>
      <c r="EU24" s="1017"/>
      <c r="EV24" s="1017"/>
      <c r="EW24" s="1017"/>
      <c r="EX24" s="1017"/>
      <c r="EY24" s="1017"/>
      <c r="EZ24" s="1017"/>
      <c r="FA24" s="1017"/>
      <c r="FB24" s="1017"/>
      <c r="FC24" s="1017"/>
      <c r="FD24" s="1017"/>
      <c r="FE24" s="1017"/>
      <c r="FF24" s="1017"/>
      <c r="FG24" s="1017"/>
      <c r="FH24" s="1017"/>
      <c r="FI24" s="1017"/>
      <c r="FJ24" s="1017"/>
      <c r="FK24" s="1017"/>
      <c r="FL24" s="1017"/>
      <c r="FM24" s="1017"/>
      <c r="FN24" s="1017"/>
      <c r="FO24" s="1017"/>
      <c r="FP24" s="1017"/>
      <c r="FQ24" s="1017"/>
      <c r="FR24" s="1017"/>
      <c r="FS24" s="1017"/>
      <c r="FT24" s="1017"/>
      <c r="FU24" s="1017"/>
      <c r="FV24" s="1017"/>
      <c r="FW24" s="1017"/>
      <c r="FX24" s="1017"/>
      <c r="FY24" s="1017"/>
      <c r="FZ24" s="1017"/>
      <c r="GA24" s="1017"/>
      <c r="GB24" s="1017"/>
      <c r="GC24" s="1017"/>
      <c r="GD24" s="1017"/>
      <c r="GE24" s="1017"/>
      <c r="GF24" s="1017"/>
      <c r="GG24" s="1017"/>
      <c r="GH24" s="1017"/>
      <c r="GI24" s="1017"/>
      <c r="GJ24" s="1017"/>
      <c r="GK24" s="1017"/>
      <c r="GL24" s="1017"/>
      <c r="GM24" s="1017"/>
      <c r="GN24" s="1017"/>
      <c r="GO24" s="1017"/>
      <c r="GP24" s="1017"/>
      <c r="GQ24" s="1017"/>
      <c r="GR24" s="1017"/>
      <c r="GS24" s="1017"/>
      <c r="GT24" s="1017"/>
      <c r="GU24" s="1017"/>
      <c r="GV24" s="1017"/>
      <c r="GW24" s="1017"/>
      <c r="GX24" s="1017"/>
      <c r="GY24" s="1017"/>
      <c r="GZ24" s="1017"/>
      <c r="HA24" s="1017"/>
      <c r="HB24" s="1017"/>
      <c r="HC24" s="1017"/>
      <c r="HD24" s="1017"/>
      <c r="HE24" s="1017"/>
      <c r="HF24" s="1017"/>
      <c r="HG24" s="1017"/>
      <c r="HH24" s="1017"/>
      <c r="HI24" s="1017"/>
      <c r="HJ24" s="1017"/>
      <c r="HK24" s="1017"/>
      <c r="HL24" s="1017"/>
      <c r="HM24" s="1017"/>
      <c r="HN24" s="1017"/>
      <c r="HO24" s="1017"/>
      <c r="HP24" s="1017"/>
      <c r="HQ24" s="1017"/>
      <c r="HR24" s="1017"/>
      <c r="HS24" s="1017"/>
      <c r="HT24" s="1017"/>
      <c r="HU24" s="1017"/>
      <c r="HV24" s="1017"/>
      <c r="HW24" s="1017"/>
      <c r="HX24" s="1017"/>
      <c r="HY24" s="1017"/>
      <c r="HZ24" s="1017"/>
      <c r="IA24" s="1017"/>
      <c r="IB24" s="1017"/>
      <c r="IC24" s="1017"/>
      <c r="ID24" s="1017"/>
      <c r="IE24" s="1017"/>
      <c r="IF24" s="1017"/>
      <c r="IG24" s="1017"/>
      <c r="IH24" s="1017"/>
      <c r="II24" s="1017"/>
      <c r="IJ24" s="1017"/>
      <c r="IK24" s="1017"/>
      <c r="IL24" s="1017"/>
      <c r="IM24" s="1017"/>
    </row>
    <row r="25" spans="1:247">
      <c r="A25" s="1052" t="s">
        <v>437</v>
      </c>
      <c r="B25" s="1053"/>
      <c r="C25" s="1050">
        <f>336.359-C8</f>
        <v>110.99799999999999</v>
      </c>
      <c r="D25" s="1045">
        <f>359.021/3</f>
        <v>119.67366666666668</v>
      </c>
      <c r="E25" s="1046">
        <f>365.169/3</f>
        <v>121.723</v>
      </c>
      <c r="F25" s="1046">
        <f>372.107/3</f>
        <v>124.03566666666667</v>
      </c>
      <c r="G25" s="1047">
        <f>379.549/3</f>
        <v>126.51633333333332</v>
      </c>
      <c r="H25" s="1048">
        <v>117.25725758935134</v>
      </c>
      <c r="I25" s="1048">
        <v>119.26521149639099</v>
      </c>
      <c r="J25" s="1048">
        <v>121.52837423586668</v>
      </c>
      <c r="K25" s="1049">
        <v>123.93687427961733</v>
      </c>
      <c r="L25" s="1028"/>
      <c r="M25" s="1068"/>
      <c r="N25" s="1050">
        <v>117.25725758935135</v>
      </c>
      <c r="O25" s="1045">
        <v>119.26521149639113</v>
      </c>
      <c r="P25" s="1046">
        <v>121.7978194544023</v>
      </c>
      <c r="Q25" s="1046">
        <v>124.19698623722246</v>
      </c>
      <c r="R25" s="1045">
        <f t="shared" si="19"/>
        <v>-1.4210854715202004E-13</v>
      </c>
      <c r="S25" s="1046">
        <f t="shared" si="19"/>
        <v>-0.26944521853562264</v>
      </c>
      <c r="T25" s="1046">
        <f t="shared" si="19"/>
        <v>-0.26011195760513317</v>
      </c>
      <c r="U25" s="1050">
        <f t="shared" si="6"/>
        <v>2.0079539070397772</v>
      </c>
      <c r="V25" s="948"/>
      <c r="W25" s="1045">
        <f t="shared" si="20"/>
        <v>119.26521149639113</v>
      </c>
      <c r="X25" s="1046">
        <v>121.723</v>
      </c>
      <c r="Y25" s="1045">
        <f t="shared" si="7"/>
        <v>2.4577885036088674</v>
      </c>
      <c r="Z25" s="1051">
        <f t="shared" si="3"/>
        <v>2.7462755866993782E-3</v>
      </c>
      <c r="AA25" s="1017"/>
      <c r="AB25" s="952"/>
      <c r="AC25" s="1017"/>
      <c r="AD25" s="1017"/>
      <c r="AE25" s="1017"/>
      <c r="AF25" s="1017"/>
      <c r="AG25" s="1017"/>
      <c r="AH25" s="1017"/>
      <c r="AI25" s="1017"/>
      <c r="AJ25" s="1017"/>
      <c r="AK25" s="1017"/>
      <c r="AL25" s="1017"/>
      <c r="AM25" s="1017"/>
      <c r="AN25" s="1017"/>
      <c r="AO25" s="1017"/>
      <c r="AP25" s="1017"/>
      <c r="AQ25" s="1017"/>
      <c r="AR25" s="1017"/>
      <c r="AS25" s="1017"/>
      <c r="AT25" s="1017"/>
      <c r="AU25" s="1017"/>
      <c r="AV25" s="1017"/>
      <c r="AW25" s="1017"/>
      <c r="AX25" s="1017"/>
      <c r="AY25" s="1017"/>
      <c r="AZ25" s="1017"/>
      <c r="BA25" s="1017"/>
      <c r="BB25" s="1017"/>
      <c r="BC25" s="1017"/>
      <c r="BD25" s="1017"/>
      <c r="BE25" s="1017"/>
      <c r="BF25" s="1017"/>
      <c r="BG25" s="1017"/>
      <c r="BH25" s="1017"/>
      <c r="BI25" s="1017"/>
      <c r="BJ25" s="1017"/>
      <c r="BK25" s="1017"/>
      <c r="BL25" s="1017"/>
      <c r="BM25" s="1017"/>
      <c r="BN25" s="1017"/>
      <c r="BO25" s="1017"/>
      <c r="BP25" s="1017"/>
      <c r="BQ25" s="1017"/>
      <c r="BR25" s="1017"/>
      <c r="BS25" s="1017"/>
      <c r="BT25" s="1017"/>
      <c r="BU25" s="1017"/>
      <c r="BV25" s="1017"/>
      <c r="BW25" s="1017"/>
      <c r="BX25" s="1017"/>
      <c r="BY25" s="1017"/>
      <c r="BZ25" s="1017"/>
      <c r="CA25" s="1017"/>
      <c r="CB25" s="1017"/>
      <c r="CC25" s="1017"/>
      <c r="CD25" s="1017"/>
      <c r="CE25" s="1017"/>
      <c r="CF25" s="1017"/>
      <c r="CG25" s="1017"/>
      <c r="CH25" s="1017"/>
      <c r="CI25" s="1017"/>
      <c r="CJ25" s="1017"/>
      <c r="CK25" s="1017"/>
      <c r="CL25" s="1017"/>
      <c r="CM25" s="1017"/>
      <c r="CN25" s="1017"/>
      <c r="CO25" s="1017"/>
      <c r="CP25" s="1017"/>
      <c r="CQ25" s="1017"/>
      <c r="CR25" s="1017"/>
      <c r="CS25" s="1017"/>
      <c r="CT25" s="1017"/>
      <c r="CU25" s="1017"/>
      <c r="CV25" s="1017"/>
      <c r="CW25" s="1017"/>
      <c r="CX25" s="1017"/>
      <c r="CY25" s="1017"/>
      <c r="CZ25" s="1017"/>
      <c r="DA25" s="1017"/>
      <c r="DB25" s="1017"/>
      <c r="DC25" s="1017"/>
      <c r="DD25" s="1017"/>
      <c r="DE25" s="1017"/>
      <c r="DF25" s="1017"/>
      <c r="DG25" s="1017"/>
      <c r="DH25" s="1017"/>
      <c r="DI25" s="1017"/>
      <c r="DJ25" s="1017"/>
      <c r="DK25" s="1017"/>
      <c r="DL25" s="1017"/>
      <c r="DM25" s="1017"/>
      <c r="DN25" s="1017"/>
      <c r="DO25" s="1017"/>
      <c r="DP25" s="1017"/>
      <c r="DQ25" s="1017"/>
      <c r="DR25" s="1017"/>
      <c r="DS25" s="1017"/>
      <c r="DT25" s="1017"/>
      <c r="DU25" s="1017"/>
      <c r="DV25" s="1017"/>
      <c r="DW25" s="1017"/>
      <c r="DX25" s="1017"/>
      <c r="DY25" s="1017"/>
      <c r="DZ25" s="1017"/>
      <c r="EA25" s="1017"/>
      <c r="EB25" s="1017"/>
      <c r="EC25" s="1017"/>
      <c r="ED25" s="1017"/>
      <c r="EE25" s="1017"/>
      <c r="EF25" s="1017"/>
      <c r="EG25" s="1017"/>
      <c r="EH25" s="1017"/>
      <c r="EI25" s="1017"/>
      <c r="EJ25" s="1017"/>
      <c r="EK25" s="1017"/>
      <c r="EL25" s="1017"/>
      <c r="EM25" s="1017"/>
      <c r="EN25" s="1017"/>
      <c r="EO25" s="1017"/>
      <c r="EP25" s="1017"/>
      <c r="EQ25" s="1017"/>
      <c r="ER25" s="1017"/>
      <c r="ES25" s="1017"/>
      <c r="ET25" s="1017"/>
      <c r="EU25" s="1017"/>
      <c r="EV25" s="1017"/>
      <c r="EW25" s="1017"/>
      <c r="EX25" s="1017"/>
      <c r="EY25" s="1017"/>
      <c r="EZ25" s="1017"/>
      <c r="FA25" s="1017"/>
      <c r="FB25" s="1017"/>
      <c r="FC25" s="1017"/>
      <c r="FD25" s="1017"/>
      <c r="FE25" s="1017"/>
      <c r="FF25" s="1017"/>
      <c r="FG25" s="1017"/>
      <c r="FH25" s="1017"/>
      <c r="FI25" s="1017"/>
      <c r="FJ25" s="1017"/>
      <c r="FK25" s="1017"/>
      <c r="FL25" s="1017"/>
      <c r="FM25" s="1017"/>
      <c r="FN25" s="1017"/>
      <c r="FO25" s="1017"/>
      <c r="FP25" s="1017"/>
      <c r="FQ25" s="1017"/>
      <c r="FR25" s="1017"/>
      <c r="FS25" s="1017"/>
      <c r="FT25" s="1017"/>
      <c r="FU25" s="1017"/>
      <c r="FV25" s="1017"/>
      <c r="FW25" s="1017"/>
      <c r="FX25" s="1017"/>
      <c r="FY25" s="1017"/>
      <c r="FZ25" s="1017"/>
      <c r="GA25" s="1017"/>
      <c r="GB25" s="1017"/>
      <c r="GC25" s="1017"/>
      <c r="GD25" s="1017"/>
      <c r="GE25" s="1017"/>
      <c r="GF25" s="1017"/>
      <c r="GG25" s="1017"/>
      <c r="GH25" s="1017"/>
      <c r="GI25" s="1017"/>
      <c r="GJ25" s="1017"/>
      <c r="GK25" s="1017"/>
      <c r="GL25" s="1017"/>
      <c r="GM25" s="1017"/>
      <c r="GN25" s="1017"/>
      <c r="GO25" s="1017"/>
      <c r="GP25" s="1017"/>
      <c r="GQ25" s="1017"/>
      <c r="GR25" s="1017"/>
      <c r="GS25" s="1017"/>
      <c r="GT25" s="1017"/>
      <c r="GU25" s="1017"/>
      <c r="GV25" s="1017"/>
      <c r="GW25" s="1017"/>
      <c r="GX25" s="1017"/>
      <c r="GY25" s="1017"/>
      <c r="GZ25" s="1017"/>
      <c r="HA25" s="1017"/>
      <c r="HB25" s="1017"/>
      <c r="HC25" s="1017"/>
      <c r="HD25" s="1017"/>
      <c r="HE25" s="1017"/>
      <c r="HF25" s="1017"/>
      <c r="HG25" s="1017"/>
      <c r="HH25" s="1017"/>
      <c r="HI25" s="1017"/>
      <c r="HJ25" s="1017"/>
      <c r="HK25" s="1017"/>
      <c r="HL25" s="1017"/>
      <c r="HM25" s="1017"/>
      <c r="HN25" s="1017"/>
      <c r="HO25" s="1017"/>
      <c r="HP25" s="1017"/>
      <c r="HQ25" s="1017"/>
      <c r="HR25" s="1017"/>
      <c r="HS25" s="1017"/>
      <c r="HT25" s="1017"/>
      <c r="HU25" s="1017"/>
      <c r="HV25" s="1017"/>
      <c r="HW25" s="1017"/>
      <c r="HX25" s="1017"/>
      <c r="HY25" s="1017"/>
      <c r="HZ25" s="1017"/>
      <c r="IA25" s="1017"/>
      <c r="IB25" s="1017"/>
      <c r="IC25" s="1017"/>
      <c r="ID25" s="1017"/>
      <c r="IE25" s="1017"/>
      <c r="IF25" s="1017"/>
      <c r="IG25" s="1017"/>
      <c r="IH25" s="1017"/>
      <c r="II25" s="1017"/>
      <c r="IJ25" s="1017"/>
      <c r="IK25" s="1017"/>
      <c r="IL25" s="1017"/>
      <c r="IM25" s="1017"/>
    </row>
    <row r="26" spans="1:247">
      <c r="A26" s="1052" t="s">
        <v>438</v>
      </c>
      <c r="B26" s="1053"/>
      <c r="C26" s="1050">
        <f>78.276*85/100</f>
        <v>66.534599999999998</v>
      </c>
      <c r="D26" s="1046">
        <f>81.665*85/100</f>
        <v>69.41525</v>
      </c>
      <c r="E26" s="1046">
        <f>81.665*85/100</f>
        <v>69.41525</v>
      </c>
      <c r="F26" s="1046">
        <f>81.665*85/100</f>
        <v>69.41525</v>
      </c>
      <c r="G26" s="1047">
        <f>81.665*85/100</f>
        <v>69.41525</v>
      </c>
      <c r="H26" s="1048">
        <v>70.050082894051599</v>
      </c>
      <c r="I26" s="1048">
        <v>70.050082894051599</v>
      </c>
      <c r="J26" s="1048">
        <v>70.050082894051599</v>
      </c>
      <c r="K26" s="1049">
        <v>70.050082894051599</v>
      </c>
      <c r="L26" s="1028"/>
      <c r="M26" s="1068"/>
      <c r="N26" s="1050">
        <v>70.050082894051599</v>
      </c>
      <c r="O26" s="1045">
        <v>70.050082894051599</v>
      </c>
      <c r="P26" s="1046">
        <v>70.050082894051599</v>
      </c>
      <c r="Q26" s="1046">
        <v>70.050082894051599</v>
      </c>
      <c r="R26" s="1045">
        <f t="shared" si="19"/>
        <v>0</v>
      </c>
      <c r="S26" s="1046">
        <f t="shared" si="19"/>
        <v>0</v>
      </c>
      <c r="T26" s="1046">
        <f t="shared" si="19"/>
        <v>0</v>
      </c>
      <c r="U26" s="1050">
        <f t="shared" si="6"/>
        <v>0</v>
      </c>
      <c r="V26" s="948"/>
      <c r="W26" s="1045">
        <f t="shared" si="20"/>
        <v>70.050082894051599</v>
      </c>
      <c r="X26" s="1046">
        <v>69.41525</v>
      </c>
      <c r="Y26" s="1045">
        <f t="shared" si="7"/>
        <v>-0.63483289405159837</v>
      </c>
      <c r="Z26" s="1051">
        <f t="shared" si="3"/>
        <v>-7.0934747884436621E-4</v>
      </c>
      <c r="AA26" s="1017"/>
      <c r="AB26" s="952"/>
      <c r="AC26" s="1017"/>
      <c r="AD26" s="1017"/>
      <c r="AE26" s="1017"/>
      <c r="AF26" s="1017"/>
      <c r="AG26" s="1017"/>
      <c r="AH26" s="1017"/>
      <c r="AI26" s="1017"/>
      <c r="AJ26" s="1017"/>
      <c r="AK26" s="1017"/>
      <c r="AL26" s="1017"/>
      <c r="AM26" s="1017"/>
      <c r="AN26" s="1017"/>
      <c r="AO26" s="1017"/>
      <c r="AP26" s="1017"/>
      <c r="AQ26" s="1017"/>
      <c r="AR26" s="1017"/>
      <c r="AS26" s="1017"/>
      <c r="AT26" s="1017"/>
      <c r="AU26" s="1017"/>
      <c r="AV26" s="1017"/>
      <c r="AW26" s="1017"/>
      <c r="AX26" s="1017"/>
      <c r="AY26" s="1017"/>
      <c r="AZ26" s="1017"/>
      <c r="BA26" s="1017"/>
      <c r="BB26" s="1017"/>
      <c r="BC26" s="1017"/>
      <c r="BD26" s="1017"/>
      <c r="BE26" s="1017"/>
      <c r="BF26" s="1017"/>
      <c r="BG26" s="1017"/>
      <c r="BH26" s="1017"/>
      <c r="BI26" s="1017"/>
      <c r="BJ26" s="1017"/>
      <c r="BK26" s="1017"/>
      <c r="BL26" s="1017"/>
      <c r="BM26" s="1017"/>
      <c r="BN26" s="1017"/>
      <c r="BO26" s="1017"/>
      <c r="BP26" s="1017"/>
      <c r="BQ26" s="1017"/>
      <c r="BR26" s="1017"/>
      <c r="BS26" s="1017"/>
      <c r="BT26" s="1017"/>
      <c r="BU26" s="1017"/>
      <c r="BV26" s="1017"/>
      <c r="BW26" s="1017"/>
      <c r="BX26" s="1017"/>
      <c r="BY26" s="1017"/>
      <c r="BZ26" s="1017"/>
      <c r="CA26" s="1017"/>
      <c r="CB26" s="1017"/>
      <c r="CC26" s="1017"/>
      <c r="CD26" s="1017"/>
      <c r="CE26" s="1017"/>
      <c r="CF26" s="1017"/>
      <c r="CG26" s="1017"/>
      <c r="CH26" s="1017"/>
      <c r="CI26" s="1017"/>
      <c r="CJ26" s="1017"/>
      <c r="CK26" s="1017"/>
      <c r="CL26" s="1017"/>
      <c r="CM26" s="1017"/>
      <c r="CN26" s="1017"/>
      <c r="CO26" s="1017"/>
      <c r="CP26" s="1017"/>
      <c r="CQ26" s="1017"/>
      <c r="CR26" s="1017"/>
      <c r="CS26" s="1017"/>
      <c r="CT26" s="1017"/>
      <c r="CU26" s="1017"/>
      <c r="CV26" s="1017"/>
      <c r="CW26" s="1017"/>
      <c r="CX26" s="1017"/>
      <c r="CY26" s="1017"/>
      <c r="CZ26" s="1017"/>
      <c r="DA26" s="1017"/>
      <c r="DB26" s="1017"/>
      <c r="DC26" s="1017"/>
      <c r="DD26" s="1017"/>
      <c r="DE26" s="1017"/>
      <c r="DF26" s="1017"/>
      <c r="DG26" s="1017"/>
      <c r="DH26" s="1017"/>
      <c r="DI26" s="1017"/>
      <c r="DJ26" s="1017"/>
      <c r="DK26" s="1017"/>
      <c r="DL26" s="1017"/>
      <c r="DM26" s="1017"/>
      <c r="DN26" s="1017"/>
      <c r="DO26" s="1017"/>
      <c r="DP26" s="1017"/>
      <c r="DQ26" s="1017"/>
      <c r="DR26" s="1017"/>
      <c r="DS26" s="1017"/>
      <c r="DT26" s="1017"/>
      <c r="DU26" s="1017"/>
      <c r="DV26" s="1017"/>
      <c r="DW26" s="1017"/>
      <c r="DX26" s="1017"/>
      <c r="DY26" s="1017"/>
      <c r="DZ26" s="1017"/>
      <c r="EA26" s="1017"/>
      <c r="EB26" s="1017"/>
      <c r="EC26" s="1017"/>
      <c r="ED26" s="1017"/>
      <c r="EE26" s="1017"/>
      <c r="EF26" s="1017"/>
      <c r="EG26" s="1017"/>
      <c r="EH26" s="1017"/>
      <c r="EI26" s="1017"/>
      <c r="EJ26" s="1017"/>
      <c r="EK26" s="1017"/>
      <c r="EL26" s="1017"/>
      <c r="EM26" s="1017"/>
      <c r="EN26" s="1017"/>
      <c r="EO26" s="1017"/>
      <c r="EP26" s="1017"/>
      <c r="EQ26" s="1017"/>
      <c r="ER26" s="1017"/>
      <c r="ES26" s="1017"/>
      <c r="ET26" s="1017"/>
      <c r="EU26" s="1017"/>
      <c r="EV26" s="1017"/>
      <c r="EW26" s="1017"/>
      <c r="EX26" s="1017"/>
      <c r="EY26" s="1017"/>
      <c r="EZ26" s="1017"/>
      <c r="FA26" s="1017"/>
      <c r="FB26" s="1017"/>
      <c r="FC26" s="1017"/>
      <c r="FD26" s="1017"/>
      <c r="FE26" s="1017"/>
      <c r="FF26" s="1017"/>
      <c r="FG26" s="1017"/>
      <c r="FH26" s="1017"/>
      <c r="FI26" s="1017"/>
      <c r="FJ26" s="1017"/>
      <c r="FK26" s="1017"/>
      <c r="FL26" s="1017"/>
      <c r="FM26" s="1017"/>
      <c r="FN26" s="1017"/>
      <c r="FO26" s="1017"/>
      <c r="FP26" s="1017"/>
      <c r="FQ26" s="1017"/>
      <c r="FR26" s="1017"/>
      <c r="FS26" s="1017"/>
      <c r="FT26" s="1017"/>
      <c r="FU26" s="1017"/>
      <c r="FV26" s="1017"/>
      <c r="FW26" s="1017"/>
      <c r="FX26" s="1017"/>
      <c r="FY26" s="1017"/>
      <c r="FZ26" s="1017"/>
      <c r="GA26" s="1017"/>
      <c r="GB26" s="1017"/>
      <c r="GC26" s="1017"/>
      <c r="GD26" s="1017"/>
      <c r="GE26" s="1017"/>
      <c r="GF26" s="1017"/>
      <c r="GG26" s="1017"/>
      <c r="GH26" s="1017"/>
      <c r="GI26" s="1017"/>
      <c r="GJ26" s="1017"/>
      <c r="GK26" s="1017"/>
      <c r="GL26" s="1017"/>
      <c r="GM26" s="1017"/>
      <c r="GN26" s="1017"/>
      <c r="GO26" s="1017"/>
      <c r="GP26" s="1017"/>
      <c r="GQ26" s="1017"/>
      <c r="GR26" s="1017"/>
      <c r="GS26" s="1017"/>
      <c r="GT26" s="1017"/>
      <c r="GU26" s="1017"/>
      <c r="GV26" s="1017"/>
      <c r="GW26" s="1017"/>
      <c r="GX26" s="1017"/>
      <c r="GY26" s="1017"/>
      <c r="GZ26" s="1017"/>
      <c r="HA26" s="1017"/>
      <c r="HB26" s="1017"/>
      <c r="HC26" s="1017"/>
      <c r="HD26" s="1017"/>
      <c r="HE26" s="1017"/>
      <c r="HF26" s="1017"/>
      <c r="HG26" s="1017"/>
      <c r="HH26" s="1017"/>
      <c r="HI26" s="1017"/>
      <c r="HJ26" s="1017"/>
      <c r="HK26" s="1017"/>
      <c r="HL26" s="1017"/>
      <c r="HM26" s="1017"/>
      <c r="HN26" s="1017"/>
      <c r="HO26" s="1017"/>
      <c r="HP26" s="1017"/>
      <c r="HQ26" s="1017"/>
      <c r="HR26" s="1017"/>
      <c r="HS26" s="1017"/>
      <c r="HT26" s="1017"/>
      <c r="HU26" s="1017"/>
      <c r="HV26" s="1017"/>
      <c r="HW26" s="1017"/>
      <c r="HX26" s="1017"/>
      <c r="HY26" s="1017"/>
      <c r="HZ26" s="1017"/>
      <c r="IA26" s="1017"/>
      <c r="IB26" s="1017"/>
      <c r="IC26" s="1017"/>
      <c r="ID26" s="1017"/>
      <c r="IE26" s="1017"/>
      <c r="IF26" s="1017"/>
      <c r="IG26" s="1017"/>
      <c r="IH26" s="1017"/>
      <c r="II26" s="1017"/>
      <c r="IJ26" s="1017"/>
      <c r="IK26" s="1017"/>
      <c r="IL26" s="1017"/>
      <c r="IM26" s="1017"/>
    </row>
    <row r="27" spans="1:247">
      <c r="A27" s="1052" t="s">
        <v>931</v>
      </c>
      <c r="B27" s="1053"/>
      <c r="C27" s="1050">
        <v>92.706000000000003</v>
      </c>
      <c r="D27" s="1068">
        <v>170.786</v>
      </c>
      <c r="E27" s="1069">
        <v>175.65299999999999</v>
      </c>
      <c r="F27" s="1069">
        <v>136.245</v>
      </c>
      <c r="G27" s="1070">
        <v>140.27500000000001</v>
      </c>
      <c r="H27" s="1048">
        <v>183.14832769370662</v>
      </c>
      <c r="I27" s="1048">
        <v>190.32826466748969</v>
      </c>
      <c r="J27" s="1048">
        <v>145.77226258325643</v>
      </c>
      <c r="K27" s="1049">
        <v>154.39507926092077</v>
      </c>
      <c r="L27" s="1028"/>
      <c r="M27" s="1068"/>
      <c r="N27" s="1050">
        <v>183.14832769370662</v>
      </c>
      <c r="O27" s="1045">
        <v>190.32826466748969</v>
      </c>
      <c r="P27" s="1046">
        <v>145.77226258325643</v>
      </c>
      <c r="Q27" s="1046">
        <v>154.39507926092077</v>
      </c>
      <c r="R27" s="1045">
        <f t="shared" si="19"/>
        <v>0</v>
      </c>
      <c r="S27" s="1046">
        <f t="shared" si="19"/>
        <v>0</v>
      </c>
      <c r="T27" s="1046">
        <f t="shared" si="19"/>
        <v>0</v>
      </c>
      <c r="U27" s="1050">
        <f t="shared" si="6"/>
        <v>7.1799369737830716</v>
      </c>
      <c r="V27" s="948"/>
      <c r="W27" s="1045">
        <f t="shared" si="20"/>
        <v>190.32826466748969</v>
      </c>
      <c r="X27" s="1046">
        <v>175.65299999999999</v>
      </c>
      <c r="Y27" s="1045">
        <f t="shared" si="7"/>
        <v>-14.675264667489699</v>
      </c>
      <c r="Z27" s="1051">
        <f t="shared" si="3"/>
        <v>-1.63977986818237E-2</v>
      </c>
      <c r="AA27" s="1017"/>
      <c r="AB27" s="952"/>
      <c r="AC27" s="1017"/>
      <c r="AD27" s="1017"/>
      <c r="AE27" s="1017"/>
      <c r="AF27" s="1017"/>
      <c r="AG27" s="1017"/>
      <c r="AH27" s="1017"/>
      <c r="AI27" s="1017"/>
      <c r="AJ27" s="1017"/>
      <c r="AK27" s="1017"/>
      <c r="AL27" s="1017"/>
      <c r="AM27" s="1017"/>
      <c r="AN27" s="1017"/>
      <c r="AO27" s="1017"/>
      <c r="AP27" s="1017"/>
      <c r="AQ27" s="1017"/>
      <c r="AR27" s="1017"/>
      <c r="AS27" s="1017"/>
      <c r="AT27" s="1017"/>
      <c r="AU27" s="1017"/>
      <c r="AV27" s="1017"/>
      <c r="AW27" s="1017"/>
      <c r="AX27" s="1017"/>
      <c r="AY27" s="1017"/>
      <c r="AZ27" s="1017"/>
      <c r="BA27" s="1017"/>
      <c r="BB27" s="1017"/>
      <c r="BC27" s="1017"/>
      <c r="BD27" s="1017"/>
      <c r="BE27" s="1017"/>
      <c r="BF27" s="1017"/>
      <c r="BG27" s="1017"/>
      <c r="BH27" s="1017"/>
      <c r="BI27" s="1017"/>
      <c r="BJ27" s="1017"/>
      <c r="BK27" s="1017"/>
      <c r="BL27" s="1017"/>
      <c r="BM27" s="1017"/>
      <c r="BN27" s="1017"/>
      <c r="BO27" s="1017"/>
      <c r="BP27" s="1017"/>
      <c r="BQ27" s="1017"/>
      <c r="BR27" s="1017"/>
      <c r="BS27" s="1017"/>
      <c r="BT27" s="1017"/>
      <c r="BU27" s="1017"/>
      <c r="BV27" s="1017"/>
      <c r="BW27" s="1017"/>
      <c r="BX27" s="1017"/>
      <c r="BY27" s="1017"/>
      <c r="BZ27" s="1017"/>
      <c r="CA27" s="1017"/>
      <c r="CB27" s="1017"/>
      <c r="CC27" s="1017"/>
      <c r="CD27" s="1017"/>
      <c r="CE27" s="1017"/>
      <c r="CF27" s="1017"/>
      <c r="CG27" s="1017"/>
      <c r="CH27" s="1017"/>
      <c r="CI27" s="1017"/>
      <c r="CJ27" s="1017"/>
      <c r="CK27" s="1017"/>
      <c r="CL27" s="1017"/>
      <c r="CM27" s="1017"/>
      <c r="CN27" s="1017"/>
      <c r="CO27" s="1017"/>
      <c r="CP27" s="1017"/>
      <c r="CQ27" s="1017"/>
      <c r="CR27" s="1017"/>
      <c r="CS27" s="1017"/>
      <c r="CT27" s="1017"/>
      <c r="CU27" s="1017"/>
      <c r="CV27" s="1017"/>
      <c r="CW27" s="1017"/>
      <c r="CX27" s="1017"/>
      <c r="CY27" s="1017"/>
      <c r="CZ27" s="1017"/>
      <c r="DA27" s="1017"/>
      <c r="DB27" s="1017"/>
      <c r="DC27" s="1017"/>
      <c r="DD27" s="1017"/>
      <c r="DE27" s="1017"/>
      <c r="DF27" s="1017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G27" s="1017"/>
      <c r="EH27" s="1017"/>
      <c r="EI27" s="1017"/>
      <c r="EJ27" s="1017"/>
      <c r="EK27" s="1017"/>
      <c r="EL27" s="1017"/>
      <c r="EM27" s="1017"/>
      <c r="EN27" s="1017"/>
      <c r="EO27" s="1017"/>
      <c r="EP27" s="1017"/>
      <c r="EQ27" s="1017"/>
      <c r="ER27" s="1017"/>
      <c r="ES27" s="1017"/>
      <c r="ET27" s="1017"/>
      <c r="EU27" s="1017"/>
      <c r="EV27" s="1017"/>
      <c r="EW27" s="1017"/>
      <c r="EX27" s="1017"/>
      <c r="EY27" s="1017"/>
      <c r="EZ27" s="1017"/>
      <c r="FA27" s="1017"/>
      <c r="FB27" s="1017"/>
      <c r="FC27" s="1017"/>
      <c r="FD27" s="1017"/>
      <c r="FE27" s="1017"/>
      <c r="FF27" s="1017"/>
      <c r="FG27" s="1017"/>
      <c r="FH27" s="1017"/>
      <c r="FI27" s="1017"/>
      <c r="FJ27" s="1017"/>
      <c r="FK27" s="1017"/>
      <c r="FL27" s="1017"/>
      <c r="FM27" s="1017"/>
      <c r="FN27" s="1017"/>
      <c r="FO27" s="1017"/>
      <c r="FP27" s="1017"/>
      <c r="FQ27" s="1017"/>
      <c r="FR27" s="1017"/>
      <c r="FS27" s="1017"/>
      <c r="FT27" s="1017"/>
      <c r="FU27" s="1017"/>
      <c r="FV27" s="1017"/>
      <c r="FW27" s="1017"/>
      <c r="FX27" s="1017"/>
      <c r="FY27" s="1017"/>
      <c r="FZ27" s="1017"/>
      <c r="GA27" s="1017"/>
      <c r="GB27" s="1017"/>
      <c r="GC27" s="1017"/>
      <c r="GD27" s="1017"/>
      <c r="GE27" s="1017"/>
      <c r="GF27" s="1017"/>
      <c r="GG27" s="1017"/>
      <c r="GH27" s="1017"/>
      <c r="GI27" s="1017"/>
      <c r="GJ27" s="1017"/>
      <c r="GK27" s="1017"/>
      <c r="GL27" s="1017"/>
      <c r="GM27" s="1017"/>
      <c r="GN27" s="1017"/>
      <c r="GO27" s="1017"/>
      <c r="GP27" s="1017"/>
      <c r="GQ27" s="1017"/>
      <c r="GR27" s="1017"/>
      <c r="GS27" s="1017"/>
      <c r="GT27" s="1017"/>
      <c r="GU27" s="1017"/>
      <c r="GV27" s="1017"/>
      <c r="GW27" s="1017"/>
      <c r="GX27" s="1017"/>
      <c r="GY27" s="1017"/>
      <c r="GZ27" s="1017"/>
      <c r="HA27" s="1017"/>
      <c r="HB27" s="1017"/>
      <c r="HC27" s="1017"/>
      <c r="HD27" s="1017"/>
      <c r="HE27" s="1017"/>
      <c r="HF27" s="1017"/>
      <c r="HG27" s="1017"/>
      <c r="HH27" s="1017"/>
      <c r="HI27" s="1017"/>
      <c r="HJ27" s="1017"/>
      <c r="HK27" s="1017"/>
      <c r="HL27" s="1017"/>
      <c r="HM27" s="1017"/>
      <c r="HN27" s="1017"/>
      <c r="HO27" s="1017"/>
      <c r="HP27" s="1017"/>
      <c r="HQ27" s="1017"/>
      <c r="HR27" s="1017"/>
      <c r="HS27" s="1017"/>
      <c r="HT27" s="1017"/>
      <c r="HU27" s="1017"/>
      <c r="HV27" s="1017"/>
      <c r="HW27" s="1017"/>
      <c r="HX27" s="1017"/>
      <c r="HY27" s="1017"/>
      <c r="HZ27" s="1017"/>
      <c r="IA27" s="1017"/>
      <c r="IB27" s="1017"/>
      <c r="IC27" s="1017"/>
      <c r="ID27" s="1017"/>
      <c r="IE27" s="1017"/>
      <c r="IF27" s="1017"/>
      <c r="IG27" s="1017"/>
      <c r="IH27" s="1017"/>
      <c r="II27" s="1017"/>
      <c r="IJ27" s="1017"/>
      <c r="IK27" s="1017"/>
      <c r="IL27" s="1017"/>
      <c r="IM27" s="1017"/>
    </row>
    <row r="28" spans="1:247">
      <c r="A28" s="1052" t="s">
        <v>432</v>
      </c>
      <c r="B28" s="1053"/>
      <c r="C28" s="1071">
        <f>C21-SUM(C22:C27)</f>
        <v>106.68140000000039</v>
      </c>
      <c r="D28" s="1068">
        <f t="shared" ref="D28:G28" si="21">D21-SUM(D22:D27)</f>
        <v>88.070516666665753</v>
      </c>
      <c r="E28" s="1069">
        <f t="shared" si="21"/>
        <v>86.881749999999556</v>
      </c>
      <c r="F28" s="1069">
        <f t="shared" si="21"/>
        <v>86.869083333333947</v>
      </c>
      <c r="G28" s="1070">
        <f t="shared" si="21"/>
        <v>86.900416666667297</v>
      </c>
      <c r="H28" s="1048">
        <v>87.286587822854756</v>
      </c>
      <c r="I28" s="1048">
        <v>84.253724542785235</v>
      </c>
      <c r="J28" s="1048">
        <v>84.80000660014332</v>
      </c>
      <c r="K28" s="1049">
        <v>85.119086481859711</v>
      </c>
      <c r="L28" s="1028"/>
      <c r="M28" s="1045"/>
      <c r="N28" s="1050">
        <f t="shared" si="11"/>
        <v>87.286587822854756</v>
      </c>
      <c r="O28" s="1045">
        <f>N28</f>
        <v>87.286587822854756</v>
      </c>
      <c r="P28" s="1046">
        <f t="shared" ref="P28:Q28" si="22">O28</f>
        <v>87.286587822854756</v>
      </c>
      <c r="Q28" s="1046">
        <f t="shared" si="22"/>
        <v>87.286587822854756</v>
      </c>
      <c r="R28" s="1045">
        <f t="shared" si="19"/>
        <v>-3.0328632800695203</v>
      </c>
      <c r="S28" s="1046">
        <f t="shared" si="19"/>
        <v>-2.4865812227114361</v>
      </c>
      <c r="T28" s="1046">
        <f t="shared" si="19"/>
        <v>-2.1675013409950452</v>
      </c>
      <c r="U28" s="1050">
        <f t="shared" si="6"/>
        <v>0</v>
      </c>
      <c r="V28" s="948"/>
      <c r="W28" s="1045">
        <f t="shared" si="20"/>
        <v>87.286587822854756</v>
      </c>
      <c r="X28" s="1046">
        <v>86.881749999999556</v>
      </c>
      <c r="Y28" s="1045">
        <f t="shared" si="7"/>
        <v>-0.40483782285519965</v>
      </c>
      <c r="Z28" s="1051">
        <f t="shared" si="3"/>
        <v>-4.5235634711744655E-4</v>
      </c>
      <c r="AA28" s="1017"/>
      <c r="AB28" s="952"/>
      <c r="AC28" s="1017"/>
      <c r="AD28" s="1017"/>
      <c r="AE28" s="1017"/>
      <c r="AF28" s="1017"/>
      <c r="AG28" s="1017"/>
      <c r="AH28" s="1017"/>
      <c r="AI28" s="1017"/>
      <c r="AJ28" s="1017"/>
      <c r="AK28" s="1017"/>
      <c r="AL28" s="1017"/>
      <c r="AM28" s="1017"/>
      <c r="AN28" s="1017"/>
      <c r="AO28" s="1017"/>
      <c r="AP28" s="1017"/>
      <c r="AQ28" s="1017"/>
      <c r="AR28" s="1017"/>
      <c r="AS28" s="1017"/>
      <c r="AT28" s="1017"/>
      <c r="AU28" s="1017"/>
      <c r="AV28" s="1017"/>
      <c r="AW28" s="1017"/>
      <c r="AX28" s="1017"/>
      <c r="AY28" s="1017"/>
      <c r="AZ28" s="1017"/>
      <c r="BA28" s="1017"/>
      <c r="BB28" s="1017"/>
      <c r="BC28" s="1017"/>
      <c r="BD28" s="1017"/>
      <c r="BE28" s="1017"/>
      <c r="BF28" s="1017"/>
      <c r="BG28" s="1017"/>
      <c r="BH28" s="1017"/>
      <c r="BI28" s="1017"/>
      <c r="BJ28" s="1017"/>
      <c r="BK28" s="1017"/>
      <c r="BL28" s="1017"/>
      <c r="BM28" s="1017"/>
      <c r="BN28" s="1017"/>
      <c r="BO28" s="1017"/>
      <c r="BP28" s="1017"/>
      <c r="BQ28" s="1017"/>
      <c r="BR28" s="1017"/>
      <c r="BS28" s="1017"/>
      <c r="BT28" s="1017"/>
      <c r="BU28" s="1017"/>
      <c r="BV28" s="1017"/>
      <c r="BW28" s="1017"/>
      <c r="BX28" s="1017"/>
      <c r="BY28" s="1017"/>
      <c r="BZ28" s="1017"/>
      <c r="CA28" s="1017"/>
      <c r="CB28" s="1017"/>
      <c r="CC28" s="1017"/>
      <c r="CD28" s="1017"/>
      <c r="CE28" s="1017"/>
      <c r="CF28" s="1017"/>
      <c r="CG28" s="1017"/>
      <c r="CH28" s="1017"/>
      <c r="CI28" s="1017"/>
      <c r="CJ28" s="1017"/>
      <c r="CK28" s="1017"/>
      <c r="CL28" s="1017"/>
      <c r="CM28" s="1017"/>
      <c r="CN28" s="1017"/>
      <c r="CO28" s="1017"/>
      <c r="CP28" s="1017"/>
      <c r="CQ28" s="1017"/>
      <c r="CR28" s="1017"/>
      <c r="CS28" s="1017"/>
      <c r="CT28" s="1017"/>
      <c r="CU28" s="1017"/>
      <c r="CV28" s="1017"/>
      <c r="CW28" s="1017"/>
      <c r="CX28" s="1017"/>
      <c r="CY28" s="1017"/>
      <c r="CZ28" s="1017"/>
      <c r="DA28" s="1017"/>
      <c r="DB28" s="1017"/>
      <c r="DC28" s="1017"/>
      <c r="DD28" s="1017"/>
      <c r="DE28" s="1017"/>
      <c r="DF28" s="1017"/>
      <c r="DG28" s="1017"/>
      <c r="DH28" s="1017"/>
      <c r="DI28" s="1017"/>
      <c r="DJ28" s="1017"/>
      <c r="DK28" s="1017"/>
      <c r="DL28" s="1017"/>
      <c r="DM28" s="1017"/>
      <c r="DN28" s="1017"/>
      <c r="DO28" s="1017"/>
      <c r="DP28" s="1017"/>
      <c r="DQ28" s="1017"/>
      <c r="DR28" s="1017"/>
      <c r="DS28" s="1017"/>
      <c r="DT28" s="1017"/>
      <c r="DU28" s="1017"/>
      <c r="DV28" s="1017"/>
      <c r="DW28" s="1017"/>
      <c r="DX28" s="1017"/>
      <c r="DY28" s="1017"/>
      <c r="DZ28" s="1017"/>
      <c r="EA28" s="1017"/>
      <c r="EB28" s="1017"/>
      <c r="EC28" s="1017"/>
      <c r="ED28" s="1017"/>
      <c r="EE28" s="1017"/>
      <c r="EF28" s="1017"/>
      <c r="EG28" s="1017"/>
      <c r="EH28" s="1017"/>
      <c r="EI28" s="1017"/>
      <c r="EJ28" s="1017"/>
      <c r="EK28" s="1017"/>
      <c r="EL28" s="1017"/>
      <c r="EM28" s="1017"/>
      <c r="EN28" s="1017"/>
      <c r="EO28" s="1017"/>
      <c r="EP28" s="1017"/>
      <c r="EQ28" s="1017"/>
      <c r="ER28" s="1017"/>
      <c r="ES28" s="1017"/>
      <c r="ET28" s="1017"/>
      <c r="EU28" s="1017"/>
      <c r="EV28" s="1017"/>
      <c r="EW28" s="1017"/>
      <c r="EX28" s="1017"/>
      <c r="EY28" s="1017"/>
      <c r="EZ28" s="1017"/>
      <c r="FA28" s="1017"/>
      <c r="FB28" s="1017"/>
      <c r="FC28" s="1017"/>
      <c r="FD28" s="1017"/>
      <c r="FE28" s="1017"/>
      <c r="FF28" s="1017"/>
      <c r="FG28" s="1017"/>
      <c r="FH28" s="1017"/>
      <c r="FI28" s="1017"/>
      <c r="FJ28" s="1017"/>
      <c r="FK28" s="1017"/>
      <c r="FL28" s="1017"/>
      <c r="FM28" s="1017"/>
      <c r="FN28" s="1017"/>
      <c r="FO28" s="1017"/>
      <c r="FP28" s="1017"/>
      <c r="FQ28" s="1017"/>
      <c r="FR28" s="1017"/>
      <c r="FS28" s="1017"/>
      <c r="FT28" s="1017"/>
      <c r="FU28" s="1017"/>
      <c r="FV28" s="1017"/>
      <c r="FW28" s="1017"/>
      <c r="FX28" s="1017"/>
      <c r="FY28" s="1017"/>
      <c r="FZ28" s="1017"/>
      <c r="GA28" s="1017"/>
      <c r="GB28" s="1017"/>
      <c r="GC28" s="1017"/>
      <c r="GD28" s="1017"/>
      <c r="GE28" s="1017"/>
      <c r="GF28" s="1017"/>
      <c r="GG28" s="1017"/>
      <c r="GH28" s="1017"/>
      <c r="GI28" s="1017"/>
      <c r="GJ28" s="1017"/>
      <c r="GK28" s="1017"/>
      <c r="GL28" s="1017"/>
      <c r="GM28" s="1017"/>
      <c r="GN28" s="1017"/>
      <c r="GO28" s="1017"/>
      <c r="GP28" s="1017"/>
      <c r="GQ28" s="1017"/>
      <c r="GR28" s="1017"/>
      <c r="GS28" s="1017"/>
      <c r="GT28" s="1017"/>
      <c r="GU28" s="1017"/>
      <c r="GV28" s="1017"/>
      <c r="GW28" s="1017"/>
      <c r="GX28" s="1017"/>
      <c r="GY28" s="1017"/>
      <c r="GZ28" s="1017"/>
      <c r="HA28" s="1017"/>
      <c r="HB28" s="1017"/>
      <c r="HC28" s="1017"/>
      <c r="HD28" s="1017"/>
      <c r="HE28" s="1017"/>
      <c r="HF28" s="1017"/>
      <c r="HG28" s="1017"/>
      <c r="HH28" s="1017"/>
      <c r="HI28" s="1017"/>
      <c r="HJ28" s="1017"/>
      <c r="HK28" s="1017"/>
      <c r="HL28" s="1017"/>
      <c r="HM28" s="1017"/>
      <c r="HN28" s="1017"/>
      <c r="HO28" s="1017"/>
      <c r="HP28" s="1017"/>
      <c r="HQ28" s="1017"/>
      <c r="HR28" s="1017"/>
      <c r="HS28" s="1017"/>
      <c r="HT28" s="1017"/>
      <c r="HU28" s="1017"/>
      <c r="HV28" s="1017"/>
      <c r="HW28" s="1017"/>
      <c r="HX28" s="1017"/>
      <c r="HY28" s="1017"/>
      <c r="HZ28" s="1017"/>
      <c r="IA28" s="1017"/>
      <c r="IB28" s="1017"/>
      <c r="IC28" s="1017"/>
      <c r="ID28" s="1017"/>
      <c r="IE28" s="1017"/>
      <c r="IF28" s="1017"/>
      <c r="IG28" s="1017"/>
      <c r="IH28" s="1017"/>
      <c r="II28" s="1017"/>
      <c r="IJ28" s="1017"/>
      <c r="IK28" s="1017"/>
      <c r="IL28" s="1017"/>
      <c r="IM28" s="1017"/>
    </row>
    <row r="29" spans="1:247" s="957" customFormat="1">
      <c r="A29" s="790" t="s">
        <v>440</v>
      </c>
      <c r="B29" s="1060" t="s">
        <v>932</v>
      </c>
      <c r="C29" s="1034">
        <v>4.0000000000000001E-3</v>
      </c>
      <c r="D29" s="1066">
        <v>0</v>
      </c>
      <c r="E29" s="1062">
        <v>0</v>
      </c>
      <c r="F29" s="1062">
        <v>0</v>
      </c>
      <c r="G29" s="1063">
        <v>0</v>
      </c>
      <c r="H29" s="1064">
        <v>0</v>
      </c>
      <c r="I29" s="1064">
        <v>0</v>
      </c>
      <c r="J29" s="1064">
        <v>0</v>
      </c>
      <c r="K29" s="1065">
        <v>0</v>
      </c>
      <c r="L29" s="1028"/>
      <c r="M29" s="1066">
        <v>0</v>
      </c>
      <c r="N29" s="1034">
        <f t="shared" si="11"/>
        <v>0</v>
      </c>
      <c r="O29" s="1066">
        <v>0</v>
      </c>
      <c r="P29" s="1062">
        <v>0</v>
      </c>
      <c r="Q29" s="1062">
        <v>0</v>
      </c>
      <c r="R29" s="1066">
        <v>0</v>
      </c>
      <c r="S29" s="1062">
        <v>0</v>
      </c>
      <c r="T29" s="1062">
        <v>0</v>
      </c>
      <c r="U29" s="1034">
        <f t="shared" si="6"/>
        <v>0</v>
      </c>
      <c r="V29" s="948"/>
      <c r="W29" s="1066">
        <f t="shared" si="20"/>
        <v>0</v>
      </c>
      <c r="X29" s="1062">
        <v>0</v>
      </c>
      <c r="Y29" s="1066">
        <f t="shared" si="7"/>
        <v>0</v>
      </c>
      <c r="Z29" s="1067">
        <f t="shared" si="3"/>
        <v>0</v>
      </c>
      <c r="AA29" s="1042"/>
      <c r="AB29" s="952"/>
      <c r="AC29" s="1042"/>
      <c r="AD29" s="1042"/>
      <c r="AE29" s="1042"/>
      <c r="AF29" s="1042"/>
      <c r="AG29" s="1042"/>
      <c r="AH29" s="1042"/>
      <c r="AI29" s="1042"/>
      <c r="AJ29" s="1042"/>
      <c r="AK29" s="1042"/>
      <c r="AL29" s="1042"/>
      <c r="AM29" s="1042"/>
      <c r="AN29" s="1042"/>
      <c r="AO29" s="1042"/>
      <c r="AP29" s="1042"/>
      <c r="AQ29" s="1042"/>
      <c r="AR29" s="1042"/>
      <c r="AS29" s="1042"/>
      <c r="AT29" s="1042"/>
      <c r="AU29" s="1042"/>
      <c r="AV29" s="1042"/>
      <c r="AW29" s="1042"/>
      <c r="AX29" s="1042"/>
      <c r="AY29" s="1042"/>
      <c r="AZ29" s="1042"/>
      <c r="BA29" s="1042"/>
      <c r="BB29" s="1042"/>
      <c r="BC29" s="1042"/>
      <c r="BD29" s="1042"/>
      <c r="BE29" s="1042"/>
      <c r="BF29" s="1042"/>
      <c r="BG29" s="1042"/>
      <c r="BH29" s="1042"/>
      <c r="BI29" s="1042"/>
      <c r="BJ29" s="1042"/>
      <c r="BK29" s="1042"/>
      <c r="BL29" s="1042"/>
      <c r="BM29" s="1042"/>
      <c r="BN29" s="1042"/>
      <c r="BO29" s="1042"/>
      <c r="BP29" s="1042"/>
      <c r="BQ29" s="1042"/>
      <c r="BR29" s="1042"/>
      <c r="BS29" s="1042"/>
      <c r="BT29" s="1042"/>
      <c r="BU29" s="1042"/>
      <c r="BV29" s="1042"/>
      <c r="BW29" s="1042"/>
      <c r="BX29" s="1042"/>
      <c r="BY29" s="1042"/>
      <c r="BZ29" s="1042"/>
      <c r="CA29" s="1042"/>
      <c r="CB29" s="1042"/>
      <c r="CC29" s="1042"/>
      <c r="CD29" s="1042"/>
      <c r="CE29" s="1042"/>
      <c r="CF29" s="1042"/>
      <c r="CG29" s="1042"/>
      <c r="CH29" s="1042"/>
      <c r="CI29" s="1042"/>
      <c r="CJ29" s="1042"/>
      <c r="CK29" s="1042"/>
      <c r="CL29" s="1042"/>
      <c r="CM29" s="1042"/>
      <c r="CN29" s="1042"/>
      <c r="CO29" s="1042"/>
      <c r="CP29" s="1042"/>
      <c r="CQ29" s="1042"/>
      <c r="CR29" s="1042"/>
      <c r="CS29" s="1042"/>
      <c r="CT29" s="1042"/>
      <c r="CU29" s="1042"/>
      <c r="CV29" s="1042"/>
      <c r="CW29" s="1042"/>
      <c r="CX29" s="1042"/>
      <c r="CY29" s="1042"/>
      <c r="CZ29" s="1042"/>
      <c r="DA29" s="1042"/>
      <c r="DB29" s="1042"/>
      <c r="DC29" s="1042"/>
      <c r="DD29" s="1042"/>
      <c r="DE29" s="1042"/>
      <c r="DF29" s="1042"/>
      <c r="DG29" s="1042"/>
      <c r="DH29" s="1042"/>
      <c r="DI29" s="1042"/>
      <c r="DJ29" s="1042"/>
      <c r="DK29" s="1042"/>
      <c r="DL29" s="1042"/>
      <c r="DM29" s="1042"/>
      <c r="DN29" s="1042"/>
      <c r="DO29" s="1042"/>
      <c r="DP29" s="1042"/>
      <c r="DQ29" s="1042"/>
      <c r="DR29" s="1042"/>
      <c r="DS29" s="1042"/>
      <c r="DT29" s="1042"/>
      <c r="DU29" s="1042"/>
      <c r="DV29" s="1042"/>
      <c r="DW29" s="1042"/>
      <c r="DX29" s="1042"/>
      <c r="DY29" s="1042"/>
      <c r="DZ29" s="1042"/>
      <c r="EA29" s="1042"/>
      <c r="EB29" s="1042"/>
      <c r="EC29" s="1042"/>
      <c r="ED29" s="1042"/>
      <c r="EE29" s="1042"/>
      <c r="EF29" s="1042"/>
      <c r="EG29" s="1042"/>
      <c r="EH29" s="1042"/>
      <c r="EI29" s="1042"/>
      <c r="EJ29" s="1042"/>
      <c r="EK29" s="1042"/>
      <c r="EL29" s="1042"/>
      <c r="EM29" s="1042"/>
      <c r="EN29" s="1042"/>
      <c r="EO29" s="1042"/>
      <c r="EP29" s="1042"/>
      <c r="EQ29" s="1042"/>
      <c r="ER29" s="1042"/>
      <c r="ES29" s="1042"/>
      <c r="ET29" s="1042"/>
      <c r="EU29" s="1042"/>
      <c r="EV29" s="1042"/>
      <c r="EW29" s="1042"/>
      <c r="EX29" s="1042"/>
      <c r="EY29" s="1042"/>
      <c r="EZ29" s="1042"/>
      <c r="FA29" s="1042"/>
      <c r="FB29" s="1042"/>
      <c r="FC29" s="1042"/>
      <c r="FD29" s="1042"/>
      <c r="FE29" s="1042"/>
      <c r="FF29" s="1042"/>
      <c r="FG29" s="1042"/>
      <c r="FH29" s="1042"/>
      <c r="FI29" s="1042"/>
      <c r="FJ29" s="1042"/>
      <c r="FK29" s="1042"/>
      <c r="FL29" s="1042"/>
      <c r="FM29" s="1042"/>
      <c r="FN29" s="1042"/>
      <c r="FO29" s="1042"/>
      <c r="FP29" s="1042"/>
      <c r="FQ29" s="1042"/>
      <c r="FR29" s="1042"/>
      <c r="FS29" s="1042"/>
      <c r="FT29" s="1042"/>
      <c r="FU29" s="1042"/>
      <c r="FV29" s="1042"/>
      <c r="FW29" s="1042"/>
      <c r="FX29" s="1042"/>
      <c r="FY29" s="1042"/>
      <c r="FZ29" s="1042"/>
      <c r="GA29" s="1042"/>
      <c r="GB29" s="1042"/>
      <c r="GC29" s="1042"/>
      <c r="GD29" s="1042"/>
      <c r="GE29" s="1042"/>
      <c r="GF29" s="1042"/>
      <c r="GG29" s="1042"/>
      <c r="GH29" s="1042"/>
      <c r="GI29" s="1042"/>
      <c r="GJ29" s="1042"/>
      <c r="GK29" s="1042"/>
      <c r="GL29" s="1042"/>
      <c r="GM29" s="1042"/>
      <c r="GN29" s="1042"/>
      <c r="GO29" s="1042"/>
      <c r="GP29" s="1042"/>
      <c r="GQ29" s="1042"/>
      <c r="GR29" s="1042"/>
      <c r="GS29" s="1042"/>
      <c r="GT29" s="1042"/>
      <c r="GU29" s="1042"/>
      <c r="GV29" s="1042"/>
      <c r="GW29" s="1042"/>
      <c r="GX29" s="1042"/>
      <c r="GY29" s="1042"/>
      <c r="GZ29" s="1042"/>
      <c r="HA29" s="1042"/>
      <c r="HB29" s="1042"/>
      <c r="HC29" s="1042"/>
      <c r="HD29" s="1042"/>
      <c r="HE29" s="1042"/>
      <c r="HF29" s="1042"/>
      <c r="HG29" s="1042"/>
      <c r="HH29" s="1042"/>
      <c r="HI29" s="1042"/>
      <c r="HJ29" s="1042"/>
      <c r="HK29" s="1042"/>
      <c r="HL29" s="1042"/>
      <c r="HM29" s="1042"/>
      <c r="HN29" s="1042"/>
      <c r="HO29" s="1042"/>
      <c r="HP29" s="1042"/>
      <c r="HQ29" s="1042"/>
      <c r="HR29" s="1042"/>
      <c r="HS29" s="1042"/>
      <c r="HT29" s="1042"/>
      <c r="HU29" s="1042"/>
      <c r="HV29" s="1042"/>
      <c r="HW29" s="1042"/>
      <c r="HX29" s="1042"/>
      <c r="HY29" s="1042"/>
      <c r="HZ29" s="1042"/>
      <c r="IA29" s="1042"/>
      <c r="IB29" s="1042"/>
      <c r="IC29" s="1042"/>
      <c r="ID29" s="1042"/>
      <c r="IE29" s="1042"/>
      <c r="IF29" s="1042"/>
      <c r="IG29" s="1042"/>
      <c r="IH29" s="1042"/>
      <c r="II29" s="1042"/>
      <c r="IJ29" s="1042"/>
      <c r="IK29" s="1042"/>
      <c r="IL29" s="1042"/>
      <c r="IM29" s="1042"/>
    </row>
    <row r="30" spans="1:247" s="957" customFormat="1">
      <c r="A30" s="790" t="s">
        <v>441</v>
      </c>
      <c r="B30" s="1060" t="s">
        <v>933</v>
      </c>
      <c r="C30" s="1034">
        <v>11617.093000000001</v>
      </c>
      <c r="D30" s="1061">
        <v>12501.758</v>
      </c>
      <c r="E30" s="1062">
        <v>13107.877</v>
      </c>
      <c r="F30" s="1062">
        <v>13817.028000000002</v>
      </c>
      <c r="G30" s="1063">
        <v>14608.424000000001</v>
      </c>
      <c r="H30" s="1064">
        <f>SUM(H31:H37)</f>
        <v>12411.181295815795</v>
      </c>
      <c r="I30" s="1064">
        <f t="shared" ref="I30:K30" si="23">SUM(I31:I37)</f>
        <v>13032.850701081528</v>
      </c>
      <c r="J30" s="1064">
        <f t="shared" si="23"/>
        <v>13663.128686308155</v>
      </c>
      <c r="K30" s="1065">
        <f t="shared" si="23"/>
        <v>14418.001835787336</v>
      </c>
      <c r="L30" s="1028"/>
      <c r="M30" s="1066">
        <f>SUM(M31:M36)</f>
        <v>-92</v>
      </c>
      <c r="N30" s="1034">
        <f t="shared" si="11"/>
        <v>12319.181295815795</v>
      </c>
      <c r="O30" s="1066">
        <f t="shared" ref="O30:T30" si="24">SUM(O31:O36)</f>
        <v>12976.477974410756</v>
      </c>
      <c r="P30" s="1062">
        <f t="shared" si="24"/>
        <v>13670.23479075033</v>
      </c>
      <c r="Q30" s="1062">
        <f t="shared" si="24"/>
        <v>14423.258039726707</v>
      </c>
      <c r="R30" s="1066">
        <f t="shared" si="24"/>
        <v>56.372692670769737</v>
      </c>
      <c r="S30" s="1062">
        <f t="shared" si="24"/>
        <v>-7.1061044421755923</v>
      </c>
      <c r="T30" s="1062">
        <f t="shared" si="24"/>
        <v>-5.2562039393687314</v>
      </c>
      <c r="U30" s="1034">
        <f t="shared" si="6"/>
        <v>657.29667859496112</v>
      </c>
      <c r="V30" s="948"/>
      <c r="W30" s="1066">
        <f>SUM(W31:W36)</f>
        <v>12976.477974410756</v>
      </c>
      <c r="X30" s="1062">
        <f>SUM(X31:X36)</f>
        <v>13010.328066</v>
      </c>
      <c r="Y30" s="1066">
        <f t="shared" si="7"/>
        <v>33.850091589243675</v>
      </c>
      <c r="Z30" s="1067">
        <f t="shared" si="3"/>
        <v>3.7823303348753799E-2</v>
      </c>
      <c r="AA30" s="1042"/>
      <c r="AB30" s="952"/>
      <c r="AC30" s="1042"/>
      <c r="AD30" s="1042"/>
      <c r="AE30" s="1042"/>
      <c r="AF30" s="1042"/>
      <c r="AG30" s="1042"/>
      <c r="AH30" s="1042"/>
      <c r="AI30" s="1042"/>
      <c r="AJ30" s="1042"/>
      <c r="AK30" s="1042"/>
      <c r="AL30" s="1042"/>
      <c r="AM30" s="1042"/>
      <c r="AN30" s="1042"/>
      <c r="AO30" s="1042"/>
      <c r="AP30" s="1042"/>
      <c r="AQ30" s="1042"/>
      <c r="AR30" s="1042"/>
      <c r="AS30" s="1042"/>
      <c r="AT30" s="1042"/>
      <c r="AU30" s="1042"/>
      <c r="AV30" s="1042"/>
      <c r="AW30" s="1042"/>
      <c r="AX30" s="1042"/>
      <c r="AY30" s="1042"/>
      <c r="AZ30" s="1042"/>
      <c r="BA30" s="1042"/>
      <c r="BB30" s="1042"/>
      <c r="BC30" s="1042"/>
      <c r="BD30" s="1042"/>
      <c r="BE30" s="1042"/>
      <c r="BF30" s="1042"/>
      <c r="BG30" s="1042"/>
      <c r="BH30" s="1042"/>
      <c r="BI30" s="1042"/>
      <c r="BJ30" s="1042"/>
      <c r="BK30" s="1042"/>
      <c r="BL30" s="1042"/>
      <c r="BM30" s="1042"/>
      <c r="BN30" s="1042"/>
      <c r="BO30" s="1042"/>
      <c r="BP30" s="1042"/>
      <c r="BQ30" s="1042"/>
      <c r="BR30" s="1042"/>
      <c r="BS30" s="1042"/>
      <c r="BT30" s="1042"/>
      <c r="BU30" s="1042"/>
      <c r="BV30" s="1042"/>
      <c r="BW30" s="1042"/>
      <c r="BX30" s="1042"/>
      <c r="BY30" s="1042"/>
      <c r="BZ30" s="1042"/>
      <c r="CA30" s="1042"/>
      <c r="CB30" s="1042"/>
      <c r="CC30" s="1042"/>
      <c r="CD30" s="1042"/>
      <c r="CE30" s="1042"/>
      <c r="CF30" s="1042"/>
      <c r="CG30" s="1042"/>
      <c r="CH30" s="1042"/>
      <c r="CI30" s="1042"/>
      <c r="CJ30" s="1042"/>
      <c r="CK30" s="1042"/>
      <c r="CL30" s="1042"/>
      <c r="CM30" s="1042"/>
      <c r="CN30" s="1042"/>
      <c r="CO30" s="1042"/>
      <c r="CP30" s="1042"/>
      <c r="CQ30" s="1042"/>
      <c r="CR30" s="1042"/>
      <c r="CS30" s="1042"/>
      <c r="CT30" s="1042"/>
      <c r="CU30" s="1042"/>
      <c r="CV30" s="1042"/>
      <c r="CW30" s="1042"/>
      <c r="CX30" s="1042"/>
      <c r="CY30" s="1042"/>
      <c r="CZ30" s="1042"/>
      <c r="DA30" s="1042"/>
      <c r="DB30" s="1042"/>
      <c r="DC30" s="1042"/>
      <c r="DD30" s="1042"/>
      <c r="DE30" s="1042"/>
      <c r="DF30" s="1042"/>
      <c r="DG30" s="1042"/>
      <c r="DH30" s="1042"/>
      <c r="DI30" s="1042"/>
      <c r="DJ30" s="1042"/>
      <c r="DK30" s="1042"/>
      <c r="DL30" s="1042"/>
      <c r="DM30" s="1042"/>
      <c r="DN30" s="1042"/>
      <c r="DO30" s="1042"/>
      <c r="DP30" s="1042"/>
      <c r="DQ30" s="1042"/>
      <c r="DR30" s="1042"/>
      <c r="DS30" s="1042"/>
      <c r="DT30" s="1042"/>
      <c r="DU30" s="1042"/>
      <c r="DV30" s="1042"/>
      <c r="DW30" s="1042"/>
      <c r="DX30" s="1042"/>
      <c r="DY30" s="1042"/>
      <c r="DZ30" s="1042"/>
      <c r="EA30" s="1042"/>
      <c r="EB30" s="1042"/>
      <c r="EC30" s="1042"/>
      <c r="ED30" s="1042"/>
      <c r="EE30" s="1042"/>
      <c r="EF30" s="1042"/>
      <c r="EG30" s="1042"/>
      <c r="EH30" s="1042"/>
      <c r="EI30" s="1042"/>
      <c r="EJ30" s="1042"/>
      <c r="EK30" s="1042"/>
      <c r="EL30" s="1042"/>
      <c r="EM30" s="1042"/>
      <c r="EN30" s="1042"/>
      <c r="EO30" s="1042"/>
      <c r="EP30" s="1042"/>
      <c r="EQ30" s="1042"/>
      <c r="ER30" s="1042"/>
      <c r="ES30" s="1042"/>
      <c r="ET30" s="1042"/>
      <c r="EU30" s="1042"/>
      <c r="EV30" s="1042"/>
      <c r="EW30" s="1042"/>
      <c r="EX30" s="1042"/>
      <c r="EY30" s="1042"/>
      <c r="EZ30" s="1042"/>
      <c r="FA30" s="1042"/>
      <c r="FB30" s="1042"/>
      <c r="FC30" s="1042"/>
      <c r="FD30" s="1042"/>
      <c r="FE30" s="1042"/>
      <c r="FF30" s="1042"/>
      <c r="FG30" s="1042"/>
      <c r="FH30" s="1042"/>
      <c r="FI30" s="1042"/>
      <c r="FJ30" s="1042"/>
      <c r="FK30" s="1042"/>
      <c r="FL30" s="1042"/>
      <c r="FM30" s="1042"/>
      <c r="FN30" s="1042"/>
      <c r="FO30" s="1042"/>
      <c r="FP30" s="1042"/>
      <c r="FQ30" s="1042"/>
      <c r="FR30" s="1042"/>
      <c r="FS30" s="1042"/>
      <c r="FT30" s="1042"/>
      <c r="FU30" s="1042"/>
      <c r="FV30" s="1042"/>
      <c r="FW30" s="1042"/>
      <c r="FX30" s="1042"/>
      <c r="FY30" s="1042"/>
      <c r="FZ30" s="1042"/>
      <c r="GA30" s="1042"/>
      <c r="GB30" s="1042"/>
      <c r="GC30" s="1042"/>
      <c r="GD30" s="1042"/>
      <c r="GE30" s="1042"/>
      <c r="GF30" s="1042"/>
      <c r="GG30" s="1042"/>
      <c r="GH30" s="1042"/>
      <c r="GI30" s="1042"/>
      <c r="GJ30" s="1042"/>
      <c r="GK30" s="1042"/>
      <c r="GL30" s="1042"/>
      <c r="GM30" s="1042"/>
      <c r="GN30" s="1042"/>
      <c r="GO30" s="1042"/>
      <c r="GP30" s="1042"/>
      <c r="GQ30" s="1042"/>
      <c r="GR30" s="1042"/>
      <c r="GS30" s="1042"/>
      <c r="GT30" s="1042"/>
      <c r="GU30" s="1042"/>
      <c r="GV30" s="1042"/>
      <c r="GW30" s="1042"/>
      <c r="GX30" s="1042"/>
      <c r="GY30" s="1042"/>
      <c r="GZ30" s="1042"/>
      <c r="HA30" s="1042"/>
      <c r="HB30" s="1042"/>
      <c r="HC30" s="1042"/>
      <c r="HD30" s="1042"/>
      <c r="HE30" s="1042"/>
      <c r="HF30" s="1042"/>
      <c r="HG30" s="1042"/>
      <c r="HH30" s="1042"/>
      <c r="HI30" s="1042"/>
      <c r="HJ30" s="1042"/>
      <c r="HK30" s="1042"/>
      <c r="HL30" s="1042"/>
      <c r="HM30" s="1042"/>
      <c r="HN30" s="1042"/>
      <c r="HO30" s="1042"/>
      <c r="HP30" s="1042"/>
      <c r="HQ30" s="1042"/>
      <c r="HR30" s="1042"/>
      <c r="HS30" s="1042"/>
      <c r="HT30" s="1042"/>
      <c r="HU30" s="1042"/>
      <c r="HV30" s="1042"/>
      <c r="HW30" s="1042"/>
      <c r="HX30" s="1042"/>
      <c r="HY30" s="1042"/>
      <c r="HZ30" s="1042"/>
      <c r="IA30" s="1042"/>
      <c r="IB30" s="1042"/>
      <c r="IC30" s="1042"/>
      <c r="ID30" s="1042"/>
      <c r="IE30" s="1042"/>
      <c r="IF30" s="1042"/>
      <c r="IG30" s="1042"/>
      <c r="IH30" s="1042"/>
      <c r="II30" s="1042"/>
      <c r="IJ30" s="1042"/>
      <c r="IK30" s="1042"/>
      <c r="IL30" s="1042"/>
      <c r="IM30" s="1042"/>
    </row>
    <row r="31" spans="1:247">
      <c r="A31" s="1052" t="s">
        <v>442</v>
      </c>
      <c r="B31" s="1053"/>
      <c r="C31" s="1068">
        <v>6584.2392235000007</v>
      </c>
      <c r="D31" s="1068">
        <v>7061.6490000000003</v>
      </c>
      <c r="E31" s="1046">
        <v>7458.232</v>
      </c>
      <c r="F31" s="1046">
        <v>7862.4269999999997</v>
      </c>
      <c r="G31" s="1047">
        <v>8315.4709999999995</v>
      </c>
      <c r="H31" s="1048">
        <v>7062.8914022413919</v>
      </c>
      <c r="I31" s="1048">
        <v>7445.1141048210984</v>
      </c>
      <c r="J31" s="1048">
        <v>7832.673881740362</v>
      </c>
      <c r="K31" s="1049">
        <v>8267.0902748312692</v>
      </c>
      <c r="L31" s="1028"/>
      <c r="M31" s="1068"/>
      <c r="N31" s="1050">
        <v>7062.8914022413919</v>
      </c>
      <c r="O31" s="1045">
        <v>7452.1359659948266</v>
      </c>
      <c r="P31" s="1046">
        <v>7843.2315126675348</v>
      </c>
      <c r="Q31" s="1046">
        <v>8274.4525702837436</v>
      </c>
      <c r="R31" s="1045">
        <f t="shared" ref="R31:T37" si="25">I31-O31</f>
        <v>-7.0218611737282117</v>
      </c>
      <c r="S31" s="1046">
        <f t="shared" si="25"/>
        <v>-10.557630927172795</v>
      </c>
      <c r="T31" s="1046">
        <f t="shared" si="25"/>
        <v>-7.3622954524744273</v>
      </c>
      <c r="U31" s="1050">
        <f t="shared" si="6"/>
        <v>389.2445637534347</v>
      </c>
      <c r="V31" s="948"/>
      <c r="W31" s="1045">
        <f t="shared" ref="W31:W37" si="26">O31</f>
        <v>7452.1359659948266</v>
      </c>
      <c r="X31" s="1046">
        <v>7458.232</v>
      </c>
      <c r="Y31" s="1045">
        <f t="shared" si="7"/>
        <v>6.096034005173351</v>
      </c>
      <c r="Z31" s="1051">
        <f t="shared" si="3"/>
        <v>6.8115663082949423E-3</v>
      </c>
      <c r="AA31" s="1017"/>
      <c r="AB31" s="952"/>
      <c r="AC31" s="1017"/>
      <c r="AD31" s="1017"/>
      <c r="AE31" s="1017"/>
      <c r="AF31" s="1017"/>
      <c r="AG31" s="1017"/>
      <c r="AH31" s="1017"/>
      <c r="AI31" s="1017"/>
      <c r="AJ31" s="1017"/>
      <c r="AK31" s="1017"/>
      <c r="AL31" s="1017"/>
      <c r="AM31" s="1017"/>
      <c r="AN31" s="1017"/>
      <c r="AO31" s="1017"/>
      <c r="AP31" s="1017"/>
      <c r="AQ31" s="1017"/>
      <c r="AR31" s="1017"/>
      <c r="AS31" s="1017"/>
      <c r="AT31" s="1017"/>
      <c r="AU31" s="1017"/>
      <c r="AV31" s="1017"/>
      <c r="AW31" s="1017"/>
      <c r="AX31" s="1017"/>
      <c r="AY31" s="1017"/>
      <c r="AZ31" s="1017"/>
      <c r="BA31" s="1017"/>
      <c r="BB31" s="1017"/>
      <c r="BC31" s="1017"/>
      <c r="BD31" s="1017"/>
      <c r="BE31" s="1017"/>
      <c r="BF31" s="1017"/>
      <c r="BG31" s="1017"/>
      <c r="BH31" s="1017"/>
      <c r="BI31" s="1017"/>
      <c r="BJ31" s="1017"/>
      <c r="BK31" s="1017"/>
      <c r="BL31" s="1017"/>
      <c r="BM31" s="1017"/>
      <c r="BN31" s="1017"/>
      <c r="BO31" s="1017"/>
      <c r="BP31" s="1017"/>
      <c r="BQ31" s="1017"/>
      <c r="BR31" s="1017"/>
      <c r="BS31" s="1017"/>
      <c r="BT31" s="1017"/>
      <c r="BU31" s="1017"/>
      <c r="BV31" s="1017"/>
      <c r="BW31" s="1017"/>
      <c r="BX31" s="1017"/>
      <c r="BY31" s="1017"/>
      <c r="BZ31" s="1017"/>
      <c r="CA31" s="1017"/>
      <c r="CB31" s="1017"/>
      <c r="CC31" s="1017"/>
      <c r="CD31" s="1017"/>
      <c r="CE31" s="1017"/>
      <c r="CF31" s="1017"/>
      <c r="CG31" s="1017"/>
      <c r="CH31" s="1017"/>
      <c r="CI31" s="1017"/>
      <c r="CJ31" s="1017"/>
      <c r="CK31" s="1017"/>
      <c r="CL31" s="1017"/>
      <c r="CM31" s="1017"/>
      <c r="CN31" s="1017"/>
      <c r="CO31" s="1017"/>
      <c r="CP31" s="1017"/>
      <c r="CQ31" s="1017"/>
      <c r="CR31" s="1017"/>
      <c r="CS31" s="1017"/>
      <c r="CT31" s="1017"/>
      <c r="CU31" s="1017"/>
      <c r="CV31" s="1017"/>
      <c r="CW31" s="1017"/>
      <c r="CX31" s="1017"/>
      <c r="CY31" s="1017"/>
      <c r="CZ31" s="1017"/>
      <c r="DA31" s="1017"/>
      <c r="DB31" s="1017"/>
      <c r="DC31" s="1017"/>
      <c r="DD31" s="1017"/>
      <c r="DE31" s="1017"/>
      <c r="DF31" s="1017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G31" s="1017"/>
      <c r="EH31" s="1017"/>
      <c r="EI31" s="1017"/>
      <c r="EJ31" s="1017"/>
      <c r="EK31" s="1017"/>
      <c r="EL31" s="1017"/>
      <c r="EM31" s="1017"/>
      <c r="EN31" s="1017"/>
      <c r="EO31" s="1017"/>
      <c r="EP31" s="1017"/>
      <c r="EQ31" s="1017"/>
      <c r="ER31" s="1017"/>
      <c r="ES31" s="1017"/>
      <c r="ET31" s="1017"/>
      <c r="EU31" s="1017"/>
      <c r="EV31" s="1017"/>
      <c r="EW31" s="1017"/>
      <c r="EX31" s="1017"/>
      <c r="EY31" s="1017"/>
      <c r="EZ31" s="1017"/>
      <c r="FA31" s="1017"/>
      <c r="FB31" s="1017"/>
      <c r="FC31" s="1017"/>
      <c r="FD31" s="1017"/>
      <c r="FE31" s="1017"/>
      <c r="FF31" s="1017"/>
      <c r="FG31" s="1017"/>
      <c r="FH31" s="1017"/>
      <c r="FI31" s="1017"/>
      <c r="FJ31" s="1017"/>
      <c r="FK31" s="1017"/>
      <c r="FL31" s="1017"/>
      <c r="FM31" s="1017"/>
      <c r="FN31" s="1017"/>
      <c r="FO31" s="1017"/>
      <c r="FP31" s="1017"/>
      <c r="FQ31" s="1017"/>
      <c r="FR31" s="1017"/>
      <c r="FS31" s="1017"/>
      <c r="FT31" s="1017"/>
      <c r="FU31" s="1017"/>
      <c r="FV31" s="1017"/>
      <c r="FW31" s="1017"/>
      <c r="FX31" s="1017"/>
      <c r="FY31" s="1017"/>
      <c r="FZ31" s="1017"/>
      <c r="GA31" s="1017"/>
      <c r="GB31" s="1017"/>
      <c r="GC31" s="1017"/>
      <c r="GD31" s="1017"/>
      <c r="GE31" s="1017"/>
      <c r="GF31" s="1017"/>
      <c r="GG31" s="1017"/>
      <c r="GH31" s="1017"/>
      <c r="GI31" s="1017"/>
      <c r="GJ31" s="1017"/>
      <c r="GK31" s="1017"/>
      <c r="GL31" s="1017"/>
      <c r="GM31" s="1017"/>
      <c r="GN31" s="1017"/>
      <c r="GO31" s="1017"/>
      <c r="GP31" s="1017"/>
      <c r="GQ31" s="1017"/>
      <c r="GR31" s="1017"/>
      <c r="GS31" s="1017"/>
      <c r="GT31" s="1017"/>
      <c r="GU31" s="1017"/>
      <c r="GV31" s="1017"/>
      <c r="GW31" s="1017"/>
      <c r="GX31" s="1017"/>
      <c r="GY31" s="1017"/>
      <c r="GZ31" s="1017"/>
      <c r="HA31" s="1017"/>
      <c r="HB31" s="1017"/>
      <c r="HC31" s="1017"/>
      <c r="HD31" s="1017"/>
      <c r="HE31" s="1017"/>
      <c r="HF31" s="1017"/>
      <c r="HG31" s="1017"/>
      <c r="HH31" s="1017"/>
      <c r="HI31" s="1017"/>
      <c r="HJ31" s="1017"/>
      <c r="HK31" s="1017"/>
      <c r="HL31" s="1017"/>
      <c r="HM31" s="1017"/>
      <c r="HN31" s="1017"/>
      <c r="HO31" s="1017"/>
      <c r="HP31" s="1017"/>
      <c r="HQ31" s="1017"/>
      <c r="HR31" s="1017"/>
      <c r="HS31" s="1017"/>
      <c r="HT31" s="1017"/>
      <c r="HU31" s="1017"/>
      <c r="HV31" s="1017"/>
      <c r="HW31" s="1017"/>
      <c r="HX31" s="1017"/>
      <c r="HY31" s="1017"/>
      <c r="HZ31" s="1017"/>
      <c r="IA31" s="1017"/>
      <c r="IB31" s="1017"/>
      <c r="IC31" s="1017"/>
      <c r="ID31" s="1017"/>
      <c r="IE31" s="1017"/>
      <c r="IF31" s="1017"/>
      <c r="IG31" s="1017"/>
      <c r="IH31" s="1017"/>
      <c r="II31" s="1017"/>
      <c r="IJ31" s="1017"/>
      <c r="IK31" s="1017"/>
      <c r="IL31" s="1017"/>
      <c r="IM31" s="1017"/>
    </row>
    <row r="32" spans="1:247">
      <c r="A32" s="1052" t="s">
        <v>443</v>
      </c>
      <c r="B32" s="1053"/>
      <c r="C32" s="1050">
        <v>2981.2429999999999</v>
      </c>
      <c r="D32" s="1068">
        <v>3330.0250000000001</v>
      </c>
      <c r="E32" s="1046">
        <v>3553.0039999999999</v>
      </c>
      <c r="F32" s="1046">
        <v>3798.3890000000001</v>
      </c>
      <c r="G32" s="1047">
        <v>4064.7280000000001</v>
      </c>
      <c r="H32" s="1048">
        <v>3338.1298935744057</v>
      </c>
      <c r="I32" s="1048">
        <v>3538.6444962604287</v>
      </c>
      <c r="J32" s="1048">
        <v>3772.5828045677922</v>
      </c>
      <c r="K32" s="1049">
        <v>4021.5265609560674</v>
      </c>
      <c r="L32" s="1028"/>
      <c r="M32" s="1068"/>
      <c r="N32" s="1050">
        <v>3338.1298935744057</v>
      </c>
      <c r="O32" s="1045">
        <v>3543.3229049920906</v>
      </c>
      <c r="P32" s="1046">
        <v>3780.1764892759525</v>
      </c>
      <c r="Q32" s="1046">
        <v>4026.6437207223512</v>
      </c>
      <c r="R32" s="1068">
        <f t="shared" si="25"/>
        <v>-4.6784087316618752</v>
      </c>
      <c r="S32" s="1069">
        <f t="shared" si="25"/>
        <v>-7.5936847081602536</v>
      </c>
      <c r="T32" s="1069">
        <f t="shared" si="25"/>
        <v>-5.1171597662837485</v>
      </c>
      <c r="U32" s="1071">
        <f t="shared" si="6"/>
        <v>205.19301141768483</v>
      </c>
      <c r="V32" s="948"/>
      <c r="W32" s="1045">
        <f t="shared" si="26"/>
        <v>3543.3229049920906</v>
      </c>
      <c r="X32" s="1046">
        <v>3553.0039999999999</v>
      </c>
      <c r="Y32" s="1045">
        <f t="shared" si="7"/>
        <v>9.6810950079093345</v>
      </c>
      <c r="Z32" s="1051">
        <f t="shared" si="3"/>
        <v>1.0817429910547616E-2</v>
      </c>
      <c r="AA32" s="1017"/>
      <c r="AB32" s="952"/>
      <c r="AC32" s="1017"/>
      <c r="AD32" s="1017"/>
      <c r="AE32" s="1017"/>
      <c r="AF32" s="1017"/>
      <c r="AG32" s="1017"/>
      <c r="AH32" s="1017"/>
      <c r="AI32" s="1017"/>
      <c r="AJ32" s="1017"/>
      <c r="AK32" s="1017"/>
      <c r="AL32" s="1017"/>
      <c r="AM32" s="1017"/>
      <c r="AN32" s="1017"/>
      <c r="AO32" s="1017"/>
      <c r="AP32" s="1017"/>
      <c r="AQ32" s="1017"/>
      <c r="AR32" s="1017"/>
      <c r="AS32" s="1017"/>
      <c r="AT32" s="1017"/>
      <c r="AU32" s="1017"/>
      <c r="AV32" s="1017"/>
      <c r="AW32" s="1017"/>
      <c r="AX32" s="1017"/>
      <c r="AY32" s="1017"/>
      <c r="AZ32" s="1017"/>
      <c r="BA32" s="1017"/>
      <c r="BB32" s="1017"/>
      <c r="BC32" s="1017"/>
      <c r="BD32" s="1017"/>
      <c r="BE32" s="1017"/>
      <c r="BF32" s="1017"/>
      <c r="BG32" s="1017"/>
      <c r="BH32" s="1017"/>
      <c r="BI32" s="1017"/>
      <c r="BJ32" s="1017"/>
      <c r="BK32" s="1017"/>
      <c r="BL32" s="1017"/>
      <c r="BM32" s="1017"/>
      <c r="BN32" s="1017"/>
      <c r="BO32" s="1017"/>
      <c r="BP32" s="1017"/>
      <c r="BQ32" s="1017"/>
      <c r="BR32" s="1017"/>
      <c r="BS32" s="1017"/>
      <c r="BT32" s="1017"/>
      <c r="BU32" s="1017"/>
      <c r="BV32" s="1017"/>
      <c r="BW32" s="1017"/>
      <c r="BX32" s="1017"/>
      <c r="BY32" s="1017"/>
      <c r="BZ32" s="1017"/>
      <c r="CA32" s="1017"/>
      <c r="CB32" s="1017"/>
      <c r="CC32" s="1017"/>
      <c r="CD32" s="1017"/>
      <c r="CE32" s="1017"/>
      <c r="CF32" s="1017"/>
      <c r="CG32" s="1017"/>
      <c r="CH32" s="1017"/>
      <c r="CI32" s="1017"/>
      <c r="CJ32" s="1017"/>
      <c r="CK32" s="1017"/>
      <c r="CL32" s="1017"/>
      <c r="CM32" s="1017"/>
      <c r="CN32" s="1017"/>
      <c r="CO32" s="1017"/>
      <c r="CP32" s="1017"/>
      <c r="CQ32" s="1017"/>
      <c r="CR32" s="1017"/>
      <c r="CS32" s="1017"/>
      <c r="CT32" s="1017"/>
      <c r="CU32" s="1017"/>
      <c r="CV32" s="1017"/>
      <c r="CW32" s="1017"/>
      <c r="CX32" s="1017"/>
      <c r="CY32" s="1017"/>
      <c r="CZ32" s="1017"/>
      <c r="DA32" s="1017"/>
      <c r="DB32" s="1017"/>
      <c r="DC32" s="1017"/>
      <c r="DD32" s="1017"/>
      <c r="DE32" s="1017"/>
      <c r="DF32" s="1017"/>
      <c r="DG32" s="1017"/>
      <c r="DH32" s="1017"/>
      <c r="DI32" s="1017"/>
      <c r="DJ32" s="1017"/>
      <c r="DK32" s="1017"/>
      <c r="DL32" s="1017"/>
      <c r="DM32" s="1017"/>
      <c r="DN32" s="1017"/>
      <c r="DO32" s="1017"/>
      <c r="DP32" s="1017"/>
      <c r="DQ32" s="1017"/>
      <c r="DR32" s="1017"/>
      <c r="DS32" s="1017"/>
      <c r="DT32" s="1017"/>
      <c r="DU32" s="1017"/>
      <c r="DV32" s="1017"/>
      <c r="DW32" s="1017"/>
      <c r="DX32" s="1017"/>
      <c r="DY32" s="1017"/>
      <c r="DZ32" s="1017"/>
      <c r="EA32" s="1017"/>
      <c r="EB32" s="1017"/>
      <c r="EC32" s="1017"/>
      <c r="ED32" s="1017"/>
      <c r="EE32" s="1017"/>
      <c r="EF32" s="1017"/>
      <c r="EG32" s="1017"/>
      <c r="EH32" s="1017"/>
      <c r="EI32" s="1017"/>
      <c r="EJ32" s="1017"/>
      <c r="EK32" s="1017"/>
      <c r="EL32" s="1017"/>
      <c r="EM32" s="1017"/>
      <c r="EN32" s="1017"/>
      <c r="EO32" s="1017"/>
      <c r="EP32" s="1017"/>
      <c r="EQ32" s="1017"/>
      <c r="ER32" s="1017"/>
      <c r="ES32" s="1017"/>
      <c r="ET32" s="1017"/>
      <c r="EU32" s="1017"/>
      <c r="EV32" s="1017"/>
      <c r="EW32" s="1017"/>
      <c r="EX32" s="1017"/>
      <c r="EY32" s="1017"/>
      <c r="EZ32" s="1017"/>
      <c r="FA32" s="1017"/>
      <c r="FB32" s="1017"/>
      <c r="FC32" s="1017"/>
      <c r="FD32" s="1017"/>
      <c r="FE32" s="1017"/>
      <c r="FF32" s="1017"/>
      <c r="FG32" s="1017"/>
      <c r="FH32" s="1017"/>
      <c r="FI32" s="1017"/>
      <c r="FJ32" s="1017"/>
      <c r="FK32" s="1017"/>
      <c r="FL32" s="1017"/>
      <c r="FM32" s="1017"/>
      <c r="FN32" s="1017"/>
      <c r="FO32" s="1017"/>
      <c r="FP32" s="1017"/>
      <c r="FQ32" s="1017"/>
      <c r="FR32" s="1017"/>
      <c r="FS32" s="1017"/>
      <c r="FT32" s="1017"/>
      <c r="FU32" s="1017"/>
      <c r="FV32" s="1017"/>
      <c r="FW32" s="1017"/>
      <c r="FX32" s="1017"/>
      <c r="FY32" s="1017"/>
      <c r="FZ32" s="1017"/>
      <c r="GA32" s="1017"/>
      <c r="GB32" s="1017"/>
      <c r="GC32" s="1017"/>
      <c r="GD32" s="1017"/>
      <c r="GE32" s="1017"/>
      <c r="GF32" s="1017"/>
      <c r="GG32" s="1017"/>
      <c r="GH32" s="1017"/>
      <c r="GI32" s="1017"/>
      <c r="GJ32" s="1017"/>
      <c r="GK32" s="1017"/>
      <c r="GL32" s="1017"/>
      <c r="GM32" s="1017"/>
      <c r="GN32" s="1017"/>
      <c r="GO32" s="1017"/>
      <c r="GP32" s="1017"/>
      <c r="GQ32" s="1017"/>
      <c r="GR32" s="1017"/>
      <c r="GS32" s="1017"/>
      <c r="GT32" s="1017"/>
      <c r="GU32" s="1017"/>
      <c r="GV32" s="1017"/>
      <c r="GW32" s="1017"/>
      <c r="GX32" s="1017"/>
      <c r="GY32" s="1017"/>
      <c r="GZ32" s="1017"/>
      <c r="HA32" s="1017"/>
      <c r="HB32" s="1017"/>
      <c r="HC32" s="1017"/>
      <c r="HD32" s="1017"/>
      <c r="HE32" s="1017"/>
      <c r="HF32" s="1017"/>
      <c r="HG32" s="1017"/>
      <c r="HH32" s="1017"/>
      <c r="HI32" s="1017"/>
      <c r="HJ32" s="1017"/>
      <c r="HK32" s="1017"/>
      <c r="HL32" s="1017"/>
      <c r="HM32" s="1017"/>
      <c r="HN32" s="1017"/>
      <c r="HO32" s="1017"/>
      <c r="HP32" s="1017"/>
      <c r="HQ32" s="1017"/>
      <c r="HR32" s="1017"/>
      <c r="HS32" s="1017"/>
      <c r="HT32" s="1017"/>
      <c r="HU32" s="1017"/>
      <c r="HV32" s="1017"/>
      <c r="HW32" s="1017"/>
      <c r="HX32" s="1017"/>
      <c r="HY32" s="1017"/>
      <c r="HZ32" s="1017"/>
      <c r="IA32" s="1017"/>
      <c r="IB32" s="1017"/>
      <c r="IC32" s="1017"/>
      <c r="ID32" s="1017"/>
      <c r="IE32" s="1017"/>
      <c r="IF32" s="1017"/>
      <c r="IG32" s="1017"/>
      <c r="IH32" s="1017"/>
      <c r="II32" s="1017"/>
      <c r="IJ32" s="1017"/>
      <c r="IK32" s="1017"/>
      <c r="IL32" s="1017"/>
      <c r="IM32" s="1017"/>
    </row>
    <row r="33" spans="1:247">
      <c r="A33" s="1052" t="s">
        <v>934</v>
      </c>
      <c r="B33" s="1053"/>
      <c r="C33" s="1050">
        <v>1392.1</v>
      </c>
      <c r="D33" s="1045">
        <f>1298.082+20.706</f>
        <v>1318.788</v>
      </c>
      <c r="E33" s="1046">
        <v>1241.8699999999999</v>
      </c>
      <c r="F33" s="1046">
        <v>1285.173</v>
      </c>
      <c r="G33" s="1047">
        <v>1340.115</v>
      </c>
      <c r="H33" s="1048">
        <v>1318.788</v>
      </c>
      <c r="I33" s="1048">
        <v>1291.8699999999999</v>
      </c>
      <c r="J33" s="1048">
        <v>1285.173</v>
      </c>
      <c r="K33" s="1049">
        <v>1340.115</v>
      </c>
      <c r="L33" s="1028"/>
      <c r="M33" s="1045">
        <v>-92</v>
      </c>
      <c r="N33" s="1050">
        <f t="shared" si="11"/>
        <v>1226.788</v>
      </c>
      <c r="O33" s="1045">
        <v>1267.0788856172139</v>
      </c>
      <c r="P33" s="1046">
        <v>1319.3460460274207</v>
      </c>
      <c r="Q33" s="1046">
        <v>1379.1933265329096</v>
      </c>
      <c r="R33" s="1045">
        <f t="shared" si="25"/>
        <v>24.791114382785963</v>
      </c>
      <c r="S33" s="1046">
        <f t="shared" si="25"/>
        <v>-34.173046027420696</v>
      </c>
      <c r="T33" s="1046">
        <f t="shared" si="25"/>
        <v>-39.078326532909614</v>
      </c>
      <c r="U33" s="1050">
        <f t="shared" si="6"/>
        <v>40.290885617213917</v>
      </c>
      <c r="V33" s="948"/>
      <c r="W33" s="1045">
        <f t="shared" si="26"/>
        <v>1267.0788856172139</v>
      </c>
      <c r="X33" s="1046">
        <v>1241.8699999999999</v>
      </c>
      <c r="Y33" s="1045">
        <f t="shared" si="7"/>
        <v>-25.208885617214037</v>
      </c>
      <c r="Z33" s="1051">
        <f t="shared" si="3"/>
        <v>-2.8167821208699633E-2</v>
      </c>
      <c r="AA33" s="1017"/>
      <c r="AB33" s="952"/>
      <c r="AC33" s="1017"/>
      <c r="AD33" s="1017"/>
      <c r="AE33" s="1017"/>
      <c r="AF33" s="1017"/>
      <c r="AG33" s="1017"/>
      <c r="AH33" s="1017"/>
      <c r="AI33" s="1017"/>
      <c r="AJ33" s="1017"/>
      <c r="AK33" s="1017"/>
      <c r="AL33" s="1017"/>
      <c r="AM33" s="1017"/>
      <c r="AN33" s="1017"/>
      <c r="AO33" s="1017"/>
      <c r="AP33" s="1017"/>
      <c r="AQ33" s="1017"/>
      <c r="AR33" s="1017"/>
      <c r="AS33" s="1017"/>
      <c r="AT33" s="1017"/>
      <c r="AU33" s="1017"/>
      <c r="AV33" s="1017"/>
      <c r="AW33" s="1017"/>
      <c r="AX33" s="1017"/>
      <c r="AY33" s="1017"/>
      <c r="AZ33" s="1017"/>
      <c r="BA33" s="1017"/>
      <c r="BB33" s="1017"/>
      <c r="BC33" s="1017"/>
      <c r="BD33" s="1017"/>
      <c r="BE33" s="1017"/>
      <c r="BF33" s="1017"/>
      <c r="BG33" s="1017"/>
      <c r="BH33" s="1017"/>
      <c r="BI33" s="1017"/>
      <c r="BJ33" s="1017"/>
      <c r="BK33" s="1017"/>
      <c r="BL33" s="1017"/>
      <c r="BM33" s="1017"/>
      <c r="BN33" s="1017"/>
      <c r="BO33" s="1017"/>
      <c r="BP33" s="1017"/>
      <c r="BQ33" s="1017"/>
      <c r="BR33" s="1017"/>
      <c r="BS33" s="1017"/>
      <c r="BT33" s="1017"/>
      <c r="BU33" s="1017"/>
      <c r="BV33" s="1017"/>
      <c r="BW33" s="1017"/>
      <c r="BX33" s="1017"/>
      <c r="BY33" s="1017"/>
      <c r="BZ33" s="1017"/>
      <c r="CA33" s="1017"/>
      <c r="CB33" s="1017"/>
      <c r="CC33" s="1017"/>
      <c r="CD33" s="1017"/>
      <c r="CE33" s="1017"/>
      <c r="CF33" s="1017"/>
      <c r="CG33" s="1017"/>
      <c r="CH33" s="1017"/>
      <c r="CI33" s="1017"/>
      <c r="CJ33" s="1017"/>
      <c r="CK33" s="1017"/>
      <c r="CL33" s="1017"/>
      <c r="CM33" s="1017"/>
      <c r="CN33" s="1017"/>
      <c r="CO33" s="1017"/>
      <c r="CP33" s="1017"/>
      <c r="CQ33" s="1017"/>
      <c r="CR33" s="1017"/>
      <c r="CS33" s="1017"/>
      <c r="CT33" s="1017"/>
      <c r="CU33" s="1017"/>
      <c r="CV33" s="1017"/>
      <c r="CW33" s="1017"/>
      <c r="CX33" s="1017"/>
      <c r="CY33" s="1017"/>
      <c r="CZ33" s="1017"/>
      <c r="DA33" s="1017"/>
      <c r="DB33" s="1017"/>
      <c r="DC33" s="1017"/>
      <c r="DD33" s="1017"/>
      <c r="DE33" s="1017"/>
      <c r="DF33" s="1017"/>
      <c r="DG33" s="1017"/>
      <c r="DH33" s="1017"/>
      <c r="DI33" s="1017"/>
      <c r="DJ33" s="1017"/>
      <c r="DK33" s="1017"/>
      <c r="DL33" s="1017"/>
      <c r="DM33" s="1017"/>
      <c r="DN33" s="1017"/>
      <c r="DO33" s="1017"/>
      <c r="DP33" s="1017"/>
      <c r="DQ33" s="1017"/>
      <c r="DR33" s="1017"/>
      <c r="DS33" s="1017"/>
      <c r="DT33" s="1017"/>
      <c r="DU33" s="1017"/>
      <c r="DV33" s="1017"/>
      <c r="DW33" s="1017"/>
      <c r="DX33" s="1017"/>
      <c r="DY33" s="1017"/>
      <c r="DZ33" s="1017"/>
      <c r="EA33" s="1017"/>
      <c r="EB33" s="1017"/>
      <c r="EC33" s="1017"/>
      <c r="ED33" s="1017"/>
      <c r="EE33" s="1017"/>
      <c r="EF33" s="1017"/>
      <c r="EG33" s="1017"/>
      <c r="EH33" s="1017"/>
      <c r="EI33" s="1017"/>
      <c r="EJ33" s="1017"/>
      <c r="EK33" s="1017"/>
      <c r="EL33" s="1017"/>
      <c r="EM33" s="1017"/>
      <c r="EN33" s="1017"/>
      <c r="EO33" s="1017"/>
      <c r="EP33" s="1017"/>
      <c r="EQ33" s="1017"/>
      <c r="ER33" s="1017"/>
      <c r="ES33" s="1017"/>
      <c r="ET33" s="1017"/>
      <c r="EU33" s="1017"/>
      <c r="EV33" s="1017"/>
      <c r="EW33" s="1017"/>
      <c r="EX33" s="1017"/>
      <c r="EY33" s="1017"/>
      <c r="EZ33" s="1017"/>
      <c r="FA33" s="1017"/>
      <c r="FB33" s="1017"/>
      <c r="FC33" s="1017"/>
      <c r="FD33" s="1017"/>
      <c r="FE33" s="1017"/>
      <c r="FF33" s="1017"/>
      <c r="FG33" s="1017"/>
      <c r="FH33" s="1017"/>
      <c r="FI33" s="1017"/>
      <c r="FJ33" s="1017"/>
      <c r="FK33" s="1017"/>
      <c r="FL33" s="1017"/>
      <c r="FM33" s="1017"/>
      <c r="FN33" s="1017"/>
      <c r="FO33" s="1017"/>
      <c r="FP33" s="1017"/>
      <c r="FQ33" s="1017"/>
      <c r="FR33" s="1017"/>
      <c r="FS33" s="1017"/>
      <c r="FT33" s="1017"/>
      <c r="FU33" s="1017"/>
      <c r="FV33" s="1017"/>
      <c r="FW33" s="1017"/>
      <c r="FX33" s="1017"/>
      <c r="FY33" s="1017"/>
      <c r="FZ33" s="1017"/>
      <c r="GA33" s="1017"/>
      <c r="GB33" s="1017"/>
      <c r="GC33" s="1017"/>
      <c r="GD33" s="1017"/>
      <c r="GE33" s="1017"/>
      <c r="GF33" s="1017"/>
      <c r="GG33" s="1017"/>
      <c r="GH33" s="1017"/>
      <c r="GI33" s="1017"/>
      <c r="GJ33" s="1017"/>
      <c r="GK33" s="1017"/>
      <c r="GL33" s="1017"/>
      <c r="GM33" s="1017"/>
      <c r="GN33" s="1017"/>
      <c r="GO33" s="1017"/>
      <c r="GP33" s="1017"/>
      <c r="GQ33" s="1017"/>
      <c r="GR33" s="1017"/>
      <c r="GS33" s="1017"/>
      <c r="GT33" s="1017"/>
      <c r="GU33" s="1017"/>
      <c r="GV33" s="1017"/>
      <c r="GW33" s="1017"/>
      <c r="GX33" s="1017"/>
      <c r="GY33" s="1017"/>
      <c r="GZ33" s="1017"/>
      <c r="HA33" s="1017"/>
      <c r="HB33" s="1017"/>
      <c r="HC33" s="1017"/>
      <c r="HD33" s="1017"/>
      <c r="HE33" s="1017"/>
      <c r="HF33" s="1017"/>
      <c r="HG33" s="1017"/>
      <c r="HH33" s="1017"/>
      <c r="HI33" s="1017"/>
      <c r="HJ33" s="1017"/>
      <c r="HK33" s="1017"/>
      <c r="HL33" s="1017"/>
      <c r="HM33" s="1017"/>
      <c r="HN33" s="1017"/>
      <c r="HO33" s="1017"/>
      <c r="HP33" s="1017"/>
      <c r="HQ33" s="1017"/>
      <c r="HR33" s="1017"/>
      <c r="HS33" s="1017"/>
      <c r="HT33" s="1017"/>
      <c r="HU33" s="1017"/>
      <c r="HV33" s="1017"/>
      <c r="HW33" s="1017"/>
      <c r="HX33" s="1017"/>
      <c r="HY33" s="1017"/>
      <c r="HZ33" s="1017"/>
      <c r="IA33" s="1017"/>
      <c r="IB33" s="1017"/>
      <c r="IC33" s="1017"/>
      <c r="ID33" s="1017"/>
      <c r="IE33" s="1017"/>
      <c r="IF33" s="1017"/>
      <c r="IG33" s="1017"/>
      <c r="IH33" s="1017"/>
      <c r="II33" s="1017"/>
      <c r="IJ33" s="1017"/>
      <c r="IK33" s="1017"/>
      <c r="IL33" s="1017"/>
      <c r="IM33" s="1017"/>
    </row>
    <row r="34" spans="1:247">
      <c r="A34" s="1052" t="s">
        <v>935</v>
      </c>
      <c r="B34" s="1053"/>
      <c r="C34" s="1045">
        <f>211.5036+2.730807</f>
        <v>214.234407</v>
      </c>
      <c r="D34" s="1045">
        <f>212.239+2.5</f>
        <v>214.739</v>
      </c>
      <c r="E34" s="1046">
        <v>278.90100000000001</v>
      </c>
      <c r="F34" s="1046">
        <v>292.72899999999998</v>
      </c>
      <c r="G34" s="1047">
        <v>304.27699999999999</v>
      </c>
      <c r="H34" s="1048">
        <v>214.739</v>
      </c>
      <c r="I34" s="1048">
        <v>278.90100000000001</v>
      </c>
      <c r="J34" s="1048">
        <v>292.72899999999998</v>
      </c>
      <c r="K34" s="1049">
        <v>304.27699999999999</v>
      </c>
      <c r="L34" s="1028"/>
      <c r="M34" s="1045"/>
      <c r="N34" s="1050">
        <f t="shared" si="11"/>
        <v>214.739</v>
      </c>
      <c r="O34" s="1045">
        <v>221.79158323895805</v>
      </c>
      <c r="P34" s="1046">
        <v>230.94051342031568</v>
      </c>
      <c r="Q34" s="1046">
        <v>241.41628035679386</v>
      </c>
      <c r="R34" s="1045">
        <f t="shared" si="25"/>
        <v>57.109416761041956</v>
      </c>
      <c r="S34" s="1046">
        <f t="shared" si="25"/>
        <v>61.788486579684303</v>
      </c>
      <c r="T34" s="1046">
        <f t="shared" si="25"/>
        <v>62.860719643206124</v>
      </c>
      <c r="U34" s="1050">
        <f t="shared" si="6"/>
        <v>7.0525832389580501</v>
      </c>
      <c r="V34" s="948"/>
      <c r="W34" s="1045">
        <f t="shared" si="26"/>
        <v>221.79158323895805</v>
      </c>
      <c r="X34" s="1046">
        <v>278.90100000000001</v>
      </c>
      <c r="Y34" s="1045">
        <f t="shared" si="7"/>
        <v>57.109416761041956</v>
      </c>
      <c r="Z34" s="1051">
        <f t="shared" si="3"/>
        <v>6.3812731156972252E-2</v>
      </c>
      <c r="AA34" s="1017"/>
      <c r="AB34" s="952"/>
      <c r="AC34" s="1017"/>
      <c r="AD34" s="1017"/>
      <c r="AE34" s="1017"/>
      <c r="AF34" s="1017"/>
      <c r="AG34" s="1017"/>
      <c r="AH34" s="1017"/>
      <c r="AI34" s="1017"/>
      <c r="AJ34" s="1017"/>
      <c r="AK34" s="1017"/>
      <c r="AL34" s="1017"/>
      <c r="AM34" s="1017"/>
      <c r="AN34" s="1017"/>
      <c r="AO34" s="1017"/>
      <c r="AP34" s="1017"/>
      <c r="AQ34" s="1017"/>
      <c r="AR34" s="1017"/>
      <c r="AS34" s="1017"/>
      <c r="AT34" s="1017"/>
      <c r="AU34" s="1017"/>
      <c r="AV34" s="1017"/>
      <c r="AW34" s="1017"/>
      <c r="AX34" s="1017"/>
      <c r="AY34" s="1017"/>
      <c r="AZ34" s="1017"/>
      <c r="BA34" s="1017"/>
      <c r="BB34" s="1017"/>
      <c r="BC34" s="1017"/>
      <c r="BD34" s="1017"/>
      <c r="BE34" s="1017"/>
      <c r="BF34" s="1017"/>
      <c r="BG34" s="1017"/>
      <c r="BH34" s="1017"/>
      <c r="BI34" s="1017"/>
      <c r="BJ34" s="1017"/>
      <c r="BK34" s="1017"/>
      <c r="BL34" s="1017"/>
      <c r="BM34" s="1017"/>
      <c r="BN34" s="1017"/>
      <c r="BO34" s="1017"/>
      <c r="BP34" s="1017"/>
      <c r="BQ34" s="1017"/>
      <c r="BR34" s="1017"/>
      <c r="BS34" s="1017"/>
      <c r="BT34" s="1017"/>
      <c r="BU34" s="1017"/>
      <c r="BV34" s="1017"/>
      <c r="BW34" s="1017"/>
      <c r="BX34" s="1017"/>
      <c r="BY34" s="1017"/>
      <c r="BZ34" s="1017"/>
      <c r="CA34" s="1017"/>
      <c r="CB34" s="1017"/>
      <c r="CC34" s="1017"/>
      <c r="CD34" s="1017"/>
      <c r="CE34" s="1017"/>
      <c r="CF34" s="1017"/>
      <c r="CG34" s="1017"/>
      <c r="CH34" s="1017"/>
      <c r="CI34" s="1017"/>
      <c r="CJ34" s="1017"/>
      <c r="CK34" s="1017"/>
      <c r="CL34" s="1017"/>
      <c r="CM34" s="1017"/>
      <c r="CN34" s="1017"/>
      <c r="CO34" s="1017"/>
      <c r="CP34" s="1017"/>
      <c r="CQ34" s="1017"/>
      <c r="CR34" s="1017"/>
      <c r="CS34" s="1017"/>
      <c r="CT34" s="1017"/>
      <c r="CU34" s="1017"/>
      <c r="CV34" s="1017"/>
      <c r="CW34" s="1017"/>
      <c r="CX34" s="1017"/>
      <c r="CY34" s="1017"/>
      <c r="CZ34" s="1017"/>
      <c r="DA34" s="1017"/>
      <c r="DB34" s="1017"/>
      <c r="DC34" s="1017"/>
      <c r="DD34" s="1017"/>
      <c r="DE34" s="1017"/>
      <c r="DF34" s="1017"/>
      <c r="DG34" s="1017"/>
      <c r="DH34" s="1017"/>
      <c r="DI34" s="1017"/>
      <c r="DJ34" s="1017"/>
      <c r="DK34" s="1017"/>
      <c r="DL34" s="1017"/>
      <c r="DM34" s="1017"/>
      <c r="DN34" s="1017"/>
      <c r="DO34" s="1017"/>
      <c r="DP34" s="1017"/>
      <c r="DQ34" s="1017"/>
      <c r="DR34" s="1017"/>
      <c r="DS34" s="1017"/>
      <c r="DT34" s="1017"/>
      <c r="DU34" s="1017"/>
      <c r="DV34" s="1017"/>
      <c r="DW34" s="1017"/>
      <c r="DX34" s="1017"/>
      <c r="DY34" s="1017"/>
      <c r="DZ34" s="1017"/>
      <c r="EA34" s="1017"/>
      <c r="EB34" s="1017"/>
      <c r="EC34" s="1017"/>
      <c r="ED34" s="1017"/>
      <c r="EE34" s="1017"/>
      <c r="EF34" s="1017"/>
      <c r="EG34" s="1017"/>
      <c r="EH34" s="1017"/>
      <c r="EI34" s="1017"/>
      <c r="EJ34" s="1017"/>
      <c r="EK34" s="1017"/>
      <c r="EL34" s="1017"/>
      <c r="EM34" s="1017"/>
      <c r="EN34" s="1017"/>
      <c r="EO34" s="1017"/>
      <c r="EP34" s="1017"/>
      <c r="EQ34" s="1017"/>
      <c r="ER34" s="1017"/>
      <c r="ES34" s="1017"/>
      <c r="ET34" s="1017"/>
      <c r="EU34" s="1017"/>
      <c r="EV34" s="1017"/>
      <c r="EW34" s="1017"/>
      <c r="EX34" s="1017"/>
      <c r="EY34" s="1017"/>
      <c r="EZ34" s="1017"/>
      <c r="FA34" s="1017"/>
      <c r="FB34" s="1017"/>
      <c r="FC34" s="1017"/>
      <c r="FD34" s="1017"/>
      <c r="FE34" s="1017"/>
      <c r="FF34" s="1017"/>
      <c r="FG34" s="1017"/>
      <c r="FH34" s="1017"/>
      <c r="FI34" s="1017"/>
      <c r="FJ34" s="1017"/>
      <c r="FK34" s="1017"/>
      <c r="FL34" s="1017"/>
      <c r="FM34" s="1017"/>
      <c r="FN34" s="1017"/>
      <c r="FO34" s="1017"/>
      <c r="FP34" s="1017"/>
      <c r="FQ34" s="1017"/>
      <c r="FR34" s="1017"/>
      <c r="FS34" s="1017"/>
      <c r="FT34" s="1017"/>
      <c r="FU34" s="1017"/>
      <c r="FV34" s="1017"/>
      <c r="FW34" s="1017"/>
      <c r="FX34" s="1017"/>
      <c r="FY34" s="1017"/>
      <c r="FZ34" s="1017"/>
      <c r="GA34" s="1017"/>
      <c r="GB34" s="1017"/>
      <c r="GC34" s="1017"/>
      <c r="GD34" s="1017"/>
      <c r="GE34" s="1017"/>
      <c r="GF34" s="1017"/>
      <c r="GG34" s="1017"/>
      <c r="GH34" s="1017"/>
      <c r="GI34" s="1017"/>
      <c r="GJ34" s="1017"/>
      <c r="GK34" s="1017"/>
      <c r="GL34" s="1017"/>
      <c r="GM34" s="1017"/>
      <c r="GN34" s="1017"/>
      <c r="GO34" s="1017"/>
      <c r="GP34" s="1017"/>
      <c r="GQ34" s="1017"/>
      <c r="GR34" s="1017"/>
      <c r="GS34" s="1017"/>
      <c r="GT34" s="1017"/>
      <c r="GU34" s="1017"/>
      <c r="GV34" s="1017"/>
      <c r="GW34" s="1017"/>
      <c r="GX34" s="1017"/>
      <c r="GY34" s="1017"/>
      <c r="GZ34" s="1017"/>
      <c r="HA34" s="1017"/>
      <c r="HB34" s="1017"/>
      <c r="HC34" s="1017"/>
      <c r="HD34" s="1017"/>
      <c r="HE34" s="1017"/>
      <c r="HF34" s="1017"/>
      <c r="HG34" s="1017"/>
      <c r="HH34" s="1017"/>
      <c r="HI34" s="1017"/>
      <c r="HJ34" s="1017"/>
      <c r="HK34" s="1017"/>
      <c r="HL34" s="1017"/>
      <c r="HM34" s="1017"/>
      <c r="HN34" s="1017"/>
      <c r="HO34" s="1017"/>
      <c r="HP34" s="1017"/>
      <c r="HQ34" s="1017"/>
      <c r="HR34" s="1017"/>
      <c r="HS34" s="1017"/>
      <c r="HT34" s="1017"/>
      <c r="HU34" s="1017"/>
      <c r="HV34" s="1017"/>
      <c r="HW34" s="1017"/>
      <c r="HX34" s="1017"/>
      <c r="HY34" s="1017"/>
      <c r="HZ34" s="1017"/>
      <c r="IA34" s="1017"/>
      <c r="IB34" s="1017"/>
      <c r="IC34" s="1017"/>
      <c r="ID34" s="1017"/>
      <c r="IE34" s="1017"/>
      <c r="IF34" s="1017"/>
      <c r="IG34" s="1017"/>
      <c r="IH34" s="1017"/>
      <c r="II34" s="1017"/>
      <c r="IJ34" s="1017"/>
      <c r="IK34" s="1017"/>
      <c r="IL34" s="1017"/>
      <c r="IM34" s="1017"/>
    </row>
    <row r="35" spans="1:247">
      <c r="A35" s="1052" t="s">
        <v>417</v>
      </c>
      <c r="B35" s="1053"/>
      <c r="C35" s="1050">
        <v>180.63499999999999</v>
      </c>
      <c r="D35" s="1045">
        <v>176.696</v>
      </c>
      <c r="E35" s="1046">
        <v>166.386</v>
      </c>
      <c r="F35" s="1046">
        <v>166.80699999999999</v>
      </c>
      <c r="G35" s="1047">
        <v>170.61099999999999</v>
      </c>
      <c r="H35" s="1048">
        <v>176.696</v>
      </c>
      <c r="I35" s="1048">
        <v>166.386</v>
      </c>
      <c r="J35" s="1048">
        <v>166.80699999999999</v>
      </c>
      <c r="K35" s="1049">
        <v>170.61099999999999</v>
      </c>
      <c r="L35" s="1028"/>
      <c r="M35" s="1045"/>
      <c r="N35" s="1050">
        <f t="shared" si="11"/>
        <v>176.696</v>
      </c>
      <c r="O35" s="1045">
        <f>O113</f>
        <v>180.21356856766809</v>
      </c>
      <c r="P35" s="1046">
        <f t="shared" ref="P35:Q35" si="27">P113</f>
        <v>183.37722935910614</v>
      </c>
      <c r="Q35" s="1046">
        <f t="shared" si="27"/>
        <v>187.17014183090706</v>
      </c>
      <c r="R35" s="1045">
        <f t="shared" si="25"/>
        <v>-13.827568567668095</v>
      </c>
      <c r="S35" s="1046">
        <f t="shared" si="25"/>
        <v>-16.57022935910615</v>
      </c>
      <c r="T35" s="1046">
        <f t="shared" si="25"/>
        <v>-16.559141830907066</v>
      </c>
      <c r="U35" s="1050">
        <f t="shared" si="6"/>
        <v>3.5175685676680928</v>
      </c>
      <c r="V35" s="948"/>
      <c r="W35" s="1045">
        <f t="shared" si="26"/>
        <v>180.21356856766809</v>
      </c>
      <c r="X35" s="1046">
        <v>166.386</v>
      </c>
      <c r="Y35" s="1045">
        <f t="shared" si="7"/>
        <v>-13.827568567668095</v>
      </c>
      <c r="Z35" s="1051">
        <f t="shared" si="3"/>
        <v>-1.5450602818362687E-2</v>
      </c>
      <c r="AA35" s="1017"/>
      <c r="AB35" s="952"/>
      <c r="AC35" s="1017"/>
      <c r="AD35" s="1017"/>
      <c r="AE35" s="1017"/>
      <c r="AF35" s="1017"/>
      <c r="AG35" s="1017"/>
      <c r="AH35" s="1017"/>
      <c r="AI35" s="1017"/>
      <c r="AJ35" s="1017"/>
      <c r="AK35" s="1017"/>
      <c r="AL35" s="1017"/>
      <c r="AM35" s="1017"/>
      <c r="AN35" s="1017"/>
      <c r="AO35" s="1017"/>
      <c r="AP35" s="1017"/>
      <c r="AQ35" s="1017"/>
      <c r="AR35" s="1017"/>
      <c r="AS35" s="1017"/>
      <c r="AT35" s="1017"/>
      <c r="AU35" s="1017"/>
      <c r="AV35" s="1017"/>
      <c r="AW35" s="1017"/>
      <c r="AX35" s="1017"/>
      <c r="AY35" s="1017"/>
      <c r="AZ35" s="1017"/>
      <c r="BA35" s="1017"/>
      <c r="BB35" s="1017"/>
      <c r="BC35" s="1017"/>
      <c r="BD35" s="1017"/>
      <c r="BE35" s="1017"/>
      <c r="BF35" s="1017"/>
      <c r="BG35" s="1017"/>
      <c r="BH35" s="1017"/>
      <c r="BI35" s="1017"/>
      <c r="BJ35" s="1017"/>
      <c r="BK35" s="1017"/>
      <c r="BL35" s="1017"/>
      <c r="BM35" s="1017"/>
      <c r="BN35" s="1017"/>
      <c r="BO35" s="1017"/>
      <c r="BP35" s="1017"/>
      <c r="BQ35" s="1017"/>
      <c r="BR35" s="1017"/>
      <c r="BS35" s="1017"/>
      <c r="BT35" s="1017"/>
      <c r="BU35" s="1017"/>
      <c r="BV35" s="1017"/>
      <c r="BW35" s="1017"/>
      <c r="BX35" s="1017"/>
      <c r="BY35" s="1017"/>
      <c r="BZ35" s="1017"/>
      <c r="CA35" s="1017"/>
      <c r="CB35" s="1017"/>
      <c r="CC35" s="1017"/>
      <c r="CD35" s="1017"/>
      <c r="CE35" s="1017"/>
      <c r="CF35" s="1017"/>
      <c r="CG35" s="1017"/>
      <c r="CH35" s="1017"/>
      <c r="CI35" s="1017"/>
      <c r="CJ35" s="1017"/>
      <c r="CK35" s="1017"/>
      <c r="CL35" s="1017"/>
      <c r="CM35" s="1017"/>
      <c r="CN35" s="1017"/>
      <c r="CO35" s="1017"/>
      <c r="CP35" s="1017"/>
      <c r="CQ35" s="1017"/>
      <c r="CR35" s="1017"/>
      <c r="CS35" s="1017"/>
      <c r="CT35" s="1017"/>
      <c r="CU35" s="1017"/>
      <c r="CV35" s="1017"/>
      <c r="CW35" s="1017"/>
      <c r="CX35" s="1017"/>
      <c r="CY35" s="1017"/>
      <c r="CZ35" s="1017"/>
      <c r="DA35" s="1017"/>
      <c r="DB35" s="1017"/>
      <c r="DC35" s="1017"/>
      <c r="DD35" s="1017"/>
      <c r="DE35" s="1017"/>
      <c r="DF35" s="1017"/>
      <c r="DG35" s="1017"/>
      <c r="DH35" s="1017"/>
      <c r="DI35" s="1017"/>
      <c r="DJ35" s="1017"/>
      <c r="DK35" s="1017"/>
      <c r="DL35" s="1017"/>
      <c r="DM35" s="1017"/>
      <c r="DN35" s="1017"/>
      <c r="DO35" s="1017"/>
      <c r="DP35" s="1017"/>
      <c r="DQ35" s="1017"/>
      <c r="DR35" s="1017"/>
      <c r="DS35" s="1017"/>
      <c r="DT35" s="1017"/>
      <c r="DU35" s="1017"/>
      <c r="DV35" s="1017"/>
      <c r="DW35" s="1017"/>
      <c r="DX35" s="1017"/>
      <c r="DY35" s="1017"/>
      <c r="DZ35" s="1017"/>
      <c r="EA35" s="1017"/>
      <c r="EB35" s="1017"/>
      <c r="EC35" s="1017"/>
      <c r="ED35" s="1017"/>
      <c r="EE35" s="1017"/>
      <c r="EF35" s="1017"/>
      <c r="EG35" s="1017"/>
      <c r="EH35" s="1017"/>
      <c r="EI35" s="1017"/>
      <c r="EJ35" s="1017"/>
      <c r="EK35" s="1017"/>
      <c r="EL35" s="1017"/>
      <c r="EM35" s="1017"/>
      <c r="EN35" s="1017"/>
      <c r="EO35" s="1017"/>
      <c r="EP35" s="1017"/>
      <c r="EQ35" s="1017"/>
      <c r="ER35" s="1017"/>
      <c r="ES35" s="1017"/>
      <c r="ET35" s="1017"/>
      <c r="EU35" s="1017"/>
      <c r="EV35" s="1017"/>
      <c r="EW35" s="1017"/>
      <c r="EX35" s="1017"/>
      <c r="EY35" s="1017"/>
      <c r="EZ35" s="1017"/>
      <c r="FA35" s="1017"/>
      <c r="FB35" s="1017"/>
      <c r="FC35" s="1017"/>
      <c r="FD35" s="1017"/>
      <c r="FE35" s="1017"/>
      <c r="FF35" s="1017"/>
      <c r="FG35" s="1017"/>
      <c r="FH35" s="1017"/>
      <c r="FI35" s="1017"/>
      <c r="FJ35" s="1017"/>
      <c r="FK35" s="1017"/>
      <c r="FL35" s="1017"/>
      <c r="FM35" s="1017"/>
      <c r="FN35" s="1017"/>
      <c r="FO35" s="1017"/>
      <c r="FP35" s="1017"/>
      <c r="FQ35" s="1017"/>
      <c r="FR35" s="1017"/>
      <c r="FS35" s="1017"/>
      <c r="FT35" s="1017"/>
      <c r="FU35" s="1017"/>
      <c r="FV35" s="1017"/>
      <c r="FW35" s="1017"/>
      <c r="FX35" s="1017"/>
      <c r="FY35" s="1017"/>
      <c r="FZ35" s="1017"/>
      <c r="GA35" s="1017"/>
      <c r="GB35" s="1017"/>
      <c r="GC35" s="1017"/>
      <c r="GD35" s="1017"/>
      <c r="GE35" s="1017"/>
      <c r="GF35" s="1017"/>
      <c r="GG35" s="1017"/>
      <c r="GH35" s="1017"/>
      <c r="GI35" s="1017"/>
      <c r="GJ35" s="1017"/>
      <c r="GK35" s="1017"/>
      <c r="GL35" s="1017"/>
      <c r="GM35" s="1017"/>
      <c r="GN35" s="1017"/>
      <c r="GO35" s="1017"/>
      <c r="GP35" s="1017"/>
      <c r="GQ35" s="1017"/>
      <c r="GR35" s="1017"/>
      <c r="GS35" s="1017"/>
      <c r="GT35" s="1017"/>
      <c r="GU35" s="1017"/>
      <c r="GV35" s="1017"/>
      <c r="GW35" s="1017"/>
      <c r="GX35" s="1017"/>
      <c r="GY35" s="1017"/>
      <c r="GZ35" s="1017"/>
      <c r="HA35" s="1017"/>
      <c r="HB35" s="1017"/>
      <c r="HC35" s="1017"/>
      <c r="HD35" s="1017"/>
      <c r="HE35" s="1017"/>
      <c r="HF35" s="1017"/>
      <c r="HG35" s="1017"/>
      <c r="HH35" s="1017"/>
      <c r="HI35" s="1017"/>
      <c r="HJ35" s="1017"/>
      <c r="HK35" s="1017"/>
      <c r="HL35" s="1017"/>
      <c r="HM35" s="1017"/>
      <c r="HN35" s="1017"/>
      <c r="HO35" s="1017"/>
      <c r="HP35" s="1017"/>
      <c r="HQ35" s="1017"/>
      <c r="HR35" s="1017"/>
      <c r="HS35" s="1017"/>
      <c r="HT35" s="1017"/>
      <c r="HU35" s="1017"/>
      <c r="HV35" s="1017"/>
      <c r="HW35" s="1017"/>
      <c r="HX35" s="1017"/>
      <c r="HY35" s="1017"/>
      <c r="HZ35" s="1017"/>
      <c r="IA35" s="1017"/>
      <c r="IB35" s="1017"/>
      <c r="IC35" s="1017"/>
      <c r="ID35" s="1017"/>
      <c r="IE35" s="1017"/>
      <c r="IF35" s="1017"/>
      <c r="IG35" s="1017"/>
      <c r="IH35" s="1017"/>
      <c r="II35" s="1017"/>
      <c r="IJ35" s="1017"/>
      <c r="IK35" s="1017"/>
      <c r="IL35" s="1017"/>
      <c r="IM35" s="1017"/>
    </row>
    <row r="36" spans="1:247">
      <c r="A36" s="1052" t="s">
        <v>936</v>
      </c>
      <c r="B36" s="1053"/>
      <c r="C36" s="1071">
        <v>263.12085999999999</v>
      </c>
      <c r="D36" s="1068">
        <f>294.331+103.128</f>
        <v>397.459</v>
      </c>
      <c r="E36" s="1069">
        <v>409.77506599999998</v>
      </c>
      <c r="F36" s="1069">
        <v>411.50299999999999</v>
      </c>
      <c r="G36" s="1070">
        <v>413.22199999999998</v>
      </c>
      <c r="H36" s="1072">
        <v>299.93700000000001</v>
      </c>
      <c r="I36" s="1072">
        <v>311.93506600000001</v>
      </c>
      <c r="J36" s="1072">
        <v>313.16300000000001</v>
      </c>
      <c r="K36" s="1073">
        <v>314.38199999999995</v>
      </c>
      <c r="L36" s="1028"/>
      <c r="M36" s="1068"/>
      <c r="N36" s="1050">
        <f t="shared" si="11"/>
        <v>299.93700000000001</v>
      </c>
      <c r="O36" s="1068">
        <f>I36</f>
        <v>311.93506600000001</v>
      </c>
      <c r="P36" s="1069">
        <f t="shared" ref="P36:Q37" si="28">J36</f>
        <v>313.16300000000001</v>
      </c>
      <c r="Q36" s="1069">
        <f t="shared" si="28"/>
        <v>314.38199999999995</v>
      </c>
      <c r="R36" s="1068">
        <f t="shared" si="25"/>
        <v>0</v>
      </c>
      <c r="S36" s="1069">
        <f t="shared" si="25"/>
        <v>0</v>
      </c>
      <c r="T36" s="1069">
        <f t="shared" si="25"/>
        <v>0</v>
      </c>
      <c r="U36" s="1071">
        <f t="shared" si="6"/>
        <v>11.998065999999994</v>
      </c>
      <c r="V36" s="948"/>
      <c r="W36" s="1045">
        <f t="shared" si="26"/>
        <v>311.93506600000001</v>
      </c>
      <c r="X36" s="1046">
        <v>311.93506600000001</v>
      </c>
      <c r="Y36" s="1045">
        <f t="shared" si="7"/>
        <v>0</v>
      </c>
      <c r="Z36" s="1051">
        <f t="shared" si="3"/>
        <v>0</v>
      </c>
      <c r="AA36" s="1017"/>
      <c r="AB36" s="952"/>
      <c r="AC36" s="1017"/>
      <c r="AD36" s="959"/>
      <c r="AE36" s="959"/>
      <c r="AF36" s="959"/>
      <c r="AG36" s="959"/>
      <c r="AH36" s="959"/>
      <c r="AI36" s="959"/>
      <c r="AJ36" s="1017"/>
      <c r="AK36" s="1017"/>
      <c r="AL36" s="1017"/>
      <c r="AM36" s="1017"/>
      <c r="AN36" s="1017"/>
      <c r="AO36" s="1017"/>
      <c r="AP36" s="1017"/>
      <c r="AQ36" s="1017"/>
      <c r="AR36" s="1017"/>
      <c r="AS36" s="1017"/>
      <c r="AT36" s="1017"/>
      <c r="AU36" s="1017"/>
      <c r="AV36" s="1017"/>
      <c r="AW36" s="1017"/>
      <c r="AX36" s="1017"/>
      <c r="AY36" s="1017"/>
      <c r="AZ36" s="1017"/>
      <c r="BA36" s="1017"/>
      <c r="BB36" s="1017"/>
      <c r="BC36" s="1017"/>
      <c r="BD36" s="1017"/>
      <c r="BE36" s="1017"/>
      <c r="BF36" s="1017"/>
      <c r="BG36" s="1017"/>
      <c r="BH36" s="1017"/>
      <c r="BI36" s="1017"/>
      <c r="BJ36" s="1017"/>
      <c r="BK36" s="1017"/>
      <c r="BL36" s="1017"/>
      <c r="BM36" s="1017"/>
      <c r="BN36" s="1017"/>
      <c r="BO36" s="1017"/>
      <c r="BP36" s="1017"/>
      <c r="BQ36" s="1017"/>
      <c r="BR36" s="1017"/>
      <c r="BS36" s="1017"/>
      <c r="BT36" s="1017"/>
      <c r="BU36" s="1017"/>
      <c r="BV36" s="1017"/>
      <c r="BW36" s="1017"/>
      <c r="BX36" s="1017"/>
      <c r="BY36" s="1017"/>
      <c r="BZ36" s="1017"/>
      <c r="CA36" s="1017"/>
      <c r="CB36" s="1017"/>
      <c r="CC36" s="1017"/>
      <c r="CD36" s="1017"/>
      <c r="CE36" s="1017"/>
      <c r="CF36" s="1017"/>
      <c r="CG36" s="1017"/>
      <c r="CH36" s="1017"/>
      <c r="CI36" s="1017"/>
      <c r="CJ36" s="1017"/>
      <c r="CK36" s="1017"/>
      <c r="CL36" s="1017"/>
      <c r="CM36" s="1017"/>
      <c r="CN36" s="1017"/>
      <c r="CO36" s="1017"/>
      <c r="CP36" s="1017"/>
      <c r="CQ36" s="1017"/>
      <c r="CR36" s="1017"/>
      <c r="CS36" s="1017"/>
      <c r="CT36" s="1017"/>
      <c r="CU36" s="1017"/>
      <c r="CV36" s="1017"/>
      <c r="CW36" s="1017"/>
      <c r="CX36" s="1017"/>
      <c r="CY36" s="1017"/>
      <c r="CZ36" s="1017"/>
      <c r="DA36" s="1017"/>
      <c r="DB36" s="1017"/>
      <c r="DC36" s="1017"/>
      <c r="DD36" s="1017"/>
      <c r="DE36" s="1017"/>
      <c r="DF36" s="1017"/>
      <c r="DG36" s="1017"/>
      <c r="DH36" s="1017"/>
      <c r="DI36" s="1017"/>
      <c r="DJ36" s="1017"/>
      <c r="DK36" s="1017"/>
      <c r="DL36" s="1017"/>
      <c r="DM36" s="1017"/>
      <c r="DN36" s="1017"/>
      <c r="DO36" s="1017"/>
      <c r="DP36" s="1017"/>
      <c r="DQ36" s="1017"/>
      <c r="DR36" s="1017"/>
      <c r="DS36" s="1017"/>
      <c r="DT36" s="1017"/>
      <c r="DU36" s="1017"/>
      <c r="DV36" s="1017"/>
      <c r="DW36" s="1017"/>
      <c r="DX36" s="1017"/>
      <c r="DY36" s="1017"/>
      <c r="DZ36" s="1017"/>
      <c r="EA36" s="1017"/>
      <c r="EB36" s="1017"/>
      <c r="EC36" s="1017"/>
      <c r="ED36" s="1017"/>
      <c r="EE36" s="1017"/>
      <c r="EF36" s="1017"/>
      <c r="EG36" s="1017"/>
      <c r="EH36" s="1017"/>
      <c r="EI36" s="1017"/>
      <c r="EJ36" s="1017"/>
      <c r="EK36" s="1017"/>
      <c r="EL36" s="1017"/>
      <c r="EM36" s="1017"/>
      <c r="EN36" s="1017"/>
      <c r="EO36" s="1017"/>
      <c r="EP36" s="1017"/>
      <c r="EQ36" s="1017"/>
      <c r="ER36" s="1017"/>
      <c r="ES36" s="1017"/>
      <c r="ET36" s="1017"/>
      <c r="EU36" s="1017"/>
      <c r="EV36" s="1017"/>
      <c r="EW36" s="1017"/>
      <c r="EX36" s="1017"/>
      <c r="EY36" s="1017"/>
      <c r="EZ36" s="1017"/>
      <c r="FA36" s="1017"/>
      <c r="FB36" s="1017"/>
      <c r="FC36" s="1017"/>
      <c r="FD36" s="1017"/>
      <c r="FE36" s="1017"/>
      <c r="FF36" s="1017"/>
      <c r="FG36" s="1017"/>
      <c r="FH36" s="1017"/>
      <c r="FI36" s="1017"/>
      <c r="FJ36" s="1017"/>
      <c r="FK36" s="1017"/>
      <c r="FL36" s="1017"/>
      <c r="FM36" s="1017"/>
      <c r="FN36" s="1017"/>
      <c r="FO36" s="1017"/>
      <c r="FP36" s="1017"/>
      <c r="FQ36" s="1017"/>
      <c r="FR36" s="1017"/>
      <c r="FS36" s="1017"/>
      <c r="FT36" s="1017"/>
      <c r="FU36" s="1017"/>
      <c r="FV36" s="1017"/>
      <c r="FW36" s="1017"/>
      <c r="FX36" s="1017"/>
      <c r="FY36" s="1017"/>
      <c r="FZ36" s="1017"/>
      <c r="GA36" s="1017"/>
      <c r="GB36" s="1017"/>
      <c r="GC36" s="1017"/>
      <c r="GD36" s="1017"/>
      <c r="GE36" s="1017"/>
      <c r="GF36" s="1017"/>
      <c r="GG36" s="1017"/>
      <c r="GH36" s="1017"/>
      <c r="GI36" s="1017"/>
      <c r="GJ36" s="1017"/>
      <c r="GK36" s="1017"/>
      <c r="GL36" s="1017"/>
      <c r="GM36" s="1017"/>
      <c r="GN36" s="1017"/>
      <c r="GO36" s="1017"/>
      <c r="GP36" s="1017"/>
      <c r="GQ36" s="1017"/>
      <c r="GR36" s="1017"/>
      <c r="GS36" s="1017"/>
      <c r="GT36" s="1017"/>
      <c r="GU36" s="1017"/>
      <c r="GV36" s="1017"/>
      <c r="GW36" s="1017"/>
      <c r="GX36" s="1017"/>
      <c r="GY36" s="1017"/>
      <c r="GZ36" s="1017"/>
      <c r="HA36" s="1017"/>
      <c r="HB36" s="1017"/>
      <c r="HC36" s="1017"/>
      <c r="HD36" s="1017"/>
      <c r="HE36" s="1017"/>
      <c r="HF36" s="1017"/>
      <c r="HG36" s="1017"/>
      <c r="HH36" s="1017"/>
      <c r="HI36" s="1017"/>
      <c r="HJ36" s="1017"/>
      <c r="HK36" s="1017"/>
      <c r="HL36" s="1017"/>
      <c r="HM36" s="1017"/>
      <c r="HN36" s="1017"/>
      <c r="HO36" s="1017"/>
      <c r="HP36" s="1017"/>
      <c r="HQ36" s="1017"/>
      <c r="HR36" s="1017"/>
      <c r="HS36" s="1017"/>
      <c r="HT36" s="1017"/>
      <c r="HU36" s="1017"/>
      <c r="HV36" s="1017"/>
      <c r="HW36" s="1017"/>
      <c r="HX36" s="1017"/>
      <c r="HY36" s="1017"/>
      <c r="HZ36" s="1017"/>
      <c r="IA36" s="1017"/>
      <c r="IB36" s="1017"/>
      <c r="IC36" s="1017"/>
      <c r="ID36" s="1017"/>
      <c r="IE36" s="1017"/>
      <c r="IF36" s="1017"/>
      <c r="IG36" s="1017"/>
      <c r="IH36" s="1017"/>
      <c r="II36" s="1017"/>
      <c r="IJ36" s="1017"/>
      <c r="IK36" s="1017"/>
      <c r="IL36" s="1017"/>
      <c r="IM36" s="1017"/>
    </row>
    <row r="37" spans="1:247">
      <c r="A37" s="1052" t="s">
        <v>432</v>
      </c>
      <c r="B37" s="1053"/>
      <c r="C37" s="1050">
        <f>C30-SUM(C31:C36)</f>
        <v>1.5205094999982975</v>
      </c>
      <c r="D37" s="1045">
        <f>D30-SUM(D31:D36)</f>
        <v>2.4019999999982247</v>
      </c>
      <c r="E37" s="1046">
        <f t="shared" ref="E37:G37" si="29">E30-SUM(E31:E36)</f>
        <v>-0.29106599999977334</v>
      </c>
      <c r="F37" s="1046">
        <f t="shared" si="29"/>
        <v>0</v>
      </c>
      <c r="G37" s="1047">
        <f t="shared" si="29"/>
        <v>0</v>
      </c>
      <c r="H37" s="1048">
        <v>-1.7754686609805503E-12</v>
      </c>
      <c r="I37" s="1048">
        <v>3.4000000226686033E-5</v>
      </c>
      <c r="J37" s="1048">
        <v>0</v>
      </c>
      <c r="K37" s="1049">
        <v>0</v>
      </c>
      <c r="L37" s="1028"/>
      <c r="M37" s="1045"/>
      <c r="N37" s="1050">
        <f t="shared" si="11"/>
        <v>-1.7754686609805503E-12</v>
      </c>
      <c r="O37" s="1045">
        <f>I37</f>
        <v>3.4000000226686033E-5</v>
      </c>
      <c r="P37" s="1046">
        <f t="shared" si="28"/>
        <v>0</v>
      </c>
      <c r="Q37" s="1046">
        <f t="shared" si="28"/>
        <v>0</v>
      </c>
      <c r="R37" s="1045">
        <f t="shared" si="25"/>
        <v>0</v>
      </c>
      <c r="S37" s="1046">
        <f t="shared" si="25"/>
        <v>0</v>
      </c>
      <c r="T37" s="1046">
        <f t="shared" si="25"/>
        <v>0</v>
      </c>
      <c r="U37" s="1050">
        <f t="shared" si="6"/>
        <v>3.4000002002154694E-5</v>
      </c>
      <c r="V37" s="948"/>
      <c r="W37" s="1045">
        <f t="shared" si="26"/>
        <v>3.4000000226686033E-5</v>
      </c>
      <c r="X37" s="1046">
        <v>-0.29106599999977334</v>
      </c>
      <c r="Y37" s="1045">
        <f t="shared" si="7"/>
        <v>-0.29110000000000003</v>
      </c>
      <c r="Z37" s="1051">
        <f t="shared" si="3"/>
        <v>-3.2526835491106687E-4</v>
      </c>
      <c r="AA37" s="1017"/>
      <c r="AB37" s="952"/>
      <c r="AC37" s="1017"/>
      <c r="AD37" s="1017"/>
      <c r="AE37" s="1017"/>
      <c r="AF37" s="1017"/>
      <c r="AG37" s="1017"/>
      <c r="AH37" s="1017"/>
      <c r="AI37" s="1017"/>
      <c r="AJ37" s="1017"/>
      <c r="AK37" s="1017"/>
      <c r="AL37" s="1017"/>
      <c r="AM37" s="1017"/>
      <c r="AN37" s="1017"/>
      <c r="AO37" s="1017"/>
      <c r="AP37" s="1017"/>
      <c r="AQ37" s="1017"/>
      <c r="AR37" s="1017"/>
      <c r="AS37" s="1017"/>
      <c r="AT37" s="1017"/>
      <c r="AU37" s="1017"/>
      <c r="AV37" s="1017"/>
      <c r="AW37" s="1017"/>
      <c r="AX37" s="1017"/>
      <c r="AY37" s="1017"/>
      <c r="AZ37" s="1017"/>
      <c r="BA37" s="1017"/>
      <c r="BB37" s="1017"/>
      <c r="BC37" s="1017"/>
      <c r="BD37" s="1017"/>
      <c r="BE37" s="1017"/>
      <c r="BF37" s="1017"/>
      <c r="BG37" s="1017"/>
      <c r="BH37" s="1017"/>
      <c r="BI37" s="1017"/>
      <c r="BJ37" s="1017"/>
      <c r="BK37" s="1017"/>
      <c r="BL37" s="1017"/>
      <c r="BM37" s="1017"/>
      <c r="BN37" s="1017"/>
      <c r="BO37" s="1017"/>
      <c r="BP37" s="1017"/>
      <c r="BQ37" s="1017"/>
      <c r="BR37" s="1017"/>
      <c r="BS37" s="1017"/>
      <c r="BT37" s="1017"/>
      <c r="BU37" s="1017"/>
      <c r="BV37" s="1017"/>
      <c r="BW37" s="1017"/>
      <c r="BX37" s="1017"/>
      <c r="BY37" s="1017"/>
      <c r="BZ37" s="1017"/>
      <c r="CA37" s="1017"/>
      <c r="CB37" s="1017"/>
      <c r="CC37" s="1017"/>
      <c r="CD37" s="1017"/>
      <c r="CE37" s="1017"/>
      <c r="CF37" s="1017"/>
      <c r="CG37" s="1017"/>
      <c r="CH37" s="1017"/>
      <c r="CI37" s="1017"/>
      <c r="CJ37" s="1017"/>
      <c r="CK37" s="1017"/>
      <c r="CL37" s="1017"/>
      <c r="CM37" s="1017"/>
      <c r="CN37" s="1017"/>
      <c r="CO37" s="1017"/>
      <c r="CP37" s="1017"/>
      <c r="CQ37" s="1017"/>
      <c r="CR37" s="1017"/>
      <c r="CS37" s="1017"/>
      <c r="CT37" s="1017"/>
      <c r="CU37" s="1017"/>
      <c r="CV37" s="1017"/>
      <c r="CW37" s="1017"/>
      <c r="CX37" s="1017"/>
      <c r="CY37" s="1017"/>
      <c r="CZ37" s="1017"/>
      <c r="DA37" s="1017"/>
      <c r="DB37" s="1017"/>
      <c r="DC37" s="1017"/>
      <c r="DD37" s="1017"/>
      <c r="DE37" s="1017"/>
      <c r="DF37" s="1017"/>
      <c r="DG37" s="1017"/>
      <c r="DH37" s="1017"/>
      <c r="DI37" s="1017"/>
      <c r="DJ37" s="1017"/>
      <c r="DK37" s="1017"/>
      <c r="DL37" s="1017"/>
      <c r="DM37" s="1017"/>
      <c r="DN37" s="1017"/>
      <c r="DO37" s="1017"/>
      <c r="DP37" s="1017"/>
      <c r="DQ37" s="1017"/>
      <c r="DR37" s="1017"/>
      <c r="DS37" s="1017"/>
      <c r="DT37" s="1017"/>
      <c r="DU37" s="1017"/>
      <c r="DV37" s="1017"/>
      <c r="DW37" s="1017"/>
      <c r="DX37" s="1017"/>
      <c r="DY37" s="1017"/>
      <c r="DZ37" s="1017"/>
      <c r="EA37" s="1017"/>
      <c r="EB37" s="1017"/>
      <c r="EC37" s="1017"/>
      <c r="ED37" s="1017"/>
      <c r="EE37" s="1017"/>
      <c r="EF37" s="1017"/>
      <c r="EG37" s="1017"/>
      <c r="EH37" s="1017"/>
      <c r="EI37" s="1017"/>
      <c r="EJ37" s="1017"/>
      <c r="EK37" s="1017"/>
      <c r="EL37" s="1017"/>
      <c r="EM37" s="1017"/>
      <c r="EN37" s="1017"/>
      <c r="EO37" s="1017"/>
      <c r="EP37" s="1017"/>
      <c r="EQ37" s="1017"/>
      <c r="ER37" s="1017"/>
      <c r="ES37" s="1017"/>
      <c r="ET37" s="1017"/>
      <c r="EU37" s="1017"/>
      <c r="EV37" s="1017"/>
      <c r="EW37" s="1017"/>
      <c r="EX37" s="1017"/>
      <c r="EY37" s="1017"/>
      <c r="EZ37" s="1017"/>
      <c r="FA37" s="1017"/>
      <c r="FB37" s="1017"/>
      <c r="FC37" s="1017"/>
      <c r="FD37" s="1017"/>
      <c r="FE37" s="1017"/>
      <c r="FF37" s="1017"/>
      <c r="FG37" s="1017"/>
      <c r="FH37" s="1017"/>
      <c r="FI37" s="1017"/>
      <c r="FJ37" s="1017"/>
      <c r="FK37" s="1017"/>
      <c r="FL37" s="1017"/>
      <c r="FM37" s="1017"/>
      <c r="FN37" s="1017"/>
      <c r="FO37" s="1017"/>
      <c r="FP37" s="1017"/>
      <c r="FQ37" s="1017"/>
      <c r="FR37" s="1017"/>
      <c r="FS37" s="1017"/>
      <c r="FT37" s="1017"/>
      <c r="FU37" s="1017"/>
      <c r="FV37" s="1017"/>
      <c r="FW37" s="1017"/>
      <c r="FX37" s="1017"/>
      <c r="FY37" s="1017"/>
      <c r="FZ37" s="1017"/>
      <c r="GA37" s="1017"/>
      <c r="GB37" s="1017"/>
      <c r="GC37" s="1017"/>
      <c r="GD37" s="1017"/>
      <c r="GE37" s="1017"/>
      <c r="GF37" s="1017"/>
      <c r="GG37" s="1017"/>
      <c r="GH37" s="1017"/>
      <c r="GI37" s="1017"/>
      <c r="GJ37" s="1017"/>
      <c r="GK37" s="1017"/>
      <c r="GL37" s="1017"/>
      <c r="GM37" s="1017"/>
      <c r="GN37" s="1017"/>
      <c r="GO37" s="1017"/>
      <c r="GP37" s="1017"/>
      <c r="GQ37" s="1017"/>
      <c r="GR37" s="1017"/>
      <c r="GS37" s="1017"/>
      <c r="GT37" s="1017"/>
      <c r="GU37" s="1017"/>
      <c r="GV37" s="1017"/>
      <c r="GW37" s="1017"/>
      <c r="GX37" s="1017"/>
      <c r="GY37" s="1017"/>
      <c r="GZ37" s="1017"/>
      <c r="HA37" s="1017"/>
      <c r="HB37" s="1017"/>
      <c r="HC37" s="1017"/>
      <c r="HD37" s="1017"/>
      <c r="HE37" s="1017"/>
      <c r="HF37" s="1017"/>
      <c r="HG37" s="1017"/>
      <c r="HH37" s="1017"/>
      <c r="HI37" s="1017"/>
      <c r="HJ37" s="1017"/>
      <c r="HK37" s="1017"/>
      <c r="HL37" s="1017"/>
      <c r="HM37" s="1017"/>
      <c r="HN37" s="1017"/>
      <c r="HO37" s="1017"/>
      <c r="HP37" s="1017"/>
      <c r="HQ37" s="1017"/>
      <c r="HR37" s="1017"/>
      <c r="HS37" s="1017"/>
      <c r="HT37" s="1017"/>
      <c r="HU37" s="1017"/>
      <c r="HV37" s="1017"/>
      <c r="HW37" s="1017"/>
      <c r="HX37" s="1017"/>
      <c r="HY37" s="1017"/>
      <c r="HZ37" s="1017"/>
      <c r="IA37" s="1017"/>
      <c r="IB37" s="1017"/>
      <c r="IC37" s="1017"/>
      <c r="ID37" s="1017"/>
      <c r="IE37" s="1017"/>
      <c r="IF37" s="1017"/>
      <c r="IG37" s="1017"/>
      <c r="IH37" s="1017"/>
      <c r="II37" s="1017"/>
      <c r="IJ37" s="1017"/>
      <c r="IK37" s="1017"/>
      <c r="IL37" s="1017"/>
      <c r="IM37" s="1017"/>
    </row>
    <row r="38" spans="1:247" s="957" customFormat="1">
      <c r="A38" s="790" t="s">
        <v>445</v>
      </c>
      <c r="B38" s="1060" t="s">
        <v>937</v>
      </c>
      <c r="C38" s="1034">
        <v>617.16499999999996</v>
      </c>
      <c r="D38" s="1066">
        <v>560.43799999999999</v>
      </c>
      <c r="E38" s="1062">
        <v>561.29700000000003</v>
      </c>
      <c r="F38" s="1062">
        <v>569.02099999999996</v>
      </c>
      <c r="G38" s="1063">
        <v>570.56500000000005</v>
      </c>
      <c r="H38" s="1064">
        <f>SUM(H39:H46)</f>
        <v>646.37633772320692</v>
      </c>
      <c r="I38" s="1064">
        <f t="shared" ref="I38:K38" si="30">SUM(I39:I46)</f>
        <v>660.06562535247701</v>
      </c>
      <c r="J38" s="1064">
        <f t="shared" si="30"/>
        <v>644.68993584452096</v>
      </c>
      <c r="K38" s="1065">
        <f t="shared" si="30"/>
        <v>643.82709154293855</v>
      </c>
      <c r="L38" s="1028"/>
      <c r="M38" s="1066">
        <f>SUM(M39:M46)</f>
        <v>0</v>
      </c>
      <c r="N38" s="1034">
        <f t="shared" si="11"/>
        <v>646.37633772320692</v>
      </c>
      <c r="O38" s="1066">
        <f t="shared" ref="O38:T38" si="31">SUM(O39:O46)</f>
        <v>658.75614533141004</v>
      </c>
      <c r="P38" s="1062">
        <f t="shared" si="31"/>
        <v>687.9405258613167</v>
      </c>
      <c r="Q38" s="1062">
        <f t="shared" si="31"/>
        <v>715.1131866129374</v>
      </c>
      <c r="R38" s="1066">
        <f t="shared" si="31"/>
        <v>1.3094800210668858</v>
      </c>
      <c r="S38" s="1062">
        <f t="shared" si="31"/>
        <v>-43.250590016795705</v>
      </c>
      <c r="T38" s="1062">
        <f t="shared" si="31"/>
        <v>-71.286095069998737</v>
      </c>
      <c r="U38" s="1034">
        <f t="shared" si="6"/>
        <v>12.379807608203123</v>
      </c>
      <c r="V38" s="948"/>
      <c r="W38" s="1066">
        <f>SUM(W39:W46)</f>
        <v>658.75614533141004</v>
      </c>
      <c r="X38" s="1062">
        <f>SUM(X39:X46)</f>
        <v>729.0656253524769</v>
      </c>
      <c r="Y38" s="1066">
        <f t="shared" si="7"/>
        <v>70.309480021066861</v>
      </c>
      <c r="Z38" s="1067">
        <f t="shared" si="3"/>
        <v>7.8562174170748678E-2</v>
      </c>
      <c r="AA38" s="1042"/>
      <c r="AB38" s="952"/>
      <c r="AC38" s="1042"/>
      <c r="AD38" s="958"/>
      <c r="AE38" s="958"/>
      <c r="AF38" s="958"/>
      <c r="AG38" s="958"/>
      <c r="AH38" s="958"/>
      <c r="AI38" s="958"/>
      <c r="AJ38" s="1042"/>
      <c r="AK38" s="1042"/>
      <c r="AL38" s="1042"/>
      <c r="AM38" s="1042"/>
      <c r="AN38" s="1042"/>
      <c r="AO38" s="1042"/>
      <c r="AP38" s="1042"/>
      <c r="AQ38" s="1042"/>
      <c r="AR38" s="1042"/>
      <c r="AS38" s="1042"/>
      <c r="AT38" s="1042"/>
      <c r="AU38" s="1042"/>
      <c r="AV38" s="1042"/>
      <c r="AW38" s="1042"/>
      <c r="AX38" s="1042"/>
      <c r="AY38" s="1042"/>
      <c r="AZ38" s="1042"/>
      <c r="BA38" s="1042"/>
      <c r="BB38" s="1042"/>
      <c r="BC38" s="1042"/>
      <c r="BD38" s="1042"/>
      <c r="BE38" s="1042"/>
      <c r="BF38" s="1042"/>
      <c r="BG38" s="1042"/>
      <c r="BH38" s="1042"/>
      <c r="BI38" s="1042"/>
      <c r="BJ38" s="1042"/>
      <c r="BK38" s="1042"/>
      <c r="BL38" s="1042"/>
      <c r="BM38" s="1042"/>
      <c r="BN38" s="1042"/>
      <c r="BO38" s="1042"/>
      <c r="BP38" s="1042"/>
      <c r="BQ38" s="1042"/>
      <c r="BR38" s="1042"/>
      <c r="BS38" s="1042"/>
      <c r="BT38" s="1042"/>
      <c r="BU38" s="1042"/>
      <c r="BV38" s="1042"/>
      <c r="BW38" s="1042"/>
      <c r="BX38" s="1042"/>
      <c r="BY38" s="1042"/>
      <c r="BZ38" s="1042"/>
      <c r="CA38" s="1042"/>
      <c r="CB38" s="1042"/>
      <c r="CC38" s="1042"/>
      <c r="CD38" s="1042"/>
      <c r="CE38" s="1042"/>
      <c r="CF38" s="1042"/>
      <c r="CG38" s="1042"/>
      <c r="CH38" s="1042"/>
      <c r="CI38" s="1042"/>
      <c r="CJ38" s="1042"/>
      <c r="CK38" s="1042"/>
      <c r="CL38" s="1042"/>
      <c r="CM38" s="1042"/>
      <c r="CN38" s="1042"/>
      <c r="CO38" s="1042"/>
      <c r="CP38" s="1042"/>
      <c r="CQ38" s="1042"/>
      <c r="CR38" s="1042"/>
      <c r="CS38" s="1042"/>
      <c r="CT38" s="1042"/>
      <c r="CU38" s="1042"/>
      <c r="CV38" s="1042"/>
      <c r="CW38" s="1042"/>
      <c r="CX38" s="1042"/>
      <c r="CY38" s="1042"/>
      <c r="CZ38" s="1042"/>
      <c r="DA38" s="1042"/>
      <c r="DB38" s="1042"/>
      <c r="DC38" s="1042"/>
      <c r="DD38" s="1042"/>
      <c r="DE38" s="1042"/>
      <c r="DF38" s="1042"/>
      <c r="DG38" s="1042"/>
      <c r="DH38" s="1042"/>
      <c r="DI38" s="1042"/>
      <c r="DJ38" s="1042"/>
      <c r="DK38" s="1042"/>
      <c r="DL38" s="1042"/>
      <c r="DM38" s="1042"/>
      <c r="DN38" s="1042"/>
      <c r="DO38" s="1042"/>
      <c r="DP38" s="1042"/>
      <c r="DQ38" s="1042"/>
      <c r="DR38" s="1042"/>
      <c r="DS38" s="1042"/>
      <c r="DT38" s="1042"/>
      <c r="DU38" s="1042"/>
      <c r="DV38" s="1042"/>
      <c r="DW38" s="1042"/>
      <c r="DX38" s="1042"/>
      <c r="DY38" s="1042"/>
      <c r="DZ38" s="1042"/>
      <c r="EA38" s="1042"/>
      <c r="EB38" s="1042"/>
      <c r="EC38" s="1042"/>
      <c r="ED38" s="1042"/>
      <c r="EE38" s="1042"/>
      <c r="EF38" s="1042"/>
      <c r="EG38" s="1042"/>
      <c r="EH38" s="1042"/>
      <c r="EI38" s="1042"/>
      <c r="EJ38" s="1042"/>
      <c r="EK38" s="1042"/>
      <c r="EL38" s="1042"/>
      <c r="EM38" s="1042"/>
      <c r="EN38" s="1042"/>
      <c r="EO38" s="1042"/>
      <c r="EP38" s="1042"/>
      <c r="EQ38" s="1042"/>
      <c r="ER38" s="1042"/>
      <c r="ES38" s="1042"/>
      <c r="ET38" s="1042"/>
      <c r="EU38" s="1042"/>
      <c r="EV38" s="1042"/>
      <c r="EW38" s="1042"/>
      <c r="EX38" s="1042"/>
      <c r="EY38" s="1042"/>
      <c r="EZ38" s="1042"/>
      <c r="FA38" s="1042"/>
      <c r="FB38" s="1042"/>
      <c r="FC38" s="1042"/>
      <c r="FD38" s="1042"/>
      <c r="FE38" s="1042"/>
      <c r="FF38" s="1042"/>
      <c r="FG38" s="1042"/>
      <c r="FH38" s="1042"/>
      <c r="FI38" s="1042"/>
      <c r="FJ38" s="1042"/>
      <c r="FK38" s="1042"/>
      <c r="FL38" s="1042"/>
      <c r="FM38" s="1042"/>
      <c r="FN38" s="1042"/>
      <c r="FO38" s="1042"/>
      <c r="FP38" s="1042"/>
      <c r="FQ38" s="1042"/>
      <c r="FR38" s="1042"/>
      <c r="FS38" s="1042"/>
      <c r="FT38" s="1042"/>
      <c r="FU38" s="1042"/>
      <c r="FV38" s="1042"/>
      <c r="FW38" s="1042"/>
      <c r="FX38" s="1042"/>
      <c r="FY38" s="1042"/>
      <c r="FZ38" s="1042"/>
      <c r="GA38" s="1042"/>
      <c r="GB38" s="1042"/>
      <c r="GC38" s="1042"/>
      <c r="GD38" s="1042"/>
      <c r="GE38" s="1042"/>
      <c r="GF38" s="1042"/>
      <c r="GG38" s="1042"/>
      <c r="GH38" s="1042"/>
      <c r="GI38" s="1042"/>
      <c r="GJ38" s="1042"/>
      <c r="GK38" s="1042"/>
      <c r="GL38" s="1042"/>
      <c r="GM38" s="1042"/>
      <c r="GN38" s="1042"/>
      <c r="GO38" s="1042"/>
      <c r="GP38" s="1042"/>
      <c r="GQ38" s="1042"/>
      <c r="GR38" s="1042"/>
      <c r="GS38" s="1042"/>
      <c r="GT38" s="1042"/>
      <c r="GU38" s="1042"/>
      <c r="GV38" s="1042"/>
      <c r="GW38" s="1042"/>
      <c r="GX38" s="1042"/>
      <c r="GY38" s="1042"/>
      <c r="GZ38" s="1042"/>
      <c r="HA38" s="1042"/>
      <c r="HB38" s="1042"/>
      <c r="HC38" s="1042"/>
      <c r="HD38" s="1042"/>
      <c r="HE38" s="1042"/>
      <c r="HF38" s="1042"/>
      <c r="HG38" s="1042"/>
      <c r="HH38" s="1042"/>
      <c r="HI38" s="1042"/>
      <c r="HJ38" s="1042"/>
      <c r="HK38" s="1042"/>
      <c r="HL38" s="1042"/>
      <c r="HM38" s="1042"/>
      <c r="HN38" s="1042"/>
      <c r="HO38" s="1042"/>
      <c r="HP38" s="1042"/>
      <c r="HQ38" s="1042"/>
      <c r="HR38" s="1042"/>
      <c r="HS38" s="1042"/>
      <c r="HT38" s="1042"/>
      <c r="HU38" s="1042"/>
      <c r="HV38" s="1042"/>
      <c r="HW38" s="1042"/>
      <c r="HX38" s="1042"/>
      <c r="HY38" s="1042"/>
      <c r="HZ38" s="1042"/>
      <c r="IA38" s="1042"/>
      <c r="IB38" s="1042"/>
      <c r="IC38" s="1042"/>
      <c r="ID38" s="1042"/>
      <c r="IE38" s="1042"/>
      <c r="IF38" s="1042"/>
      <c r="IG38" s="1042"/>
      <c r="IH38" s="1042"/>
      <c r="II38" s="1042"/>
      <c r="IJ38" s="1042"/>
      <c r="IK38" s="1042"/>
      <c r="IL38" s="1042"/>
      <c r="IM38" s="1042"/>
    </row>
    <row r="39" spans="1:247">
      <c r="A39" s="1052" t="s">
        <v>938</v>
      </c>
      <c r="B39" s="1053"/>
      <c r="C39" s="1050">
        <v>28.38</v>
      </c>
      <c r="D39" s="1045">
        <v>0</v>
      </c>
      <c r="E39" s="1046">
        <v>0</v>
      </c>
      <c r="F39" s="1046">
        <v>0</v>
      </c>
      <c r="G39" s="1047">
        <v>0</v>
      </c>
      <c r="H39" s="1048">
        <v>28.38</v>
      </c>
      <c r="I39" s="1048">
        <v>28.38</v>
      </c>
      <c r="J39" s="1048">
        <v>28.38</v>
      </c>
      <c r="K39" s="1049">
        <v>28.38</v>
      </c>
      <c r="L39" s="1028"/>
      <c r="M39" s="1074"/>
      <c r="N39" s="1050">
        <f t="shared" si="11"/>
        <v>28.38</v>
      </c>
      <c r="O39" s="1045">
        <f>N39</f>
        <v>28.38</v>
      </c>
      <c r="P39" s="1046">
        <f t="shared" ref="P39:Q40" si="32">O39</f>
        <v>28.38</v>
      </c>
      <c r="Q39" s="1046">
        <f t="shared" si="32"/>
        <v>28.38</v>
      </c>
      <c r="R39" s="1045">
        <f t="shared" ref="R39:T46" si="33">I39-O39</f>
        <v>0</v>
      </c>
      <c r="S39" s="1046">
        <f t="shared" si="33"/>
        <v>0</v>
      </c>
      <c r="T39" s="1046">
        <f t="shared" si="33"/>
        <v>0</v>
      </c>
      <c r="U39" s="1050">
        <f t="shared" si="6"/>
        <v>0</v>
      </c>
      <c r="V39" s="948"/>
      <c r="W39" s="1045">
        <f t="shared" ref="W39:W57" si="34">O39</f>
        <v>28.38</v>
      </c>
      <c r="X39" s="1046">
        <v>28.38</v>
      </c>
      <c r="Y39" s="1045">
        <f t="shared" si="7"/>
        <v>0</v>
      </c>
      <c r="Z39" s="1051">
        <f t="shared" si="3"/>
        <v>0</v>
      </c>
      <c r="AA39" s="1017"/>
      <c r="AB39" s="952"/>
      <c r="AC39" s="1017"/>
      <c r="AD39" s="1017"/>
      <c r="AE39" s="1017"/>
      <c r="AF39" s="1017"/>
      <c r="AG39" s="1017"/>
      <c r="AH39" s="1017"/>
      <c r="AI39" s="1017"/>
      <c r="AJ39" s="1017"/>
      <c r="AK39" s="1017"/>
      <c r="AL39" s="1017"/>
      <c r="AM39" s="1017"/>
      <c r="AN39" s="1017"/>
      <c r="AO39" s="1017"/>
      <c r="AP39" s="1017"/>
      <c r="AQ39" s="1017"/>
      <c r="AR39" s="1017"/>
      <c r="AS39" s="1017"/>
      <c r="AT39" s="1017"/>
      <c r="AU39" s="1017"/>
      <c r="AV39" s="1017"/>
      <c r="AW39" s="1017"/>
      <c r="AX39" s="1017"/>
      <c r="AY39" s="1017"/>
      <c r="AZ39" s="1017"/>
      <c r="BA39" s="1017"/>
      <c r="BB39" s="1017"/>
      <c r="BC39" s="1017"/>
      <c r="BD39" s="1017"/>
      <c r="BE39" s="1017"/>
      <c r="BF39" s="1017"/>
      <c r="BG39" s="1017"/>
      <c r="BH39" s="1017"/>
      <c r="BI39" s="1017"/>
      <c r="BJ39" s="1017"/>
      <c r="BK39" s="1017"/>
      <c r="BL39" s="1017"/>
      <c r="BM39" s="1017"/>
      <c r="BN39" s="1017"/>
      <c r="BO39" s="1017"/>
      <c r="BP39" s="1017"/>
      <c r="BQ39" s="1017"/>
      <c r="BR39" s="1017"/>
      <c r="BS39" s="1017"/>
      <c r="BT39" s="1017"/>
      <c r="BU39" s="1017"/>
      <c r="BV39" s="1017"/>
      <c r="BW39" s="1017"/>
      <c r="BX39" s="1017"/>
      <c r="BY39" s="1017"/>
      <c r="BZ39" s="1017"/>
      <c r="CA39" s="1017"/>
      <c r="CB39" s="1017"/>
      <c r="CC39" s="1017"/>
      <c r="CD39" s="1017"/>
      <c r="CE39" s="1017"/>
      <c r="CF39" s="1017"/>
      <c r="CG39" s="1017"/>
      <c r="CH39" s="1017"/>
      <c r="CI39" s="1017"/>
      <c r="CJ39" s="1017"/>
      <c r="CK39" s="1017"/>
      <c r="CL39" s="1017"/>
      <c r="CM39" s="1017"/>
      <c r="CN39" s="1017"/>
      <c r="CO39" s="1017"/>
      <c r="CP39" s="1017"/>
      <c r="CQ39" s="1017"/>
      <c r="CR39" s="1017"/>
      <c r="CS39" s="1017"/>
      <c r="CT39" s="1017"/>
      <c r="CU39" s="1017"/>
      <c r="CV39" s="1017"/>
      <c r="CW39" s="1017"/>
      <c r="CX39" s="1017"/>
      <c r="CY39" s="1017"/>
      <c r="CZ39" s="1017"/>
      <c r="DA39" s="1017"/>
      <c r="DB39" s="1017"/>
      <c r="DC39" s="1017"/>
      <c r="DD39" s="1017"/>
      <c r="DE39" s="1017"/>
      <c r="DF39" s="1017"/>
      <c r="DG39" s="1017"/>
      <c r="DH39" s="1017"/>
      <c r="DI39" s="1017"/>
      <c r="DJ39" s="1017"/>
      <c r="DK39" s="1017"/>
      <c r="DL39" s="1017"/>
      <c r="DM39" s="1017"/>
      <c r="DN39" s="1017"/>
      <c r="DO39" s="1017"/>
      <c r="DP39" s="1017"/>
      <c r="DQ39" s="1017"/>
      <c r="DR39" s="1017"/>
      <c r="DS39" s="1017"/>
      <c r="DT39" s="1017"/>
      <c r="DU39" s="1017"/>
      <c r="DV39" s="1017"/>
      <c r="DW39" s="1017"/>
      <c r="DX39" s="1017"/>
      <c r="DY39" s="1017"/>
      <c r="DZ39" s="1017"/>
      <c r="EA39" s="1017"/>
      <c r="EB39" s="1017"/>
      <c r="EC39" s="1017"/>
      <c r="ED39" s="1017"/>
      <c r="EE39" s="1017"/>
      <c r="EF39" s="1017"/>
      <c r="EG39" s="1017"/>
      <c r="EH39" s="1017"/>
      <c r="EI39" s="1017"/>
      <c r="EJ39" s="1017"/>
      <c r="EK39" s="1017"/>
      <c r="EL39" s="1017"/>
      <c r="EM39" s="1017"/>
      <c r="EN39" s="1017"/>
      <c r="EO39" s="1017"/>
      <c r="EP39" s="1017"/>
      <c r="EQ39" s="1017"/>
      <c r="ER39" s="1017"/>
      <c r="ES39" s="1017"/>
      <c r="ET39" s="1017"/>
      <c r="EU39" s="1017"/>
      <c r="EV39" s="1017"/>
      <c r="EW39" s="1017"/>
      <c r="EX39" s="1017"/>
      <c r="EY39" s="1017"/>
      <c r="EZ39" s="1017"/>
      <c r="FA39" s="1017"/>
      <c r="FB39" s="1017"/>
      <c r="FC39" s="1017"/>
      <c r="FD39" s="1017"/>
      <c r="FE39" s="1017"/>
      <c r="FF39" s="1017"/>
      <c r="FG39" s="1017"/>
      <c r="FH39" s="1017"/>
      <c r="FI39" s="1017"/>
      <c r="FJ39" s="1017"/>
      <c r="FK39" s="1017"/>
      <c r="FL39" s="1017"/>
      <c r="FM39" s="1017"/>
      <c r="FN39" s="1017"/>
      <c r="FO39" s="1017"/>
      <c r="FP39" s="1017"/>
      <c r="FQ39" s="1017"/>
      <c r="FR39" s="1017"/>
      <c r="FS39" s="1017"/>
      <c r="FT39" s="1017"/>
      <c r="FU39" s="1017"/>
      <c r="FV39" s="1017"/>
      <c r="FW39" s="1017"/>
      <c r="FX39" s="1017"/>
      <c r="FY39" s="1017"/>
      <c r="FZ39" s="1017"/>
      <c r="GA39" s="1017"/>
      <c r="GB39" s="1017"/>
      <c r="GC39" s="1017"/>
      <c r="GD39" s="1017"/>
      <c r="GE39" s="1017"/>
      <c r="GF39" s="1017"/>
      <c r="GG39" s="1017"/>
      <c r="GH39" s="1017"/>
      <c r="GI39" s="1017"/>
      <c r="GJ39" s="1017"/>
      <c r="GK39" s="1017"/>
      <c r="GL39" s="1017"/>
      <c r="GM39" s="1017"/>
      <c r="GN39" s="1017"/>
      <c r="GO39" s="1017"/>
      <c r="GP39" s="1017"/>
      <c r="GQ39" s="1017"/>
      <c r="GR39" s="1017"/>
      <c r="GS39" s="1017"/>
      <c r="GT39" s="1017"/>
      <c r="GU39" s="1017"/>
      <c r="GV39" s="1017"/>
      <c r="GW39" s="1017"/>
      <c r="GX39" s="1017"/>
      <c r="GY39" s="1017"/>
      <c r="GZ39" s="1017"/>
      <c r="HA39" s="1017"/>
      <c r="HB39" s="1017"/>
      <c r="HC39" s="1017"/>
      <c r="HD39" s="1017"/>
      <c r="HE39" s="1017"/>
      <c r="HF39" s="1017"/>
      <c r="HG39" s="1017"/>
      <c r="HH39" s="1017"/>
      <c r="HI39" s="1017"/>
      <c r="HJ39" s="1017"/>
      <c r="HK39" s="1017"/>
      <c r="HL39" s="1017"/>
      <c r="HM39" s="1017"/>
      <c r="HN39" s="1017"/>
      <c r="HO39" s="1017"/>
      <c r="HP39" s="1017"/>
      <c r="HQ39" s="1017"/>
      <c r="HR39" s="1017"/>
      <c r="HS39" s="1017"/>
      <c r="HT39" s="1017"/>
      <c r="HU39" s="1017"/>
      <c r="HV39" s="1017"/>
      <c r="HW39" s="1017"/>
      <c r="HX39" s="1017"/>
      <c r="HY39" s="1017"/>
      <c r="HZ39" s="1017"/>
      <c r="IA39" s="1017"/>
      <c r="IB39" s="1017"/>
      <c r="IC39" s="1017"/>
      <c r="ID39" s="1017"/>
      <c r="IE39" s="1017"/>
      <c r="IF39" s="1017"/>
      <c r="IG39" s="1017"/>
      <c r="IH39" s="1017"/>
      <c r="II39" s="1017"/>
      <c r="IJ39" s="1017"/>
      <c r="IK39" s="1017"/>
      <c r="IL39" s="1017"/>
      <c r="IM39" s="1017"/>
    </row>
    <row r="40" spans="1:247">
      <c r="A40" s="1052" t="s">
        <v>939</v>
      </c>
      <c r="B40" s="1053"/>
      <c r="C40" s="1050">
        <v>19.780999999999999</v>
      </c>
      <c r="D40" s="1045">
        <v>0</v>
      </c>
      <c r="E40" s="1046">
        <v>0</v>
      </c>
      <c r="F40" s="1046">
        <v>0</v>
      </c>
      <c r="G40" s="1047">
        <v>0</v>
      </c>
      <c r="H40" s="1048">
        <v>19.780999999999999</v>
      </c>
      <c r="I40" s="1048">
        <v>19.780999999999999</v>
      </c>
      <c r="J40" s="1048">
        <v>19.780999999999999</v>
      </c>
      <c r="K40" s="1049">
        <v>19.780999999999999</v>
      </c>
      <c r="L40" s="1028"/>
      <c r="M40" s="1074"/>
      <c r="N40" s="1050">
        <f t="shared" si="11"/>
        <v>19.780999999999999</v>
      </c>
      <c r="O40" s="1045">
        <f>N40</f>
        <v>19.780999999999999</v>
      </c>
      <c r="P40" s="1046">
        <f t="shared" si="32"/>
        <v>19.780999999999999</v>
      </c>
      <c r="Q40" s="1046">
        <f t="shared" si="32"/>
        <v>19.780999999999999</v>
      </c>
      <c r="R40" s="1045">
        <f t="shared" si="33"/>
        <v>0</v>
      </c>
      <c r="S40" s="1046">
        <f t="shared" si="33"/>
        <v>0</v>
      </c>
      <c r="T40" s="1046">
        <f t="shared" si="33"/>
        <v>0</v>
      </c>
      <c r="U40" s="1050">
        <f t="shared" si="6"/>
        <v>0</v>
      </c>
      <c r="V40" s="948"/>
      <c r="W40" s="1045">
        <f t="shared" si="34"/>
        <v>19.780999999999999</v>
      </c>
      <c r="X40" s="1046">
        <v>19.780999999999999</v>
      </c>
      <c r="Y40" s="1045">
        <f t="shared" si="7"/>
        <v>0</v>
      </c>
      <c r="Z40" s="1051">
        <f t="shared" si="3"/>
        <v>0</v>
      </c>
      <c r="AA40" s="1017"/>
      <c r="AB40" s="952"/>
      <c r="AC40" s="1017"/>
      <c r="AD40" s="1017"/>
      <c r="AE40" s="1017"/>
      <c r="AF40" s="1017"/>
      <c r="AG40" s="1017"/>
      <c r="AH40" s="1017"/>
      <c r="AI40" s="1017"/>
      <c r="AJ40" s="1017"/>
      <c r="AK40" s="1017"/>
      <c r="AL40" s="1017"/>
      <c r="AM40" s="1017"/>
      <c r="AN40" s="1017"/>
      <c r="AO40" s="1017"/>
      <c r="AP40" s="1017"/>
      <c r="AQ40" s="1017"/>
      <c r="AR40" s="1017"/>
      <c r="AS40" s="1017"/>
      <c r="AT40" s="1017"/>
      <c r="AU40" s="1017"/>
      <c r="AV40" s="1017"/>
      <c r="AW40" s="1017"/>
      <c r="AX40" s="1017"/>
      <c r="AY40" s="1017"/>
      <c r="AZ40" s="1017"/>
      <c r="BA40" s="1017"/>
      <c r="BB40" s="1017"/>
      <c r="BC40" s="1017"/>
      <c r="BD40" s="1017"/>
      <c r="BE40" s="1017"/>
      <c r="BF40" s="1017"/>
      <c r="BG40" s="1017"/>
      <c r="BH40" s="1017"/>
      <c r="BI40" s="1017"/>
      <c r="BJ40" s="1017"/>
      <c r="BK40" s="1017"/>
      <c r="BL40" s="1017"/>
      <c r="BM40" s="1017"/>
      <c r="BN40" s="1017"/>
      <c r="BO40" s="1017"/>
      <c r="BP40" s="1017"/>
      <c r="BQ40" s="1017"/>
      <c r="BR40" s="1017"/>
      <c r="BS40" s="1017"/>
      <c r="BT40" s="1017"/>
      <c r="BU40" s="1017"/>
      <c r="BV40" s="1017"/>
      <c r="BW40" s="1017"/>
      <c r="BX40" s="1017"/>
      <c r="BY40" s="1017"/>
      <c r="BZ40" s="1017"/>
      <c r="CA40" s="1017"/>
      <c r="CB40" s="1017"/>
      <c r="CC40" s="1017"/>
      <c r="CD40" s="1017"/>
      <c r="CE40" s="1017"/>
      <c r="CF40" s="1017"/>
      <c r="CG40" s="1017"/>
      <c r="CH40" s="1017"/>
      <c r="CI40" s="1017"/>
      <c r="CJ40" s="1017"/>
      <c r="CK40" s="1017"/>
      <c r="CL40" s="1017"/>
      <c r="CM40" s="1017"/>
      <c r="CN40" s="1017"/>
      <c r="CO40" s="1017"/>
      <c r="CP40" s="1017"/>
      <c r="CQ40" s="1017"/>
      <c r="CR40" s="1017"/>
      <c r="CS40" s="1017"/>
      <c r="CT40" s="1017"/>
      <c r="CU40" s="1017"/>
      <c r="CV40" s="1017"/>
      <c r="CW40" s="1017"/>
      <c r="CX40" s="1017"/>
      <c r="CY40" s="1017"/>
      <c r="CZ40" s="1017"/>
      <c r="DA40" s="1017"/>
      <c r="DB40" s="1017"/>
      <c r="DC40" s="1017"/>
      <c r="DD40" s="1017"/>
      <c r="DE40" s="1017"/>
      <c r="DF40" s="1017"/>
      <c r="DG40" s="1017"/>
      <c r="DH40" s="1017"/>
      <c r="DI40" s="1017"/>
      <c r="DJ40" s="1017"/>
      <c r="DK40" s="1017"/>
      <c r="DL40" s="1017"/>
      <c r="DM40" s="1017"/>
      <c r="DN40" s="1017"/>
      <c r="DO40" s="1017"/>
      <c r="DP40" s="1017"/>
      <c r="DQ40" s="1017"/>
      <c r="DR40" s="1017"/>
      <c r="DS40" s="1017"/>
      <c r="DT40" s="1017"/>
      <c r="DU40" s="1017"/>
      <c r="DV40" s="1017"/>
      <c r="DW40" s="1017"/>
      <c r="DX40" s="1017"/>
      <c r="DY40" s="1017"/>
      <c r="DZ40" s="1017"/>
      <c r="EA40" s="1017"/>
      <c r="EB40" s="1017"/>
      <c r="EC40" s="1017"/>
      <c r="ED40" s="1017"/>
      <c r="EE40" s="1017"/>
      <c r="EF40" s="1017"/>
      <c r="EG40" s="1017"/>
      <c r="EH40" s="1017"/>
      <c r="EI40" s="1017"/>
      <c r="EJ40" s="1017"/>
      <c r="EK40" s="1017"/>
      <c r="EL40" s="1017"/>
      <c r="EM40" s="1017"/>
      <c r="EN40" s="1017"/>
      <c r="EO40" s="1017"/>
      <c r="EP40" s="1017"/>
      <c r="EQ40" s="1017"/>
      <c r="ER40" s="1017"/>
      <c r="ES40" s="1017"/>
      <c r="ET40" s="1017"/>
      <c r="EU40" s="1017"/>
      <c r="EV40" s="1017"/>
      <c r="EW40" s="1017"/>
      <c r="EX40" s="1017"/>
      <c r="EY40" s="1017"/>
      <c r="EZ40" s="1017"/>
      <c r="FA40" s="1017"/>
      <c r="FB40" s="1017"/>
      <c r="FC40" s="1017"/>
      <c r="FD40" s="1017"/>
      <c r="FE40" s="1017"/>
      <c r="FF40" s="1017"/>
      <c r="FG40" s="1017"/>
      <c r="FH40" s="1017"/>
      <c r="FI40" s="1017"/>
      <c r="FJ40" s="1017"/>
      <c r="FK40" s="1017"/>
      <c r="FL40" s="1017"/>
      <c r="FM40" s="1017"/>
      <c r="FN40" s="1017"/>
      <c r="FO40" s="1017"/>
      <c r="FP40" s="1017"/>
      <c r="FQ40" s="1017"/>
      <c r="FR40" s="1017"/>
      <c r="FS40" s="1017"/>
      <c r="FT40" s="1017"/>
      <c r="FU40" s="1017"/>
      <c r="FV40" s="1017"/>
      <c r="FW40" s="1017"/>
      <c r="FX40" s="1017"/>
      <c r="FY40" s="1017"/>
      <c r="FZ40" s="1017"/>
      <c r="GA40" s="1017"/>
      <c r="GB40" s="1017"/>
      <c r="GC40" s="1017"/>
      <c r="GD40" s="1017"/>
      <c r="GE40" s="1017"/>
      <c r="GF40" s="1017"/>
      <c r="GG40" s="1017"/>
      <c r="GH40" s="1017"/>
      <c r="GI40" s="1017"/>
      <c r="GJ40" s="1017"/>
      <c r="GK40" s="1017"/>
      <c r="GL40" s="1017"/>
      <c r="GM40" s="1017"/>
      <c r="GN40" s="1017"/>
      <c r="GO40" s="1017"/>
      <c r="GP40" s="1017"/>
      <c r="GQ40" s="1017"/>
      <c r="GR40" s="1017"/>
      <c r="GS40" s="1017"/>
      <c r="GT40" s="1017"/>
      <c r="GU40" s="1017"/>
      <c r="GV40" s="1017"/>
      <c r="GW40" s="1017"/>
      <c r="GX40" s="1017"/>
      <c r="GY40" s="1017"/>
      <c r="GZ40" s="1017"/>
      <c r="HA40" s="1017"/>
      <c r="HB40" s="1017"/>
      <c r="HC40" s="1017"/>
      <c r="HD40" s="1017"/>
      <c r="HE40" s="1017"/>
      <c r="HF40" s="1017"/>
      <c r="HG40" s="1017"/>
      <c r="HH40" s="1017"/>
      <c r="HI40" s="1017"/>
      <c r="HJ40" s="1017"/>
      <c r="HK40" s="1017"/>
      <c r="HL40" s="1017"/>
      <c r="HM40" s="1017"/>
      <c r="HN40" s="1017"/>
      <c r="HO40" s="1017"/>
      <c r="HP40" s="1017"/>
      <c r="HQ40" s="1017"/>
      <c r="HR40" s="1017"/>
      <c r="HS40" s="1017"/>
      <c r="HT40" s="1017"/>
      <c r="HU40" s="1017"/>
      <c r="HV40" s="1017"/>
      <c r="HW40" s="1017"/>
      <c r="HX40" s="1017"/>
      <c r="HY40" s="1017"/>
      <c r="HZ40" s="1017"/>
      <c r="IA40" s="1017"/>
      <c r="IB40" s="1017"/>
      <c r="IC40" s="1017"/>
      <c r="ID40" s="1017"/>
      <c r="IE40" s="1017"/>
      <c r="IF40" s="1017"/>
      <c r="IG40" s="1017"/>
      <c r="IH40" s="1017"/>
      <c r="II40" s="1017"/>
      <c r="IJ40" s="1017"/>
      <c r="IK40" s="1017"/>
      <c r="IL40" s="1017"/>
      <c r="IM40" s="1017"/>
    </row>
    <row r="41" spans="1:247">
      <c r="A41" s="1052" t="s">
        <v>940</v>
      </c>
      <c r="B41" s="1053"/>
      <c r="C41" s="1050">
        <v>0.67584599999999995</v>
      </c>
      <c r="D41" s="1045">
        <f>6.028+0.361</f>
        <v>6.3889999999999993</v>
      </c>
      <c r="E41" s="1046">
        <v>11.074999999999999</v>
      </c>
      <c r="F41" s="1046">
        <v>11.016999999999999</v>
      </c>
      <c r="G41" s="1047">
        <v>11.388</v>
      </c>
      <c r="H41" s="1048">
        <v>1.3889999999999993</v>
      </c>
      <c r="I41" s="1048">
        <v>6.0749999999999993</v>
      </c>
      <c r="J41" s="1048">
        <v>6.0169999999999995</v>
      </c>
      <c r="K41" s="1049">
        <v>6.3879999999999999</v>
      </c>
      <c r="L41" s="1028"/>
      <c r="M41" s="1045"/>
      <c r="N41" s="1050">
        <f t="shared" si="11"/>
        <v>1.3889999999999993</v>
      </c>
      <c r="O41" s="1045">
        <v>1.4722597971358684</v>
      </c>
      <c r="P41" s="1046">
        <v>1.570031891130522</v>
      </c>
      <c r="Q41" s="1046">
        <v>1.6750285341522131</v>
      </c>
      <c r="R41" s="1045">
        <f t="shared" si="33"/>
        <v>4.6027402028641307</v>
      </c>
      <c r="S41" s="1046">
        <f t="shared" si="33"/>
        <v>4.446968108869477</v>
      </c>
      <c r="T41" s="1046">
        <f t="shared" si="33"/>
        <v>4.7129714658477866</v>
      </c>
      <c r="U41" s="1050">
        <f t="shared" si="6"/>
        <v>8.3259797135869063E-2</v>
      </c>
      <c r="V41" s="948"/>
      <c r="W41" s="1045">
        <f t="shared" si="34"/>
        <v>1.4722597971358684</v>
      </c>
      <c r="X41" s="1046">
        <v>11.074999999999999</v>
      </c>
      <c r="Y41" s="1045">
        <f t="shared" si="7"/>
        <v>9.6027402028641315</v>
      </c>
      <c r="Z41" s="1051">
        <f t="shared" si="3"/>
        <v>1.072987807771893E-2</v>
      </c>
      <c r="AA41" s="1017"/>
      <c r="AB41" s="952"/>
      <c r="AC41" s="1017"/>
      <c r="AD41" s="959"/>
      <c r="AE41" s="959"/>
      <c r="AF41" s="959"/>
      <c r="AG41" s="959"/>
      <c r="AH41" s="959"/>
      <c r="AI41" s="959"/>
      <c r="AJ41" s="1017"/>
      <c r="AK41" s="1017"/>
      <c r="AL41" s="1017"/>
      <c r="AM41" s="1017"/>
      <c r="AN41" s="1017"/>
      <c r="AO41" s="1017"/>
      <c r="AP41" s="1017"/>
      <c r="AQ41" s="1017"/>
      <c r="AR41" s="1017"/>
      <c r="AS41" s="1017"/>
      <c r="AT41" s="1017"/>
      <c r="AU41" s="1017"/>
      <c r="AV41" s="1017"/>
      <c r="AW41" s="1017"/>
      <c r="AX41" s="1017"/>
      <c r="AY41" s="1017"/>
      <c r="AZ41" s="1017"/>
      <c r="BA41" s="1017"/>
      <c r="BB41" s="1017"/>
      <c r="BC41" s="1017"/>
      <c r="BD41" s="1017"/>
      <c r="BE41" s="1017"/>
      <c r="BF41" s="1017"/>
      <c r="BG41" s="1017"/>
      <c r="BH41" s="1017"/>
      <c r="BI41" s="1017"/>
      <c r="BJ41" s="1017"/>
      <c r="BK41" s="1017"/>
      <c r="BL41" s="1017"/>
      <c r="BM41" s="1017"/>
      <c r="BN41" s="1017"/>
      <c r="BO41" s="1017"/>
      <c r="BP41" s="1017"/>
      <c r="BQ41" s="1017"/>
      <c r="BR41" s="1017"/>
      <c r="BS41" s="1017"/>
      <c r="BT41" s="1017"/>
      <c r="BU41" s="1017"/>
      <c r="BV41" s="1017"/>
      <c r="BW41" s="1017"/>
      <c r="BX41" s="1017"/>
      <c r="BY41" s="1017"/>
      <c r="BZ41" s="1017"/>
      <c r="CA41" s="1017"/>
      <c r="CB41" s="1017"/>
      <c r="CC41" s="1017"/>
      <c r="CD41" s="1017"/>
      <c r="CE41" s="1017"/>
      <c r="CF41" s="1017"/>
      <c r="CG41" s="1017"/>
      <c r="CH41" s="1017"/>
      <c r="CI41" s="1017"/>
      <c r="CJ41" s="1017"/>
      <c r="CK41" s="1017"/>
      <c r="CL41" s="1017"/>
      <c r="CM41" s="1017"/>
      <c r="CN41" s="1017"/>
      <c r="CO41" s="1017"/>
      <c r="CP41" s="1017"/>
      <c r="CQ41" s="1017"/>
      <c r="CR41" s="1017"/>
      <c r="CS41" s="1017"/>
      <c r="CT41" s="1017"/>
      <c r="CU41" s="1017"/>
      <c r="CV41" s="1017"/>
      <c r="CW41" s="1017"/>
      <c r="CX41" s="1017"/>
      <c r="CY41" s="1017"/>
      <c r="CZ41" s="1017"/>
      <c r="DA41" s="1017"/>
      <c r="DB41" s="1017"/>
      <c r="DC41" s="1017"/>
      <c r="DD41" s="1017"/>
      <c r="DE41" s="1017"/>
      <c r="DF41" s="1017"/>
      <c r="DG41" s="1017"/>
      <c r="DH41" s="1017"/>
      <c r="DI41" s="1017"/>
      <c r="DJ41" s="1017"/>
      <c r="DK41" s="1017"/>
      <c r="DL41" s="1017"/>
      <c r="DM41" s="1017"/>
      <c r="DN41" s="1017"/>
      <c r="DO41" s="1017"/>
      <c r="DP41" s="1017"/>
      <c r="DQ41" s="1017"/>
      <c r="DR41" s="1017"/>
      <c r="DS41" s="1017"/>
      <c r="DT41" s="1017"/>
      <c r="DU41" s="1017"/>
      <c r="DV41" s="1017"/>
      <c r="DW41" s="1017"/>
      <c r="DX41" s="1017"/>
      <c r="DY41" s="1017"/>
      <c r="DZ41" s="1017"/>
      <c r="EA41" s="1017"/>
      <c r="EB41" s="1017"/>
      <c r="EC41" s="1017"/>
      <c r="ED41" s="1017"/>
      <c r="EE41" s="1017"/>
      <c r="EF41" s="1017"/>
      <c r="EG41" s="1017"/>
      <c r="EH41" s="1017"/>
      <c r="EI41" s="1017"/>
      <c r="EJ41" s="1017"/>
      <c r="EK41" s="1017"/>
      <c r="EL41" s="1017"/>
      <c r="EM41" s="1017"/>
      <c r="EN41" s="1017"/>
      <c r="EO41" s="1017"/>
      <c r="EP41" s="1017"/>
      <c r="EQ41" s="1017"/>
      <c r="ER41" s="1017"/>
      <c r="ES41" s="1017"/>
      <c r="ET41" s="1017"/>
      <c r="EU41" s="1017"/>
      <c r="EV41" s="1017"/>
      <c r="EW41" s="1017"/>
      <c r="EX41" s="1017"/>
      <c r="EY41" s="1017"/>
      <c r="EZ41" s="1017"/>
      <c r="FA41" s="1017"/>
      <c r="FB41" s="1017"/>
      <c r="FC41" s="1017"/>
      <c r="FD41" s="1017"/>
      <c r="FE41" s="1017"/>
      <c r="FF41" s="1017"/>
      <c r="FG41" s="1017"/>
      <c r="FH41" s="1017"/>
      <c r="FI41" s="1017"/>
      <c r="FJ41" s="1017"/>
      <c r="FK41" s="1017"/>
      <c r="FL41" s="1017"/>
      <c r="FM41" s="1017"/>
      <c r="FN41" s="1017"/>
      <c r="FO41" s="1017"/>
      <c r="FP41" s="1017"/>
      <c r="FQ41" s="1017"/>
      <c r="FR41" s="1017"/>
      <c r="FS41" s="1017"/>
      <c r="FT41" s="1017"/>
      <c r="FU41" s="1017"/>
      <c r="FV41" s="1017"/>
      <c r="FW41" s="1017"/>
      <c r="FX41" s="1017"/>
      <c r="FY41" s="1017"/>
      <c r="FZ41" s="1017"/>
      <c r="GA41" s="1017"/>
      <c r="GB41" s="1017"/>
      <c r="GC41" s="1017"/>
      <c r="GD41" s="1017"/>
      <c r="GE41" s="1017"/>
      <c r="GF41" s="1017"/>
      <c r="GG41" s="1017"/>
      <c r="GH41" s="1017"/>
      <c r="GI41" s="1017"/>
      <c r="GJ41" s="1017"/>
      <c r="GK41" s="1017"/>
      <c r="GL41" s="1017"/>
      <c r="GM41" s="1017"/>
      <c r="GN41" s="1017"/>
      <c r="GO41" s="1017"/>
      <c r="GP41" s="1017"/>
      <c r="GQ41" s="1017"/>
      <c r="GR41" s="1017"/>
      <c r="GS41" s="1017"/>
      <c r="GT41" s="1017"/>
      <c r="GU41" s="1017"/>
      <c r="GV41" s="1017"/>
      <c r="GW41" s="1017"/>
      <c r="GX41" s="1017"/>
      <c r="GY41" s="1017"/>
      <c r="GZ41" s="1017"/>
      <c r="HA41" s="1017"/>
      <c r="HB41" s="1017"/>
      <c r="HC41" s="1017"/>
      <c r="HD41" s="1017"/>
      <c r="HE41" s="1017"/>
      <c r="HF41" s="1017"/>
      <c r="HG41" s="1017"/>
      <c r="HH41" s="1017"/>
      <c r="HI41" s="1017"/>
      <c r="HJ41" s="1017"/>
      <c r="HK41" s="1017"/>
      <c r="HL41" s="1017"/>
      <c r="HM41" s="1017"/>
      <c r="HN41" s="1017"/>
      <c r="HO41" s="1017"/>
      <c r="HP41" s="1017"/>
      <c r="HQ41" s="1017"/>
      <c r="HR41" s="1017"/>
      <c r="HS41" s="1017"/>
      <c r="HT41" s="1017"/>
      <c r="HU41" s="1017"/>
      <c r="HV41" s="1017"/>
      <c r="HW41" s="1017"/>
      <c r="HX41" s="1017"/>
      <c r="HY41" s="1017"/>
      <c r="HZ41" s="1017"/>
      <c r="IA41" s="1017"/>
      <c r="IB41" s="1017"/>
      <c r="IC41" s="1017"/>
      <c r="ID41" s="1017"/>
      <c r="IE41" s="1017"/>
      <c r="IF41" s="1017"/>
      <c r="IG41" s="1017"/>
      <c r="IH41" s="1017"/>
      <c r="II41" s="1017"/>
      <c r="IJ41" s="1017"/>
      <c r="IK41" s="1017"/>
      <c r="IL41" s="1017"/>
      <c r="IM41" s="1017"/>
    </row>
    <row r="42" spans="1:247" s="1077" customFormat="1">
      <c r="A42" s="1052" t="s">
        <v>941</v>
      </c>
      <c r="B42" s="1053"/>
      <c r="C42" s="1071">
        <v>0.54714812000000002</v>
      </c>
      <c r="D42" s="1068">
        <v>0</v>
      </c>
      <c r="E42" s="1069">
        <v>0</v>
      </c>
      <c r="F42" s="1069">
        <v>0</v>
      </c>
      <c r="G42" s="1070">
        <v>0</v>
      </c>
      <c r="H42" s="1072">
        <v>0.54714812000000002</v>
      </c>
      <c r="I42" s="1072">
        <v>0.54714812000000002</v>
      </c>
      <c r="J42" s="1072">
        <v>0.54714812000000002</v>
      </c>
      <c r="K42" s="1073">
        <v>0.54714812000000002</v>
      </c>
      <c r="L42" s="1028"/>
      <c r="M42" s="1045"/>
      <c r="N42" s="1050">
        <f t="shared" si="11"/>
        <v>0.54714812000000002</v>
      </c>
      <c r="O42" s="1045">
        <v>0.55804044936099684</v>
      </c>
      <c r="P42" s="1046">
        <v>0.56783688535475474</v>
      </c>
      <c r="Q42" s="1046">
        <v>0.57958183107095895</v>
      </c>
      <c r="R42" s="1045">
        <f t="shared" si="33"/>
        <v>-1.0892329360996822E-2</v>
      </c>
      <c r="S42" s="1046">
        <f t="shared" si="33"/>
        <v>-2.0688765354754723E-2</v>
      </c>
      <c r="T42" s="1046">
        <f t="shared" si="33"/>
        <v>-3.2433711070958937E-2</v>
      </c>
      <c r="U42" s="1050">
        <f t="shared" si="6"/>
        <v>1.0892329360996822E-2</v>
      </c>
      <c r="V42" s="948"/>
      <c r="W42" s="1075">
        <f>O42</f>
        <v>0.55804044936099684</v>
      </c>
      <c r="X42" s="1048">
        <v>0.54714812000000002</v>
      </c>
      <c r="Y42" s="1075">
        <f>X42-W42</f>
        <v>-1.0892329360996822E-2</v>
      </c>
      <c r="Z42" s="1076">
        <f t="shared" si="3"/>
        <v>-1.2170834944695802E-5</v>
      </c>
      <c r="AA42" s="1017"/>
      <c r="AB42" s="952"/>
      <c r="AC42" s="1017"/>
      <c r="AD42" s="1017"/>
      <c r="AE42" s="1017"/>
      <c r="AF42" s="1017"/>
      <c r="AG42" s="1017"/>
      <c r="AH42" s="1017"/>
      <c r="AI42" s="1017"/>
      <c r="AJ42" s="1017"/>
      <c r="AK42" s="1017"/>
      <c r="AL42" s="1017"/>
      <c r="AM42" s="1017"/>
      <c r="AN42" s="1017"/>
      <c r="AO42" s="1017"/>
      <c r="AP42" s="1017"/>
      <c r="AQ42" s="1017"/>
      <c r="AR42" s="1017"/>
      <c r="AS42" s="1017"/>
      <c r="AT42" s="1017"/>
      <c r="AU42" s="1017"/>
      <c r="AV42" s="1017"/>
      <c r="AW42" s="1017"/>
      <c r="AX42" s="1017"/>
      <c r="AY42" s="1017"/>
      <c r="AZ42" s="1017"/>
      <c r="BA42" s="1017"/>
      <c r="BB42" s="1017"/>
      <c r="BC42" s="1017"/>
      <c r="BD42" s="1017"/>
      <c r="BE42" s="1017"/>
      <c r="BF42" s="1017"/>
      <c r="BG42" s="1017"/>
      <c r="BH42" s="1017"/>
      <c r="BI42" s="1017"/>
      <c r="BJ42" s="1017"/>
      <c r="BK42" s="1017"/>
      <c r="BL42" s="1017"/>
      <c r="BM42" s="1017"/>
      <c r="BN42" s="1017"/>
      <c r="BO42" s="1017"/>
      <c r="BP42" s="1017"/>
      <c r="BQ42" s="1017"/>
      <c r="BR42" s="1017"/>
      <c r="BS42" s="1017"/>
      <c r="BT42" s="1017"/>
      <c r="BU42" s="1017"/>
      <c r="BV42" s="1017"/>
      <c r="BW42" s="1017"/>
      <c r="BX42" s="1017"/>
      <c r="BY42" s="1017"/>
      <c r="BZ42" s="1017"/>
      <c r="CA42" s="1017"/>
      <c r="CB42" s="1017"/>
      <c r="CC42" s="1017"/>
      <c r="CD42" s="1017"/>
      <c r="CE42" s="1017"/>
      <c r="CF42" s="1017"/>
      <c r="CG42" s="1017"/>
      <c r="CH42" s="1017"/>
      <c r="CI42" s="1017"/>
      <c r="CJ42" s="1017"/>
      <c r="CK42" s="1017"/>
      <c r="CL42" s="1017"/>
      <c r="CM42" s="1017"/>
      <c r="CN42" s="1017"/>
      <c r="CO42" s="1017"/>
      <c r="CP42" s="1017"/>
      <c r="CQ42" s="1017"/>
      <c r="CR42" s="1017"/>
      <c r="CS42" s="1017"/>
      <c r="CT42" s="1017"/>
      <c r="CU42" s="1017"/>
      <c r="CV42" s="1017"/>
      <c r="CW42" s="1017"/>
      <c r="CX42" s="1017"/>
      <c r="CY42" s="1017"/>
      <c r="CZ42" s="1017"/>
      <c r="DA42" s="1017"/>
      <c r="DB42" s="1017"/>
      <c r="DC42" s="1017"/>
      <c r="DD42" s="1017"/>
      <c r="DE42" s="1017"/>
      <c r="DF42" s="1017"/>
      <c r="DG42" s="1017"/>
      <c r="DH42" s="1017"/>
      <c r="DI42" s="1017"/>
      <c r="DJ42" s="1017"/>
      <c r="DK42" s="1017"/>
      <c r="DL42" s="1017"/>
      <c r="DM42" s="1017"/>
      <c r="DN42" s="1017"/>
      <c r="DO42" s="1017"/>
      <c r="DP42" s="1017"/>
      <c r="DQ42" s="1017"/>
      <c r="DR42" s="1017"/>
      <c r="DS42" s="1017"/>
      <c r="DT42" s="1017"/>
      <c r="DU42" s="1017"/>
      <c r="DV42" s="1017"/>
      <c r="DW42" s="1017"/>
      <c r="DX42" s="1017"/>
      <c r="DY42" s="1017"/>
      <c r="DZ42" s="1017"/>
      <c r="EA42" s="1017"/>
      <c r="EB42" s="1017"/>
      <c r="EC42" s="1017"/>
      <c r="ED42" s="1017"/>
      <c r="EE42" s="1017"/>
      <c r="EF42" s="1017"/>
      <c r="EG42" s="1017"/>
      <c r="EH42" s="1017"/>
      <c r="EI42" s="1017"/>
      <c r="EJ42" s="1017"/>
      <c r="EK42" s="1017"/>
      <c r="EL42" s="1017"/>
      <c r="EM42" s="1017"/>
      <c r="EN42" s="1017"/>
      <c r="EO42" s="1017"/>
      <c r="EP42" s="1017"/>
      <c r="EQ42" s="1017"/>
      <c r="ER42" s="1017"/>
      <c r="ES42" s="1017"/>
      <c r="ET42" s="1017"/>
      <c r="EU42" s="1017"/>
      <c r="EV42" s="1017"/>
      <c r="EW42" s="1017"/>
      <c r="EX42" s="1017"/>
      <c r="EY42" s="1017"/>
      <c r="EZ42" s="1017"/>
      <c r="FA42" s="1017"/>
      <c r="FB42" s="1017"/>
      <c r="FC42" s="1017"/>
      <c r="FD42" s="1017"/>
      <c r="FE42" s="1017"/>
      <c r="FF42" s="1017"/>
      <c r="FG42" s="1017"/>
      <c r="FH42" s="1017"/>
      <c r="FI42" s="1017"/>
      <c r="FJ42" s="1017"/>
      <c r="FK42" s="1017"/>
      <c r="FL42" s="1017"/>
      <c r="FM42" s="1017"/>
      <c r="FN42" s="1017"/>
      <c r="FO42" s="1017"/>
      <c r="FP42" s="1017"/>
      <c r="FQ42" s="1017"/>
      <c r="FR42" s="1017"/>
      <c r="FS42" s="1017"/>
      <c r="FT42" s="1017"/>
      <c r="FU42" s="1017"/>
      <c r="FV42" s="1017"/>
      <c r="FW42" s="1017"/>
      <c r="FX42" s="1017"/>
      <c r="FY42" s="1017"/>
      <c r="FZ42" s="1017"/>
      <c r="GA42" s="1017"/>
      <c r="GB42" s="1017"/>
      <c r="GC42" s="1017"/>
      <c r="GD42" s="1017"/>
      <c r="GE42" s="1017"/>
      <c r="GF42" s="1017"/>
      <c r="GG42" s="1017"/>
      <c r="GH42" s="1017"/>
      <c r="GI42" s="1017"/>
      <c r="GJ42" s="1017"/>
      <c r="GK42" s="1017"/>
      <c r="GL42" s="1017"/>
      <c r="GM42" s="1017"/>
      <c r="GN42" s="1017"/>
      <c r="GO42" s="1017"/>
      <c r="GP42" s="1017"/>
      <c r="GQ42" s="1017"/>
      <c r="GR42" s="1017"/>
      <c r="GS42" s="1017"/>
      <c r="GT42" s="1017"/>
      <c r="GU42" s="1017"/>
      <c r="GV42" s="1017"/>
      <c r="GW42" s="1017"/>
      <c r="GX42" s="1017"/>
      <c r="GY42" s="1017"/>
      <c r="GZ42" s="1017"/>
      <c r="HA42" s="1017"/>
      <c r="HB42" s="1017"/>
      <c r="HC42" s="1017"/>
      <c r="HD42" s="1017"/>
      <c r="HE42" s="1017"/>
      <c r="HF42" s="1017"/>
      <c r="HG42" s="1017"/>
      <c r="HH42" s="1017"/>
      <c r="HI42" s="1017"/>
      <c r="HJ42" s="1017"/>
      <c r="HK42" s="1017"/>
      <c r="HL42" s="1017"/>
      <c r="HM42" s="1017"/>
      <c r="HN42" s="1017"/>
      <c r="HO42" s="1017"/>
      <c r="HP42" s="1017"/>
      <c r="HQ42" s="1017"/>
      <c r="HR42" s="1017"/>
      <c r="HS42" s="1017"/>
      <c r="HT42" s="1017"/>
      <c r="HU42" s="1017"/>
      <c r="HV42" s="1017"/>
      <c r="HW42" s="1017"/>
      <c r="HX42" s="1017"/>
      <c r="HY42" s="1017"/>
      <c r="HZ42" s="1017"/>
      <c r="IA42" s="1017"/>
      <c r="IB42" s="1017"/>
      <c r="IC42" s="1017"/>
      <c r="ID42" s="1017"/>
      <c r="IE42" s="1017"/>
      <c r="IF42" s="1017"/>
      <c r="IG42" s="1017"/>
      <c r="IH42" s="1017"/>
      <c r="II42" s="1017"/>
      <c r="IJ42" s="1017"/>
      <c r="IK42" s="1017"/>
      <c r="IL42" s="1017"/>
      <c r="IM42" s="1017"/>
    </row>
    <row r="43" spans="1:247">
      <c r="A43" s="1052" t="s">
        <v>942</v>
      </c>
      <c r="B43" s="1053"/>
      <c r="C43" s="1071">
        <v>5.70640517</v>
      </c>
      <c r="D43" s="1068">
        <v>8.1999999999999993</v>
      </c>
      <c r="E43" s="1069">
        <v>0</v>
      </c>
      <c r="F43" s="1069">
        <v>0</v>
      </c>
      <c r="G43" s="1070">
        <v>0</v>
      </c>
      <c r="H43" s="1072">
        <v>5.70640517</v>
      </c>
      <c r="I43" s="1072">
        <v>5.70640517</v>
      </c>
      <c r="J43" s="1072">
        <v>5.70640517</v>
      </c>
      <c r="K43" s="1073">
        <v>5.70640517</v>
      </c>
      <c r="L43" s="1028"/>
      <c r="M43" s="1045"/>
      <c r="N43" s="1050">
        <f t="shared" si="11"/>
        <v>5.70640517</v>
      </c>
      <c r="O43" s="1045">
        <v>5.8200052031664029</v>
      </c>
      <c r="P43" s="1046">
        <v>5.9221757689765422</v>
      </c>
      <c r="Q43" s="1046">
        <v>6.0446680457595034</v>
      </c>
      <c r="R43" s="1045">
        <f t="shared" si="33"/>
        <v>-0.11360003316640288</v>
      </c>
      <c r="S43" s="1046">
        <f t="shared" si="33"/>
        <v>-0.21577059897654216</v>
      </c>
      <c r="T43" s="1046">
        <f t="shared" si="33"/>
        <v>-0.33826287575950342</v>
      </c>
      <c r="U43" s="1050">
        <f t="shared" si="6"/>
        <v>0.11360003316640288</v>
      </c>
      <c r="V43" s="948"/>
      <c r="W43" s="1045">
        <f t="shared" si="34"/>
        <v>5.8200052031664029</v>
      </c>
      <c r="X43" s="1046">
        <v>5.70640517</v>
      </c>
      <c r="Y43" s="1045">
        <f t="shared" si="7"/>
        <v>-0.11360003316640288</v>
      </c>
      <c r="Z43" s="1051">
        <f t="shared" si="3"/>
        <v>-1.2693402921978186E-4</v>
      </c>
      <c r="AA43" s="1017"/>
      <c r="AB43" s="952"/>
      <c r="AC43" s="1017"/>
      <c r="AD43" s="1017"/>
      <c r="AE43" s="1017"/>
      <c r="AF43" s="1017"/>
      <c r="AG43" s="1017"/>
      <c r="AH43" s="1017"/>
      <c r="AI43" s="1017"/>
      <c r="AJ43" s="1017"/>
      <c r="AK43" s="1017"/>
      <c r="AL43" s="1017"/>
      <c r="AM43" s="1017"/>
      <c r="AN43" s="1017"/>
      <c r="AO43" s="1017"/>
      <c r="AP43" s="1017"/>
      <c r="AQ43" s="1017"/>
      <c r="AR43" s="1017"/>
      <c r="AS43" s="1017"/>
      <c r="AT43" s="1017"/>
      <c r="AU43" s="1017"/>
      <c r="AV43" s="1017"/>
      <c r="AW43" s="1017"/>
      <c r="AX43" s="1017"/>
      <c r="AY43" s="1017"/>
      <c r="AZ43" s="1017"/>
      <c r="BA43" s="1017"/>
      <c r="BB43" s="1017"/>
      <c r="BC43" s="1017"/>
      <c r="BD43" s="1017"/>
      <c r="BE43" s="1017"/>
      <c r="BF43" s="1017"/>
      <c r="BG43" s="1017"/>
      <c r="BH43" s="1017"/>
      <c r="BI43" s="1017"/>
      <c r="BJ43" s="1017"/>
      <c r="BK43" s="1017"/>
      <c r="BL43" s="1017"/>
      <c r="BM43" s="1017"/>
      <c r="BN43" s="1017"/>
      <c r="BO43" s="1017"/>
      <c r="BP43" s="1017"/>
      <c r="BQ43" s="1017"/>
      <c r="BR43" s="1017"/>
      <c r="BS43" s="1017"/>
      <c r="BT43" s="1017"/>
      <c r="BU43" s="1017"/>
      <c r="BV43" s="1017"/>
      <c r="BW43" s="1017"/>
      <c r="BX43" s="1017"/>
      <c r="BY43" s="1017"/>
      <c r="BZ43" s="1017"/>
      <c r="CA43" s="1017"/>
      <c r="CB43" s="1017"/>
      <c r="CC43" s="1017"/>
      <c r="CD43" s="1017"/>
      <c r="CE43" s="1017"/>
      <c r="CF43" s="1017"/>
      <c r="CG43" s="1017"/>
      <c r="CH43" s="1017"/>
      <c r="CI43" s="1017"/>
      <c r="CJ43" s="1017"/>
      <c r="CK43" s="1017"/>
      <c r="CL43" s="1017"/>
      <c r="CM43" s="1017"/>
      <c r="CN43" s="1017"/>
      <c r="CO43" s="1017"/>
      <c r="CP43" s="1017"/>
      <c r="CQ43" s="1017"/>
      <c r="CR43" s="1017"/>
      <c r="CS43" s="1017"/>
      <c r="CT43" s="1017"/>
      <c r="CU43" s="1017"/>
      <c r="CV43" s="1017"/>
      <c r="CW43" s="1017"/>
      <c r="CX43" s="1017"/>
      <c r="CY43" s="1017"/>
      <c r="CZ43" s="1017"/>
      <c r="DA43" s="1017"/>
      <c r="DB43" s="1017"/>
      <c r="DC43" s="1017"/>
      <c r="DD43" s="1017"/>
      <c r="DE43" s="1017"/>
      <c r="DF43" s="1017"/>
      <c r="DG43" s="1017"/>
      <c r="DH43" s="1017"/>
      <c r="DI43" s="1017"/>
      <c r="DJ43" s="1017"/>
      <c r="DK43" s="1017"/>
      <c r="DL43" s="1017"/>
      <c r="DM43" s="1017"/>
      <c r="DN43" s="1017"/>
      <c r="DO43" s="1017"/>
      <c r="DP43" s="1017"/>
      <c r="DQ43" s="1017"/>
      <c r="DR43" s="1017"/>
      <c r="DS43" s="1017"/>
      <c r="DT43" s="1017"/>
      <c r="DU43" s="1017"/>
      <c r="DV43" s="1017"/>
      <c r="DW43" s="1017"/>
      <c r="DX43" s="1017"/>
      <c r="DY43" s="1017"/>
      <c r="DZ43" s="1017"/>
      <c r="EA43" s="1017"/>
      <c r="EB43" s="1017"/>
      <c r="EC43" s="1017"/>
      <c r="ED43" s="1017"/>
      <c r="EE43" s="1017"/>
      <c r="EF43" s="1017"/>
      <c r="EG43" s="1017"/>
      <c r="EH43" s="1017"/>
      <c r="EI43" s="1017"/>
      <c r="EJ43" s="1017"/>
      <c r="EK43" s="1017"/>
      <c r="EL43" s="1017"/>
      <c r="EM43" s="1017"/>
      <c r="EN43" s="1017"/>
      <c r="EO43" s="1017"/>
      <c r="EP43" s="1017"/>
      <c r="EQ43" s="1017"/>
      <c r="ER43" s="1017"/>
      <c r="ES43" s="1017"/>
      <c r="ET43" s="1017"/>
      <c r="EU43" s="1017"/>
      <c r="EV43" s="1017"/>
      <c r="EW43" s="1017"/>
      <c r="EX43" s="1017"/>
      <c r="EY43" s="1017"/>
      <c r="EZ43" s="1017"/>
      <c r="FA43" s="1017"/>
      <c r="FB43" s="1017"/>
      <c r="FC43" s="1017"/>
      <c r="FD43" s="1017"/>
      <c r="FE43" s="1017"/>
      <c r="FF43" s="1017"/>
      <c r="FG43" s="1017"/>
      <c r="FH43" s="1017"/>
      <c r="FI43" s="1017"/>
      <c r="FJ43" s="1017"/>
      <c r="FK43" s="1017"/>
      <c r="FL43" s="1017"/>
      <c r="FM43" s="1017"/>
      <c r="FN43" s="1017"/>
      <c r="FO43" s="1017"/>
      <c r="FP43" s="1017"/>
      <c r="FQ43" s="1017"/>
      <c r="FR43" s="1017"/>
      <c r="FS43" s="1017"/>
      <c r="FT43" s="1017"/>
      <c r="FU43" s="1017"/>
      <c r="FV43" s="1017"/>
      <c r="FW43" s="1017"/>
      <c r="FX43" s="1017"/>
      <c r="FY43" s="1017"/>
      <c r="FZ43" s="1017"/>
      <c r="GA43" s="1017"/>
      <c r="GB43" s="1017"/>
      <c r="GC43" s="1017"/>
      <c r="GD43" s="1017"/>
      <c r="GE43" s="1017"/>
      <c r="GF43" s="1017"/>
      <c r="GG43" s="1017"/>
      <c r="GH43" s="1017"/>
      <c r="GI43" s="1017"/>
      <c r="GJ43" s="1017"/>
      <c r="GK43" s="1017"/>
      <c r="GL43" s="1017"/>
      <c r="GM43" s="1017"/>
      <c r="GN43" s="1017"/>
      <c r="GO43" s="1017"/>
      <c r="GP43" s="1017"/>
      <c r="GQ43" s="1017"/>
      <c r="GR43" s="1017"/>
      <c r="GS43" s="1017"/>
      <c r="GT43" s="1017"/>
      <c r="GU43" s="1017"/>
      <c r="GV43" s="1017"/>
      <c r="GW43" s="1017"/>
      <c r="GX43" s="1017"/>
      <c r="GY43" s="1017"/>
      <c r="GZ43" s="1017"/>
      <c r="HA43" s="1017"/>
      <c r="HB43" s="1017"/>
      <c r="HC43" s="1017"/>
      <c r="HD43" s="1017"/>
      <c r="HE43" s="1017"/>
      <c r="HF43" s="1017"/>
      <c r="HG43" s="1017"/>
      <c r="HH43" s="1017"/>
      <c r="HI43" s="1017"/>
      <c r="HJ43" s="1017"/>
      <c r="HK43" s="1017"/>
      <c r="HL43" s="1017"/>
      <c r="HM43" s="1017"/>
      <c r="HN43" s="1017"/>
      <c r="HO43" s="1017"/>
      <c r="HP43" s="1017"/>
      <c r="HQ43" s="1017"/>
      <c r="HR43" s="1017"/>
      <c r="HS43" s="1017"/>
      <c r="HT43" s="1017"/>
      <c r="HU43" s="1017"/>
      <c r="HV43" s="1017"/>
      <c r="HW43" s="1017"/>
      <c r="HX43" s="1017"/>
      <c r="HY43" s="1017"/>
      <c r="HZ43" s="1017"/>
      <c r="IA43" s="1017"/>
      <c r="IB43" s="1017"/>
      <c r="IC43" s="1017"/>
      <c r="ID43" s="1017"/>
      <c r="IE43" s="1017"/>
      <c r="IF43" s="1017"/>
      <c r="IG43" s="1017"/>
      <c r="IH43" s="1017"/>
      <c r="II43" s="1017"/>
      <c r="IJ43" s="1017"/>
      <c r="IK43" s="1017"/>
      <c r="IL43" s="1017"/>
      <c r="IM43" s="1017"/>
    </row>
    <row r="44" spans="1:247">
      <c r="A44" s="1052" t="s">
        <v>943</v>
      </c>
      <c r="B44" s="1053"/>
      <c r="C44" s="1050">
        <v>334.64800000000002</v>
      </c>
      <c r="D44" s="1045">
        <f>461.141-5.68</f>
        <v>455.46100000000001</v>
      </c>
      <c r="E44" s="1046">
        <f>475.042-10.52</f>
        <v>464.52199999999999</v>
      </c>
      <c r="F44" s="1046">
        <f>481.648-10.463</f>
        <v>471.185</v>
      </c>
      <c r="G44" s="1047">
        <f>482.864-10.835</f>
        <v>472.029</v>
      </c>
      <c r="H44" s="1048">
        <v>390.46100000000001</v>
      </c>
      <c r="I44" s="1048">
        <v>400.52199999999999</v>
      </c>
      <c r="J44" s="1048">
        <v>403.185</v>
      </c>
      <c r="K44" s="1049">
        <v>404.029</v>
      </c>
      <c r="L44" s="1028"/>
      <c r="M44" s="1045"/>
      <c r="N44" s="1050">
        <f t="shared" si="11"/>
        <v>390.46100000000001</v>
      </c>
      <c r="O44" s="1045">
        <v>412.73543952073641</v>
      </c>
      <c r="P44" s="1046">
        <v>454.16022553753783</v>
      </c>
      <c r="Q44" s="1046">
        <v>481.96858110342009</v>
      </c>
      <c r="R44" s="1045">
        <f t="shared" si="33"/>
        <v>-12.213439520736415</v>
      </c>
      <c r="S44" s="1046">
        <f t="shared" si="33"/>
        <v>-50.975225537537824</v>
      </c>
      <c r="T44" s="1046">
        <f t="shared" si="33"/>
        <v>-77.939581103420096</v>
      </c>
      <c r="U44" s="1050">
        <f t="shared" si="6"/>
        <v>22.274439520736394</v>
      </c>
      <c r="V44" s="948"/>
      <c r="W44" s="1045">
        <f>O44</f>
        <v>412.73543952073641</v>
      </c>
      <c r="X44" s="1046">
        <v>464.52199999999999</v>
      </c>
      <c r="Y44" s="1045">
        <f>X44-W44</f>
        <v>51.786560479263585</v>
      </c>
      <c r="Z44" s="1051">
        <f t="shared" si="3"/>
        <v>5.7865095615226847E-2</v>
      </c>
      <c r="AA44" s="1017"/>
      <c r="AB44" s="952"/>
      <c r="AC44" s="1017"/>
      <c r="AD44" s="959"/>
      <c r="AE44" s="959"/>
      <c r="AF44" s="959"/>
      <c r="AG44" s="959"/>
      <c r="AH44" s="959"/>
      <c r="AI44" s="959"/>
      <c r="AJ44" s="1017"/>
      <c r="AK44" s="1017"/>
      <c r="AL44" s="1017"/>
      <c r="AM44" s="1017"/>
      <c r="AN44" s="1017"/>
      <c r="AO44" s="1017"/>
      <c r="AP44" s="1017"/>
      <c r="AQ44" s="1017"/>
      <c r="AR44" s="1017"/>
      <c r="AS44" s="1017"/>
      <c r="AT44" s="1017"/>
      <c r="AU44" s="1017"/>
      <c r="AV44" s="1017"/>
      <c r="AW44" s="1017"/>
      <c r="AX44" s="1017"/>
      <c r="AY44" s="1017"/>
      <c r="AZ44" s="1017"/>
      <c r="BA44" s="1017"/>
      <c r="BB44" s="1017"/>
      <c r="BC44" s="1017"/>
      <c r="BD44" s="1017"/>
      <c r="BE44" s="1017"/>
      <c r="BF44" s="1017"/>
      <c r="BG44" s="1017"/>
      <c r="BH44" s="1017"/>
      <c r="BI44" s="1017"/>
      <c r="BJ44" s="1017"/>
      <c r="BK44" s="1017"/>
      <c r="BL44" s="1017"/>
      <c r="BM44" s="1017"/>
      <c r="BN44" s="1017"/>
      <c r="BO44" s="1017"/>
      <c r="BP44" s="1017"/>
      <c r="BQ44" s="1017"/>
      <c r="BR44" s="1017"/>
      <c r="BS44" s="1017"/>
      <c r="BT44" s="1017"/>
      <c r="BU44" s="1017"/>
      <c r="BV44" s="1017"/>
      <c r="BW44" s="1017"/>
      <c r="BX44" s="1017"/>
      <c r="BY44" s="1017"/>
      <c r="BZ44" s="1017"/>
      <c r="CA44" s="1017"/>
      <c r="CB44" s="1017"/>
      <c r="CC44" s="1017"/>
      <c r="CD44" s="1017"/>
      <c r="CE44" s="1017"/>
      <c r="CF44" s="1017"/>
      <c r="CG44" s="1017"/>
      <c r="CH44" s="1017"/>
      <c r="CI44" s="1017"/>
      <c r="CJ44" s="1017"/>
      <c r="CK44" s="1017"/>
      <c r="CL44" s="1017"/>
      <c r="CM44" s="1017"/>
      <c r="CN44" s="1017"/>
      <c r="CO44" s="1017"/>
      <c r="CP44" s="1017"/>
      <c r="CQ44" s="1017"/>
      <c r="CR44" s="1017"/>
      <c r="CS44" s="1017"/>
      <c r="CT44" s="1017"/>
      <c r="CU44" s="1017"/>
      <c r="CV44" s="1017"/>
      <c r="CW44" s="1017"/>
      <c r="CX44" s="1017"/>
      <c r="CY44" s="1017"/>
      <c r="CZ44" s="1017"/>
      <c r="DA44" s="1017"/>
      <c r="DB44" s="1017"/>
      <c r="DC44" s="1017"/>
      <c r="DD44" s="1017"/>
      <c r="DE44" s="1017"/>
      <c r="DF44" s="1017"/>
      <c r="DG44" s="1017"/>
      <c r="DH44" s="1017"/>
      <c r="DI44" s="1017"/>
      <c r="DJ44" s="1017"/>
      <c r="DK44" s="1017"/>
      <c r="DL44" s="1017"/>
      <c r="DM44" s="1017"/>
      <c r="DN44" s="1017"/>
      <c r="DO44" s="1017"/>
      <c r="DP44" s="1017"/>
      <c r="DQ44" s="1017"/>
      <c r="DR44" s="1017"/>
      <c r="DS44" s="1017"/>
      <c r="DT44" s="1017"/>
      <c r="DU44" s="1017"/>
      <c r="DV44" s="1017"/>
      <c r="DW44" s="1017"/>
      <c r="DX44" s="1017"/>
      <c r="DY44" s="1017"/>
      <c r="DZ44" s="1017"/>
      <c r="EA44" s="1017"/>
      <c r="EB44" s="1017"/>
      <c r="EC44" s="1017"/>
      <c r="ED44" s="1017"/>
      <c r="EE44" s="1017"/>
      <c r="EF44" s="1017"/>
      <c r="EG44" s="1017"/>
      <c r="EH44" s="1017"/>
      <c r="EI44" s="1017"/>
      <c r="EJ44" s="1017"/>
      <c r="EK44" s="1017"/>
      <c r="EL44" s="1017"/>
      <c r="EM44" s="1017"/>
      <c r="EN44" s="1017"/>
      <c r="EO44" s="1017"/>
      <c r="EP44" s="1017"/>
      <c r="EQ44" s="1017"/>
      <c r="ER44" s="1017"/>
      <c r="ES44" s="1017"/>
      <c r="ET44" s="1017"/>
      <c r="EU44" s="1017"/>
      <c r="EV44" s="1017"/>
      <c r="EW44" s="1017"/>
      <c r="EX44" s="1017"/>
      <c r="EY44" s="1017"/>
      <c r="EZ44" s="1017"/>
      <c r="FA44" s="1017"/>
      <c r="FB44" s="1017"/>
      <c r="FC44" s="1017"/>
      <c r="FD44" s="1017"/>
      <c r="FE44" s="1017"/>
      <c r="FF44" s="1017"/>
      <c r="FG44" s="1017"/>
      <c r="FH44" s="1017"/>
      <c r="FI44" s="1017"/>
      <c r="FJ44" s="1017"/>
      <c r="FK44" s="1017"/>
      <c r="FL44" s="1017"/>
      <c r="FM44" s="1017"/>
      <c r="FN44" s="1017"/>
      <c r="FO44" s="1017"/>
      <c r="FP44" s="1017"/>
      <c r="FQ44" s="1017"/>
      <c r="FR44" s="1017"/>
      <c r="FS44" s="1017"/>
      <c r="FT44" s="1017"/>
      <c r="FU44" s="1017"/>
      <c r="FV44" s="1017"/>
      <c r="FW44" s="1017"/>
      <c r="FX44" s="1017"/>
      <c r="FY44" s="1017"/>
      <c r="FZ44" s="1017"/>
      <c r="GA44" s="1017"/>
      <c r="GB44" s="1017"/>
      <c r="GC44" s="1017"/>
      <c r="GD44" s="1017"/>
      <c r="GE44" s="1017"/>
      <c r="GF44" s="1017"/>
      <c r="GG44" s="1017"/>
      <c r="GH44" s="1017"/>
      <c r="GI44" s="1017"/>
      <c r="GJ44" s="1017"/>
      <c r="GK44" s="1017"/>
      <c r="GL44" s="1017"/>
      <c r="GM44" s="1017"/>
      <c r="GN44" s="1017"/>
      <c r="GO44" s="1017"/>
      <c r="GP44" s="1017"/>
      <c r="GQ44" s="1017"/>
      <c r="GR44" s="1017"/>
      <c r="GS44" s="1017"/>
      <c r="GT44" s="1017"/>
      <c r="GU44" s="1017"/>
      <c r="GV44" s="1017"/>
      <c r="GW44" s="1017"/>
      <c r="GX44" s="1017"/>
      <c r="GY44" s="1017"/>
      <c r="GZ44" s="1017"/>
      <c r="HA44" s="1017"/>
      <c r="HB44" s="1017"/>
      <c r="HC44" s="1017"/>
      <c r="HD44" s="1017"/>
      <c r="HE44" s="1017"/>
      <c r="HF44" s="1017"/>
      <c r="HG44" s="1017"/>
      <c r="HH44" s="1017"/>
      <c r="HI44" s="1017"/>
      <c r="HJ44" s="1017"/>
      <c r="HK44" s="1017"/>
      <c r="HL44" s="1017"/>
      <c r="HM44" s="1017"/>
      <c r="HN44" s="1017"/>
      <c r="HO44" s="1017"/>
      <c r="HP44" s="1017"/>
      <c r="HQ44" s="1017"/>
      <c r="HR44" s="1017"/>
      <c r="HS44" s="1017"/>
      <c r="HT44" s="1017"/>
      <c r="HU44" s="1017"/>
      <c r="HV44" s="1017"/>
      <c r="HW44" s="1017"/>
      <c r="HX44" s="1017"/>
      <c r="HY44" s="1017"/>
      <c r="HZ44" s="1017"/>
      <c r="IA44" s="1017"/>
      <c r="IB44" s="1017"/>
      <c r="IC44" s="1017"/>
      <c r="ID44" s="1017"/>
      <c r="IE44" s="1017"/>
      <c r="IF44" s="1017"/>
      <c r="IG44" s="1017"/>
      <c r="IH44" s="1017"/>
      <c r="II44" s="1017"/>
      <c r="IJ44" s="1017"/>
      <c r="IK44" s="1017"/>
      <c r="IL44" s="1017"/>
      <c r="IM44" s="1017"/>
    </row>
    <row r="45" spans="1:247">
      <c r="A45" s="1052" t="s">
        <v>944</v>
      </c>
      <c r="B45" s="1053"/>
      <c r="C45" s="1050">
        <f>177.04500588-C43</f>
        <v>171.33860070999998</v>
      </c>
      <c r="D45" s="1045">
        <f>38.353-0.049</f>
        <v>38.304000000000002</v>
      </c>
      <c r="E45" s="1046">
        <f>37.525-0.032</f>
        <v>37.493000000000002</v>
      </c>
      <c r="F45" s="1046">
        <f>37.651-0.03</f>
        <v>37.621000000000002</v>
      </c>
      <c r="G45" s="1047">
        <f>37.765-0.03</f>
        <v>37.734999999999999</v>
      </c>
      <c r="H45" s="1048">
        <v>148.02778443320699</v>
      </c>
      <c r="I45" s="1048">
        <v>150.847072062477</v>
      </c>
      <c r="J45" s="1048">
        <v>131.875382554521</v>
      </c>
      <c r="K45" s="1049">
        <v>129.58253825293849</v>
      </c>
      <c r="L45" s="1028"/>
      <c r="M45" s="1045"/>
      <c r="N45" s="1050">
        <f t="shared" si="11"/>
        <v>148.02778443320699</v>
      </c>
      <c r="O45" s="1045">
        <v>137.92540036101047</v>
      </c>
      <c r="P45" s="1046">
        <v>125.47525577831709</v>
      </c>
      <c r="Q45" s="1046">
        <v>124.60032709853463</v>
      </c>
      <c r="R45" s="1045">
        <f t="shared" si="33"/>
        <v>12.921671701466522</v>
      </c>
      <c r="S45" s="1046">
        <f t="shared" si="33"/>
        <v>6.4001267762039049</v>
      </c>
      <c r="T45" s="1046">
        <f t="shared" si="33"/>
        <v>4.9822111544038563</v>
      </c>
      <c r="U45" s="1050">
        <f t="shared" si="6"/>
        <v>-10.102384072196514</v>
      </c>
      <c r="V45" s="948"/>
      <c r="W45" s="1045">
        <f>O45</f>
        <v>137.92540036101047</v>
      </c>
      <c r="X45" s="1046">
        <v>150.847072062477</v>
      </c>
      <c r="Y45" s="1045">
        <f t="shared" ref="Y45" si="35">X45-W45</f>
        <v>12.921671701466522</v>
      </c>
      <c r="Z45" s="1051">
        <f t="shared" si="3"/>
        <v>1.4438374775118178E-2</v>
      </c>
      <c r="AA45" s="1017"/>
      <c r="AB45" s="952"/>
      <c r="AC45" s="1017"/>
      <c r="AD45" s="959"/>
      <c r="AE45" s="959"/>
      <c r="AF45" s="959"/>
      <c r="AG45" s="959"/>
      <c r="AH45" s="959"/>
      <c r="AI45" s="959"/>
      <c r="AJ45" s="1017"/>
      <c r="AK45" s="1017"/>
      <c r="AL45" s="1017"/>
      <c r="AM45" s="1017"/>
      <c r="AN45" s="1017"/>
      <c r="AO45" s="1017"/>
      <c r="AP45" s="1017"/>
      <c r="AQ45" s="1017"/>
      <c r="AR45" s="1017"/>
      <c r="AS45" s="1017"/>
      <c r="AT45" s="1017"/>
      <c r="AU45" s="1017"/>
      <c r="AV45" s="1017"/>
      <c r="AW45" s="1017"/>
      <c r="AX45" s="1017"/>
      <c r="AY45" s="1017"/>
      <c r="AZ45" s="1017"/>
      <c r="BA45" s="1017"/>
      <c r="BB45" s="1017"/>
      <c r="BC45" s="1017"/>
      <c r="BD45" s="1017"/>
      <c r="BE45" s="1017"/>
      <c r="BF45" s="1017"/>
      <c r="BG45" s="1017"/>
      <c r="BH45" s="1017"/>
      <c r="BI45" s="1017"/>
      <c r="BJ45" s="1017"/>
      <c r="BK45" s="1017"/>
      <c r="BL45" s="1017"/>
      <c r="BM45" s="1017"/>
      <c r="BN45" s="1017"/>
      <c r="BO45" s="1017"/>
      <c r="BP45" s="1017"/>
      <c r="BQ45" s="1017"/>
      <c r="BR45" s="1017"/>
      <c r="BS45" s="1017"/>
      <c r="BT45" s="1017"/>
      <c r="BU45" s="1017"/>
      <c r="BV45" s="1017"/>
      <c r="BW45" s="1017"/>
      <c r="BX45" s="1017"/>
      <c r="BY45" s="1017"/>
      <c r="BZ45" s="1017"/>
      <c r="CA45" s="1017"/>
      <c r="CB45" s="1017"/>
      <c r="CC45" s="1017"/>
      <c r="CD45" s="1017"/>
      <c r="CE45" s="1017"/>
      <c r="CF45" s="1017"/>
      <c r="CG45" s="1017"/>
      <c r="CH45" s="1017"/>
      <c r="CI45" s="1017"/>
      <c r="CJ45" s="1017"/>
      <c r="CK45" s="1017"/>
      <c r="CL45" s="1017"/>
      <c r="CM45" s="1017"/>
      <c r="CN45" s="1017"/>
      <c r="CO45" s="1017"/>
      <c r="CP45" s="1017"/>
      <c r="CQ45" s="1017"/>
      <c r="CR45" s="1017"/>
      <c r="CS45" s="1017"/>
      <c r="CT45" s="1017"/>
      <c r="CU45" s="1017"/>
      <c r="CV45" s="1017"/>
      <c r="CW45" s="1017"/>
      <c r="CX45" s="1017"/>
      <c r="CY45" s="1017"/>
      <c r="CZ45" s="1017"/>
      <c r="DA45" s="1017"/>
      <c r="DB45" s="1017"/>
      <c r="DC45" s="1017"/>
      <c r="DD45" s="1017"/>
      <c r="DE45" s="1017"/>
      <c r="DF45" s="1017"/>
      <c r="DG45" s="1017"/>
      <c r="DH45" s="1017"/>
      <c r="DI45" s="1017"/>
      <c r="DJ45" s="1017"/>
      <c r="DK45" s="1017"/>
      <c r="DL45" s="1017"/>
      <c r="DM45" s="1017"/>
      <c r="DN45" s="1017"/>
      <c r="DO45" s="1017"/>
      <c r="DP45" s="1017"/>
      <c r="DQ45" s="1017"/>
      <c r="DR45" s="1017"/>
      <c r="DS45" s="1017"/>
      <c r="DT45" s="1017"/>
      <c r="DU45" s="1017"/>
      <c r="DV45" s="1017"/>
      <c r="DW45" s="1017"/>
      <c r="DX45" s="1017"/>
      <c r="DY45" s="1017"/>
      <c r="DZ45" s="1017"/>
      <c r="EA45" s="1017"/>
      <c r="EB45" s="1017"/>
      <c r="EC45" s="1017"/>
      <c r="ED45" s="1017"/>
      <c r="EE45" s="1017"/>
      <c r="EF45" s="1017"/>
      <c r="EG45" s="1017"/>
      <c r="EH45" s="1017"/>
      <c r="EI45" s="1017"/>
      <c r="EJ45" s="1017"/>
      <c r="EK45" s="1017"/>
      <c r="EL45" s="1017"/>
      <c r="EM45" s="1017"/>
      <c r="EN45" s="1017"/>
      <c r="EO45" s="1017"/>
      <c r="EP45" s="1017"/>
      <c r="EQ45" s="1017"/>
      <c r="ER45" s="1017"/>
      <c r="ES45" s="1017"/>
      <c r="ET45" s="1017"/>
      <c r="EU45" s="1017"/>
      <c r="EV45" s="1017"/>
      <c r="EW45" s="1017"/>
      <c r="EX45" s="1017"/>
      <c r="EY45" s="1017"/>
      <c r="EZ45" s="1017"/>
      <c r="FA45" s="1017"/>
      <c r="FB45" s="1017"/>
      <c r="FC45" s="1017"/>
      <c r="FD45" s="1017"/>
      <c r="FE45" s="1017"/>
      <c r="FF45" s="1017"/>
      <c r="FG45" s="1017"/>
      <c r="FH45" s="1017"/>
      <c r="FI45" s="1017"/>
      <c r="FJ45" s="1017"/>
      <c r="FK45" s="1017"/>
      <c r="FL45" s="1017"/>
      <c r="FM45" s="1017"/>
      <c r="FN45" s="1017"/>
      <c r="FO45" s="1017"/>
      <c r="FP45" s="1017"/>
      <c r="FQ45" s="1017"/>
      <c r="FR45" s="1017"/>
      <c r="FS45" s="1017"/>
      <c r="FT45" s="1017"/>
      <c r="FU45" s="1017"/>
      <c r="FV45" s="1017"/>
      <c r="FW45" s="1017"/>
      <c r="FX45" s="1017"/>
      <c r="FY45" s="1017"/>
      <c r="FZ45" s="1017"/>
      <c r="GA45" s="1017"/>
      <c r="GB45" s="1017"/>
      <c r="GC45" s="1017"/>
      <c r="GD45" s="1017"/>
      <c r="GE45" s="1017"/>
      <c r="GF45" s="1017"/>
      <c r="GG45" s="1017"/>
      <c r="GH45" s="1017"/>
      <c r="GI45" s="1017"/>
      <c r="GJ45" s="1017"/>
      <c r="GK45" s="1017"/>
      <c r="GL45" s="1017"/>
      <c r="GM45" s="1017"/>
      <c r="GN45" s="1017"/>
      <c r="GO45" s="1017"/>
      <c r="GP45" s="1017"/>
      <c r="GQ45" s="1017"/>
      <c r="GR45" s="1017"/>
      <c r="GS45" s="1017"/>
      <c r="GT45" s="1017"/>
      <c r="GU45" s="1017"/>
      <c r="GV45" s="1017"/>
      <c r="GW45" s="1017"/>
      <c r="GX45" s="1017"/>
      <c r="GY45" s="1017"/>
      <c r="GZ45" s="1017"/>
      <c r="HA45" s="1017"/>
      <c r="HB45" s="1017"/>
      <c r="HC45" s="1017"/>
      <c r="HD45" s="1017"/>
      <c r="HE45" s="1017"/>
      <c r="HF45" s="1017"/>
      <c r="HG45" s="1017"/>
      <c r="HH45" s="1017"/>
      <c r="HI45" s="1017"/>
      <c r="HJ45" s="1017"/>
      <c r="HK45" s="1017"/>
      <c r="HL45" s="1017"/>
      <c r="HM45" s="1017"/>
      <c r="HN45" s="1017"/>
      <c r="HO45" s="1017"/>
      <c r="HP45" s="1017"/>
      <c r="HQ45" s="1017"/>
      <c r="HR45" s="1017"/>
      <c r="HS45" s="1017"/>
      <c r="HT45" s="1017"/>
      <c r="HU45" s="1017"/>
      <c r="HV45" s="1017"/>
      <c r="HW45" s="1017"/>
      <c r="HX45" s="1017"/>
      <c r="HY45" s="1017"/>
      <c r="HZ45" s="1017"/>
      <c r="IA45" s="1017"/>
      <c r="IB45" s="1017"/>
      <c r="IC45" s="1017"/>
      <c r="ID45" s="1017"/>
      <c r="IE45" s="1017"/>
      <c r="IF45" s="1017"/>
      <c r="IG45" s="1017"/>
      <c r="IH45" s="1017"/>
      <c r="II45" s="1017"/>
      <c r="IJ45" s="1017"/>
      <c r="IK45" s="1017"/>
      <c r="IL45" s="1017"/>
      <c r="IM45" s="1017"/>
    </row>
    <row r="46" spans="1:247">
      <c r="A46" s="1052" t="s">
        <v>945</v>
      </c>
      <c r="B46" s="1053"/>
      <c r="C46" s="1050">
        <f>56.088</f>
        <v>56.088000000000001</v>
      </c>
      <c r="D46" s="1045">
        <f t="shared" ref="D46:G46" si="36">D38-SUM(D39:D45)</f>
        <v>52.083999999999946</v>
      </c>
      <c r="E46" s="1046">
        <f t="shared" si="36"/>
        <v>48.206999999999994</v>
      </c>
      <c r="F46" s="1046">
        <f t="shared" si="36"/>
        <v>49.197999999999979</v>
      </c>
      <c r="G46" s="1047">
        <f t="shared" si="36"/>
        <v>49.413000000000125</v>
      </c>
      <c r="H46" s="1048">
        <v>52.083999999999946</v>
      </c>
      <c r="I46" s="1048">
        <v>48.206999999999994</v>
      </c>
      <c r="J46" s="1048">
        <v>49.197999999999979</v>
      </c>
      <c r="K46" s="1049">
        <v>49.413000000000125</v>
      </c>
      <c r="L46" s="1028"/>
      <c r="M46" s="1045"/>
      <c r="N46" s="1050">
        <f t="shared" si="11"/>
        <v>52.083999999999946</v>
      </c>
      <c r="O46" s="1045">
        <f>N46</f>
        <v>52.083999999999946</v>
      </c>
      <c r="P46" s="1046">
        <f>O46</f>
        <v>52.083999999999946</v>
      </c>
      <c r="Q46" s="1046">
        <f>P46</f>
        <v>52.083999999999946</v>
      </c>
      <c r="R46" s="1045">
        <f t="shared" si="33"/>
        <v>-3.8769999999999527</v>
      </c>
      <c r="S46" s="1046">
        <f t="shared" si="33"/>
        <v>-2.8859999999999673</v>
      </c>
      <c r="T46" s="1046">
        <f t="shared" si="33"/>
        <v>-2.6709999999998217</v>
      </c>
      <c r="U46" s="1050">
        <f t="shared" si="6"/>
        <v>0</v>
      </c>
      <c r="V46" s="948"/>
      <c r="W46" s="1045">
        <f t="shared" si="34"/>
        <v>52.083999999999946</v>
      </c>
      <c r="X46" s="1046">
        <v>48.206999999999994</v>
      </c>
      <c r="Y46" s="1045">
        <f t="shared" si="7"/>
        <v>-3.8769999999999527</v>
      </c>
      <c r="Z46" s="1051">
        <f t="shared" si="3"/>
        <v>-4.3320694331507757E-3</v>
      </c>
      <c r="AA46" s="1017"/>
      <c r="AB46" s="952"/>
      <c r="AC46" s="1017"/>
      <c r="AD46" s="1017"/>
      <c r="AE46" s="1017"/>
      <c r="AF46" s="1017"/>
      <c r="AG46" s="1017"/>
      <c r="AH46" s="1017"/>
      <c r="AI46" s="1017"/>
      <c r="AJ46" s="1017"/>
      <c r="AK46" s="1017"/>
      <c r="AL46" s="1017"/>
      <c r="AM46" s="1017"/>
      <c r="AN46" s="1017"/>
      <c r="AO46" s="1017"/>
      <c r="AP46" s="1017"/>
      <c r="AQ46" s="1017"/>
      <c r="AR46" s="1017"/>
      <c r="AS46" s="1017"/>
      <c r="AT46" s="1017"/>
      <c r="AU46" s="1017"/>
      <c r="AV46" s="1017"/>
      <c r="AW46" s="1017"/>
      <c r="AX46" s="1017"/>
      <c r="AY46" s="1017"/>
      <c r="AZ46" s="1017"/>
      <c r="BA46" s="1017"/>
      <c r="BB46" s="1017"/>
      <c r="BC46" s="1017"/>
      <c r="BD46" s="1017"/>
      <c r="BE46" s="1017"/>
      <c r="BF46" s="1017"/>
      <c r="BG46" s="1017"/>
      <c r="BH46" s="1017"/>
      <c r="BI46" s="1017"/>
      <c r="BJ46" s="1017"/>
      <c r="BK46" s="1017"/>
      <c r="BL46" s="1017"/>
      <c r="BM46" s="1017"/>
      <c r="BN46" s="1017"/>
      <c r="BO46" s="1017"/>
      <c r="BP46" s="1017"/>
      <c r="BQ46" s="1017"/>
      <c r="BR46" s="1017"/>
      <c r="BS46" s="1017"/>
      <c r="BT46" s="1017"/>
      <c r="BU46" s="1017"/>
      <c r="BV46" s="1017"/>
      <c r="BW46" s="1017"/>
      <c r="BX46" s="1017"/>
      <c r="BY46" s="1017"/>
      <c r="BZ46" s="1017"/>
      <c r="CA46" s="1017"/>
      <c r="CB46" s="1017"/>
      <c r="CC46" s="1017"/>
      <c r="CD46" s="1017"/>
      <c r="CE46" s="1017"/>
      <c r="CF46" s="1017"/>
      <c r="CG46" s="1017"/>
      <c r="CH46" s="1017"/>
      <c r="CI46" s="1017"/>
      <c r="CJ46" s="1017"/>
      <c r="CK46" s="1017"/>
      <c r="CL46" s="1017"/>
      <c r="CM46" s="1017"/>
      <c r="CN46" s="1017"/>
      <c r="CO46" s="1017"/>
      <c r="CP46" s="1017"/>
      <c r="CQ46" s="1017"/>
      <c r="CR46" s="1017"/>
      <c r="CS46" s="1017"/>
      <c r="CT46" s="1017"/>
      <c r="CU46" s="1017"/>
      <c r="CV46" s="1017"/>
      <c r="CW46" s="1017"/>
      <c r="CX46" s="1017"/>
      <c r="CY46" s="1017"/>
      <c r="CZ46" s="1017"/>
      <c r="DA46" s="1017"/>
      <c r="DB46" s="1017"/>
      <c r="DC46" s="1017"/>
      <c r="DD46" s="1017"/>
      <c r="DE46" s="1017"/>
      <c r="DF46" s="1017"/>
      <c r="DG46" s="1017"/>
      <c r="DH46" s="1017"/>
      <c r="DI46" s="1017"/>
      <c r="DJ46" s="1017"/>
      <c r="DK46" s="1017"/>
      <c r="DL46" s="1017"/>
      <c r="DM46" s="1017"/>
      <c r="DN46" s="1017"/>
      <c r="DO46" s="1017"/>
      <c r="DP46" s="1017"/>
      <c r="DQ46" s="1017"/>
      <c r="DR46" s="1017"/>
      <c r="DS46" s="1017"/>
      <c r="DT46" s="1017"/>
      <c r="DU46" s="1017"/>
      <c r="DV46" s="1017"/>
      <c r="DW46" s="1017"/>
      <c r="DX46" s="1017"/>
      <c r="DY46" s="1017"/>
      <c r="DZ46" s="1017"/>
      <c r="EA46" s="1017"/>
      <c r="EB46" s="1017"/>
      <c r="EC46" s="1017"/>
      <c r="ED46" s="1017"/>
      <c r="EE46" s="1017"/>
      <c r="EF46" s="1017"/>
      <c r="EG46" s="1017"/>
      <c r="EH46" s="1017"/>
      <c r="EI46" s="1017"/>
      <c r="EJ46" s="1017"/>
      <c r="EK46" s="1017"/>
      <c r="EL46" s="1017"/>
      <c r="EM46" s="1017"/>
      <c r="EN46" s="1017"/>
      <c r="EO46" s="1017"/>
      <c r="EP46" s="1017"/>
      <c r="EQ46" s="1017"/>
      <c r="ER46" s="1017"/>
      <c r="ES46" s="1017"/>
      <c r="ET46" s="1017"/>
      <c r="EU46" s="1017"/>
      <c r="EV46" s="1017"/>
      <c r="EW46" s="1017"/>
      <c r="EX46" s="1017"/>
      <c r="EY46" s="1017"/>
      <c r="EZ46" s="1017"/>
      <c r="FA46" s="1017"/>
      <c r="FB46" s="1017"/>
      <c r="FC46" s="1017"/>
      <c r="FD46" s="1017"/>
      <c r="FE46" s="1017"/>
      <c r="FF46" s="1017"/>
      <c r="FG46" s="1017"/>
      <c r="FH46" s="1017"/>
      <c r="FI46" s="1017"/>
      <c r="FJ46" s="1017"/>
      <c r="FK46" s="1017"/>
      <c r="FL46" s="1017"/>
      <c r="FM46" s="1017"/>
      <c r="FN46" s="1017"/>
      <c r="FO46" s="1017"/>
      <c r="FP46" s="1017"/>
      <c r="FQ46" s="1017"/>
      <c r="FR46" s="1017"/>
      <c r="FS46" s="1017"/>
      <c r="FT46" s="1017"/>
      <c r="FU46" s="1017"/>
      <c r="FV46" s="1017"/>
      <c r="FW46" s="1017"/>
      <c r="FX46" s="1017"/>
      <c r="FY46" s="1017"/>
      <c r="FZ46" s="1017"/>
      <c r="GA46" s="1017"/>
      <c r="GB46" s="1017"/>
      <c r="GC46" s="1017"/>
      <c r="GD46" s="1017"/>
      <c r="GE46" s="1017"/>
      <c r="GF46" s="1017"/>
      <c r="GG46" s="1017"/>
      <c r="GH46" s="1017"/>
      <c r="GI46" s="1017"/>
      <c r="GJ46" s="1017"/>
      <c r="GK46" s="1017"/>
      <c r="GL46" s="1017"/>
      <c r="GM46" s="1017"/>
      <c r="GN46" s="1017"/>
      <c r="GO46" s="1017"/>
      <c r="GP46" s="1017"/>
      <c r="GQ46" s="1017"/>
      <c r="GR46" s="1017"/>
      <c r="GS46" s="1017"/>
      <c r="GT46" s="1017"/>
      <c r="GU46" s="1017"/>
      <c r="GV46" s="1017"/>
      <c r="GW46" s="1017"/>
      <c r="GX46" s="1017"/>
      <c r="GY46" s="1017"/>
      <c r="GZ46" s="1017"/>
      <c r="HA46" s="1017"/>
      <c r="HB46" s="1017"/>
      <c r="HC46" s="1017"/>
      <c r="HD46" s="1017"/>
      <c r="HE46" s="1017"/>
      <c r="HF46" s="1017"/>
      <c r="HG46" s="1017"/>
      <c r="HH46" s="1017"/>
      <c r="HI46" s="1017"/>
      <c r="HJ46" s="1017"/>
      <c r="HK46" s="1017"/>
      <c r="HL46" s="1017"/>
      <c r="HM46" s="1017"/>
      <c r="HN46" s="1017"/>
      <c r="HO46" s="1017"/>
      <c r="HP46" s="1017"/>
      <c r="HQ46" s="1017"/>
      <c r="HR46" s="1017"/>
      <c r="HS46" s="1017"/>
      <c r="HT46" s="1017"/>
      <c r="HU46" s="1017"/>
      <c r="HV46" s="1017"/>
      <c r="HW46" s="1017"/>
      <c r="HX46" s="1017"/>
      <c r="HY46" s="1017"/>
      <c r="HZ46" s="1017"/>
      <c r="IA46" s="1017"/>
      <c r="IB46" s="1017"/>
      <c r="IC46" s="1017"/>
      <c r="ID46" s="1017"/>
      <c r="IE46" s="1017"/>
      <c r="IF46" s="1017"/>
      <c r="IG46" s="1017"/>
      <c r="IH46" s="1017"/>
      <c r="II46" s="1017"/>
      <c r="IJ46" s="1017"/>
      <c r="IK46" s="1017"/>
      <c r="IL46" s="1017"/>
      <c r="IM46" s="1017"/>
    </row>
    <row r="47" spans="1:247">
      <c r="A47" s="790" t="s">
        <v>31</v>
      </c>
      <c r="B47" s="1060" t="s">
        <v>946</v>
      </c>
      <c r="C47" s="1034">
        <v>3555.663</v>
      </c>
      <c r="D47" s="1066">
        <v>3353.3270000000002</v>
      </c>
      <c r="E47" s="1062">
        <v>3600.5410000000002</v>
      </c>
      <c r="F47" s="1062">
        <v>3703.6749999999997</v>
      </c>
      <c r="G47" s="1063">
        <v>3757.9749999999999</v>
      </c>
      <c r="H47" s="1064">
        <f t="shared" ref="H47" si="37">SUM(H48:H57)</f>
        <v>3539.9070263837384</v>
      </c>
      <c r="I47" s="1064">
        <f t="shared" ref="I47:K47" si="38">SUM(I48:I57)</f>
        <v>3756.6172449852406</v>
      </c>
      <c r="J47" s="1064">
        <f t="shared" si="38"/>
        <v>3850.1598300608894</v>
      </c>
      <c r="K47" s="1065">
        <f t="shared" si="38"/>
        <v>3916.1092612611433</v>
      </c>
      <c r="L47" s="1028"/>
      <c r="M47" s="1066">
        <f>SUM(M48:M57)</f>
        <v>0</v>
      </c>
      <c r="N47" s="1034">
        <f t="shared" si="11"/>
        <v>3539.9070263837384</v>
      </c>
      <c r="O47" s="1066">
        <f t="shared" ref="O47:T47" si="39">SUM(O48:O57)</f>
        <v>3680.347331478486</v>
      </c>
      <c r="P47" s="1062">
        <f t="shared" si="39"/>
        <v>3826.0701619395836</v>
      </c>
      <c r="Q47" s="1062">
        <f t="shared" si="39"/>
        <v>3990.3897947020969</v>
      </c>
      <c r="R47" s="1066">
        <f t="shared" si="39"/>
        <v>76.269913506754904</v>
      </c>
      <c r="S47" s="1062">
        <f t="shared" si="39"/>
        <v>24.089668121305806</v>
      </c>
      <c r="T47" s="1062">
        <f t="shared" si="39"/>
        <v>-74.280533440953661</v>
      </c>
      <c r="U47" s="1034">
        <f t="shared" si="6"/>
        <v>140.4403050947476</v>
      </c>
      <c r="V47" s="948"/>
      <c r="W47" s="1066">
        <f>SUM(W48:W57)</f>
        <v>3680.347331478486</v>
      </c>
      <c r="X47" s="1062">
        <f>SUM(X48:X57)</f>
        <v>3702.0596826613692</v>
      </c>
      <c r="Y47" s="1066">
        <f>SUM(Y48:Y57)</f>
        <v>21.71235118288326</v>
      </c>
      <c r="Z47" s="1067">
        <f>SUM(Z48:Z57)</f>
        <v>2.4260875130566115E-2</v>
      </c>
      <c r="AA47" s="1017"/>
      <c r="AB47" s="952"/>
      <c r="AC47" s="1017"/>
      <c r="AD47" s="1017"/>
      <c r="AE47" s="1017"/>
      <c r="AF47" s="1017"/>
      <c r="AG47" s="1017"/>
      <c r="AH47" s="1017"/>
      <c r="AI47" s="1017"/>
      <c r="AJ47" s="1017"/>
      <c r="AK47" s="1017"/>
      <c r="AL47" s="1017"/>
      <c r="AM47" s="1017"/>
      <c r="AN47" s="1017"/>
      <c r="AO47" s="1017"/>
      <c r="AP47" s="1017"/>
      <c r="AQ47" s="1017"/>
      <c r="AR47" s="1017"/>
      <c r="AS47" s="1017"/>
      <c r="AT47" s="1017"/>
      <c r="AU47" s="1017"/>
      <c r="AV47" s="1017"/>
      <c r="AW47" s="1017"/>
      <c r="AX47" s="1017"/>
      <c r="AY47" s="1017"/>
      <c r="AZ47" s="1017"/>
      <c r="BA47" s="1017"/>
      <c r="BB47" s="1017"/>
      <c r="BC47" s="1017"/>
      <c r="BD47" s="1017"/>
      <c r="BE47" s="1017"/>
      <c r="BF47" s="1017"/>
      <c r="BG47" s="1017"/>
      <c r="BH47" s="1017"/>
      <c r="BI47" s="1017"/>
      <c r="BJ47" s="1017"/>
      <c r="BK47" s="1017"/>
      <c r="BL47" s="1017"/>
      <c r="BM47" s="1017"/>
      <c r="BN47" s="1017"/>
      <c r="BO47" s="1017"/>
      <c r="BP47" s="1017"/>
      <c r="BQ47" s="1017"/>
      <c r="BR47" s="1017"/>
      <c r="BS47" s="1017"/>
      <c r="BT47" s="1017"/>
      <c r="BU47" s="1017"/>
      <c r="BV47" s="1017"/>
      <c r="BW47" s="1017"/>
      <c r="BX47" s="1017"/>
      <c r="BY47" s="1017"/>
      <c r="BZ47" s="1017"/>
      <c r="CA47" s="1017"/>
      <c r="CB47" s="1017"/>
      <c r="CC47" s="1017"/>
      <c r="CD47" s="1017"/>
      <c r="CE47" s="1017"/>
      <c r="CF47" s="1017"/>
      <c r="CG47" s="1017"/>
      <c r="CH47" s="1017"/>
      <c r="CI47" s="1017"/>
      <c r="CJ47" s="1017"/>
      <c r="CK47" s="1017"/>
      <c r="CL47" s="1017"/>
      <c r="CM47" s="1017"/>
      <c r="CN47" s="1017"/>
      <c r="CO47" s="1017"/>
      <c r="CP47" s="1017"/>
      <c r="CQ47" s="1017"/>
      <c r="CR47" s="1017"/>
      <c r="CS47" s="1017"/>
      <c r="CT47" s="1017"/>
      <c r="CU47" s="1017"/>
      <c r="CV47" s="1017"/>
      <c r="CW47" s="1017"/>
      <c r="CX47" s="1017"/>
      <c r="CY47" s="1017"/>
      <c r="CZ47" s="1017"/>
      <c r="DA47" s="1017"/>
      <c r="DB47" s="1017"/>
      <c r="DC47" s="1017"/>
      <c r="DD47" s="1017"/>
      <c r="DE47" s="1017"/>
      <c r="DF47" s="1017"/>
      <c r="DG47" s="1017"/>
      <c r="DH47" s="1017"/>
      <c r="DI47" s="1017"/>
      <c r="DJ47" s="1017"/>
      <c r="DK47" s="1017"/>
      <c r="DL47" s="1017"/>
      <c r="DM47" s="1017"/>
      <c r="DN47" s="1017"/>
      <c r="DO47" s="1017"/>
      <c r="DP47" s="1017"/>
      <c r="DQ47" s="1017"/>
      <c r="DR47" s="1017"/>
      <c r="DS47" s="1017"/>
      <c r="DT47" s="1017"/>
      <c r="DU47" s="1017"/>
      <c r="DV47" s="1017"/>
      <c r="DW47" s="1017"/>
      <c r="DX47" s="1017"/>
      <c r="DY47" s="1017"/>
      <c r="DZ47" s="1017"/>
      <c r="EA47" s="1017"/>
      <c r="EB47" s="1017"/>
      <c r="EC47" s="1017"/>
      <c r="ED47" s="1017"/>
      <c r="EE47" s="1017"/>
      <c r="EF47" s="1017"/>
      <c r="EG47" s="1017"/>
      <c r="EH47" s="1017"/>
      <c r="EI47" s="1017"/>
      <c r="EJ47" s="1017"/>
      <c r="EK47" s="1017"/>
      <c r="EL47" s="1017"/>
      <c r="EM47" s="1017"/>
      <c r="EN47" s="1017"/>
      <c r="EO47" s="1017"/>
      <c r="EP47" s="1017"/>
      <c r="EQ47" s="1017"/>
      <c r="ER47" s="1017"/>
      <c r="ES47" s="1017"/>
      <c r="ET47" s="1017"/>
      <c r="EU47" s="1017"/>
      <c r="EV47" s="1017"/>
      <c r="EW47" s="1017"/>
      <c r="EX47" s="1017"/>
      <c r="EY47" s="1017"/>
      <c r="EZ47" s="1017"/>
      <c r="FA47" s="1017"/>
      <c r="FB47" s="1017"/>
      <c r="FC47" s="1017"/>
      <c r="FD47" s="1017"/>
      <c r="FE47" s="1017"/>
      <c r="FF47" s="1017"/>
      <c r="FG47" s="1017"/>
      <c r="FH47" s="1017"/>
      <c r="FI47" s="1017"/>
      <c r="FJ47" s="1017"/>
      <c r="FK47" s="1017"/>
      <c r="FL47" s="1017"/>
      <c r="FM47" s="1017"/>
      <c r="FN47" s="1017"/>
      <c r="FO47" s="1017"/>
      <c r="FP47" s="1017"/>
      <c r="FQ47" s="1017"/>
      <c r="FR47" s="1017"/>
      <c r="FS47" s="1017"/>
      <c r="FT47" s="1017"/>
      <c r="FU47" s="1017"/>
      <c r="FV47" s="1017"/>
      <c r="FW47" s="1017"/>
      <c r="FX47" s="1017"/>
      <c r="FY47" s="1017"/>
      <c r="FZ47" s="1017"/>
      <c r="GA47" s="1017"/>
      <c r="GB47" s="1017"/>
      <c r="GC47" s="1017"/>
      <c r="GD47" s="1017"/>
      <c r="GE47" s="1017"/>
      <c r="GF47" s="1017"/>
      <c r="GG47" s="1017"/>
      <c r="GH47" s="1017"/>
      <c r="GI47" s="1017"/>
      <c r="GJ47" s="1017"/>
      <c r="GK47" s="1017"/>
      <c r="GL47" s="1017"/>
      <c r="GM47" s="1017"/>
      <c r="GN47" s="1017"/>
      <c r="GO47" s="1017"/>
      <c r="GP47" s="1017"/>
      <c r="GQ47" s="1017"/>
      <c r="GR47" s="1017"/>
      <c r="GS47" s="1017"/>
      <c r="GT47" s="1017"/>
      <c r="GU47" s="1017"/>
      <c r="GV47" s="1017"/>
      <c r="GW47" s="1017"/>
      <c r="GX47" s="1017"/>
      <c r="GY47" s="1017"/>
      <c r="GZ47" s="1017"/>
      <c r="HA47" s="1017"/>
      <c r="HB47" s="1017"/>
      <c r="HC47" s="1017"/>
      <c r="HD47" s="1017"/>
      <c r="HE47" s="1017"/>
      <c r="HF47" s="1017"/>
      <c r="HG47" s="1017"/>
      <c r="HH47" s="1017"/>
      <c r="HI47" s="1017"/>
      <c r="HJ47" s="1017"/>
      <c r="HK47" s="1017"/>
      <c r="HL47" s="1017"/>
      <c r="HM47" s="1017"/>
      <c r="HN47" s="1017"/>
      <c r="HO47" s="1017"/>
      <c r="HP47" s="1017"/>
      <c r="HQ47" s="1017"/>
      <c r="HR47" s="1017"/>
      <c r="HS47" s="1017"/>
      <c r="HT47" s="1017"/>
      <c r="HU47" s="1017"/>
      <c r="HV47" s="1017"/>
      <c r="HW47" s="1017"/>
      <c r="HX47" s="1017"/>
      <c r="HY47" s="1017"/>
      <c r="HZ47" s="1017"/>
      <c r="IA47" s="1017"/>
      <c r="IB47" s="1017"/>
      <c r="IC47" s="1017"/>
      <c r="ID47" s="1017"/>
      <c r="IE47" s="1017"/>
      <c r="IF47" s="1017"/>
      <c r="IG47" s="1017"/>
      <c r="IH47" s="1017"/>
      <c r="II47" s="1017"/>
      <c r="IJ47" s="1017"/>
      <c r="IK47" s="1017"/>
      <c r="IL47" s="1017"/>
      <c r="IM47" s="1017"/>
    </row>
    <row r="48" spans="1:247" s="957" customFormat="1">
      <c r="A48" s="1052" t="s">
        <v>947</v>
      </c>
      <c r="B48" s="1060"/>
      <c r="C48" s="1050">
        <v>175.27199999999999</v>
      </c>
      <c r="D48" s="1045">
        <v>227.72499999999999</v>
      </c>
      <c r="E48" s="1046">
        <v>259.80900000000003</v>
      </c>
      <c r="F48" s="1046">
        <v>329.33800000000002</v>
      </c>
      <c r="G48" s="1047">
        <v>337.78199999999998</v>
      </c>
      <c r="H48" s="1048">
        <v>183.15597088860889</v>
      </c>
      <c r="I48" s="1048">
        <v>193.75503621136883</v>
      </c>
      <c r="J48" s="1048">
        <v>206.23741279181792</v>
      </c>
      <c r="K48" s="1049">
        <v>218.67843836063139</v>
      </c>
      <c r="L48" s="1028"/>
      <c r="M48" s="1045"/>
      <c r="N48" s="1050">
        <f t="shared" si="11"/>
        <v>183.15597088860889</v>
      </c>
      <c r="O48" s="1045">
        <f>O140+O86</f>
        <v>193.9141144470826</v>
      </c>
      <c r="P48" s="1046">
        <f>P140+P86</f>
        <v>206.63967845810083</v>
      </c>
      <c r="Q48" s="1046">
        <f>Q140+Q86</f>
        <v>219.30969816268515</v>
      </c>
      <c r="R48" s="1045">
        <f t="shared" ref="R48:T57" si="40">I48-O48</f>
        <v>-0.15907823571376412</v>
      </c>
      <c r="S48" s="1046">
        <f t="shared" si="40"/>
        <v>-0.40226566628291494</v>
      </c>
      <c r="T48" s="1046">
        <f t="shared" si="40"/>
        <v>-0.63125980205376209</v>
      </c>
      <c r="U48" s="1050">
        <f t="shared" si="6"/>
        <v>10.758143558473705</v>
      </c>
      <c r="V48" s="948"/>
      <c r="W48" s="1045">
        <f t="shared" si="34"/>
        <v>193.9141144470826</v>
      </c>
      <c r="X48" s="1046">
        <v>193.75503621136883</v>
      </c>
      <c r="Y48" s="1045">
        <f t="shared" ref="Y48:Y56" si="41">X48-W48</f>
        <v>-0.15907823571376412</v>
      </c>
      <c r="Z48" s="1051">
        <f t="shared" ref="Z48:Z111" si="42">Y48/$X$179*100</f>
        <v>-1.7775031271992779E-4</v>
      </c>
      <c r="AA48" s="958"/>
      <c r="AB48" s="952"/>
      <c r="AC48" s="1042"/>
      <c r="AD48" s="1042"/>
      <c r="AE48" s="1042"/>
      <c r="AF48" s="1042"/>
      <c r="AG48" s="1042"/>
      <c r="AH48" s="1042"/>
      <c r="AI48" s="1042"/>
      <c r="AJ48" s="1042"/>
      <c r="AK48" s="1042"/>
      <c r="AL48" s="1042"/>
      <c r="AM48" s="1042"/>
      <c r="AN48" s="1042"/>
      <c r="AO48" s="1042"/>
      <c r="AP48" s="1042"/>
      <c r="AQ48" s="1042"/>
      <c r="AR48" s="1042"/>
      <c r="AS48" s="1042"/>
      <c r="AT48" s="1042"/>
      <c r="AU48" s="1042"/>
      <c r="AV48" s="1042"/>
      <c r="AW48" s="1042"/>
      <c r="AX48" s="1042"/>
      <c r="AY48" s="1042"/>
      <c r="AZ48" s="1042"/>
      <c r="BA48" s="1042"/>
      <c r="BB48" s="1042"/>
      <c r="BC48" s="1042"/>
      <c r="BD48" s="1042"/>
      <c r="BE48" s="1042"/>
      <c r="BF48" s="1042"/>
      <c r="BG48" s="1042"/>
      <c r="BH48" s="1042"/>
      <c r="BI48" s="1042"/>
      <c r="BJ48" s="1042"/>
      <c r="BK48" s="1042"/>
      <c r="BL48" s="1042"/>
      <c r="BM48" s="1042"/>
      <c r="BN48" s="1042"/>
      <c r="BO48" s="1042"/>
      <c r="BP48" s="1042"/>
      <c r="BQ48" s="1042"/>
      <c r="BR48" s="1042"/>
      <c r="BS48" s="1042"/>
      <c r="BT48" s="1042"/>
      <c r="BU48" s="1042"/>
      <c r="BV48" s="1042"/>
      <c r="BW48" s="1042"/>
      <c r="BX48" s="1042"/>
      <c r="BY48" s="1042"/>
      <c r="BZ48" s="1042"/>
      <c r="CA48" s="1042"/>
      <c r="CB48" s="1042"/>
      <c r="CC48" s="1042"/>
      <c r="CD48" s="1042"/>
      <c r="CE48" s="1042"/>
      <c r="CF48" s="1042"/>
      <c r="CG48" s="1042"/>
      <c r="CH48" s="1042"/>
      <c r="CI48" s="1042"/>
      <c r="CJ48" s="1042"/>
      <c r="CK48" s="1042"/>
      <c r="CL48" s="1042"/>
      <c r="CM48" s="1042"/>
      <c r="CN48" s="1042"/>
      <c r="CO48" s="1042"/>
      <c r="CP48" s="1042"/>
      <c r="CQ48" s="1042"/>
      <c r="CR48" s="1042"/>
      <c r="CS48" s="1042"/>
      <c r="CT48" s="1042"/>
      <c r="CU48" s="1042"/>
      <c r="CV48" s="1042"/>
      <c r="CW48" s="1042"/>
      <c r="CX48" s="1042"/>
      <c r="CY48" s="1042"/>
      <c r="CZ48" s="1042"/>
      <c r="DA48" s="1042"/>
      <c r="DB48" s="1042"/>
      <c r="DC48" s="1042"/>
      <c r="DD48" s="1042"/>
      <c r="DE48" s="1042"/>
      <c r="DF48" s="1042"/>
      <c r="DG48" s="1042"/>
      <c r="DH48" s="1042"/>
      <c r="DI48" s="1042"/>
      <c r="DJ48" s="1042"/>
      <c r="DK48" s="1042"/>
      <c r="DL48" s="1042"/>
      <c r="DM48" s="1042"/>
      <c r="DN48" s="1042"/>
      <c r="DO48" s="1042"/>
      <c r="DP48" s="1042"/>
      <c r="DQ48" s="1042"/>
      <c r="DR48" s="1042"/>
      <c r="DS48" s="1042"/>
      <c r="DT48" s="1042"/>
      <c r="DU48" s="1042"/>
      <c r="DV48" s="1042"/>
      <c r="DW48" s="1042"/>
      <c r="DX48" s="1042"/>
      <c r="DY48" s="1042"/>
      <c r="DZ48" s="1042"/>
      <c r="EA48" s="1042"/>
      <c r="EB48" s="1042"/>
      <c r="EC48" s="1042"/>
      <c r="ED48" s="1042"/>
      <c r="EE48" s="1042"/>
      <c r="EF48" s="1042"/>
      <c r="EG48" s="1042"/>
      <c r="EH48" s="1042"/>
      <c r="EI48" s="1042"/>
      <c r="EJ48" s="1042"/>
      <c r="EK48" s="1042"/>
      <c r="EL48" s="1042"/>
      <c r="EM48" s="1042"/>
      <c r="EN48" s="1042"/>
      <c r="EO48" s="1042"/>
      <c r="EP48" s="1042"/>
      <c r="EQ48" s="1042"/>
      <c r="ER48" s="1042"/>
      <c r="ES48" s="1042"/>
      <c r="ET48" s="1042"/>
      <c r="EU48" s="1042"/>
      <c r="EV48" s="1042"/>
      <c r="EW48" s="1042"/>
      <c r="EX48" s="1042"/>
      <c r="EY48" s="1042"/>
      <c r="EZ48" s="1042"/>
      <c r="FA48" s="1042"/>
      <c r="FB48" s="1042"/>
      <c r="FC48" s="1042"/>
      <c r="FD48" s="1042"/>
      <c r="FE48" s="1042"/>
      <c r="FF48" s="1042"/>
      <c r="FG48" s="1042"/>
      <c r="FH48" s="1042"/>
      <c r="FI48" s="1042"/>
      <c r="FJ48" s="1042"/>
      <c r="FK48" s="1042"/>
      <c r="FL48" s="1042"/>
      <c r="FM48" s="1042"/>
      <c r="FN48" s="1042"/>
      <c r="FO48" s="1042"/>
      <c r="FP48" s="1042"/>
      <c r="FQ48" s="1042"/>
      <c r="FR48" s="1042"/>
      <c r="FS48" s="1042"/>
      <c r="FT48" s="1042"/>
      <c r="FU48" s="1042"/>
      <c r="FV48" s="1042"/>
      <c r="FW48" s="1042"/>
      <c r="FX48" s="1042"/>
      <c r="FY48" s="1042"/>
      <c r="FZ48" s="1042"/>
      <c r="GA48" s="1042"/>
      <c r="GB48" s="1042"/>
      <c r="GC48" s="1042"/>
      <c r="GD48" s="1042"/>
      <c r="GE48" s="1042"/>
      <c r="GF48" s="1042"/>
      <c r="GG48" s="1042"/>
      <c r="GH48" s="1042"/>
      <c r="GI48" s="1042"/>
      <c r="GJ48" s="1042"/>
      <c r="GK48" s="1042"/>
      <c r="GL48" s="1042"/>
      <c r="GM48" s="1042"/>
      <c r="GN48" s="1042"/>
      <c r="GO48" s="1042"/>
      <c r="GP48" s="1042"/>
      <c r="GQ48" s="1042"/>
      <c r="GR48" s="1042"/>
      <c r="GS48" s="1042"/>
      <c r="GT48" s="1042"/>
      <c r="GU48" s="1042"/>
      <c r="GV48" s="1042"/>
      <c r="GW48" s="1042"/>
      <c r="GX48" s="1042"/>
      <c r="GY48" s="1042"/>
      <c r="GZ48" s="1042"/>
      <c r="HA48" s="1042"/>
      <c r="HB48" s="1042"/>
      <c r="HC48" s="1042"/>
      <c r="HD48" s="1042"/>
      <c r="HE48" s="1042"/>
      <c r="HF48" s="1042"/>
      <c r="HG48" s="1042"/>
      <c r="HH48" s="1042"/>
      <c r="HI48" s="1042"/>
      <c r="HJ48" s="1042"/>
      <c r="HK48" s="1042"/>
      <c r="HL48" s="1042"/>
      <c r="HM48" s="1042"/>
      <c r="HN48" s="1042"/>
      <c r="HO48" s="1042"/>
      <c r="HP48" s="1042"/>
      <c r="HQ48" s="1042"/>
      <c r="HR48" s="1042"/>
      <c r="HS48" s="1042"/>
      <c r="HT48" s="1042"/>
      <c r="HU48" s="1042"/>
      <c r="HV48" s="1042"/>
      <c r="HW48" s="1042"/>
      <c r="HX48" s="1042"/>
      <c r="HY48" s="1042"/>
      <c r="HZ48" s="1042"/>
      <c r="IA48" s="1042"/>
      <c r="IB48" s="1042"/>
      <c r="IC48" s="1042"/>
      <c r="ID48" s="1042"/>
      <c r="IE48" s="1042"/>
      <c r="IF48" s="1042"/>
      <c r="IG48" s="1042"/>
      <c r="IH48" s="1042"/>
      <c r="II48" s="1042"/>
      <c r="IJ48" s="1042"/>
      <c r="IK48" s="1042"/>
      <c r="IL48" s="1042"/>
      <c r="IM48" s="1042"/>
    </row>
    <row r="49" spans="1:247" s="957" customFormat="1">
      <c r="A49" s="1052" t="s">
        <v>948</v>
      </c>
      <c r="B49" s="1060"/>
      <c r="C49" s="1050">
        <v>71.778000000000006</v>
      </c>
      <c r="D49" s="1045">
        <v>69.644000000000005</v>
      </c>
      <c r="E49" s="1046">
        <v>75.424000000000007</v>
      </c>
      <c r="F49" s="1046">
        <v>72.177999999999997</v>
      </c>
      <c r="G49" s="1047">
        <v>73.731999999999999</v>
      </c>
      <c r="H49" s="1048">
        <v>69.644000000000005</v>
      </c>
      <c r="I49" s="1048">
        <v>75.424000000000007</v>
      </c>
      <c r="J49" s="1048">
        <v>72.177999999999997</v>
      </c>
      <c r="K49" s="1049">
        <v>73.731999999999999</v>
      </c>
      <c r="L49" s="1028"/>
      <c r="M49" s="1045"/>
      <c r="N49" s="1050">
        <f t="shared" si="11"/>
        <v>69.644000000000005</v>
      </c>
      <c r="O49" s="1045">
        <f>O141</f>
        <v>75.424000000000007</v>
      </c>
      <c r="P49" s="1046">
        <f t="shared" ref="P49:Q49" si="43">P141</f>
        <v>72.177999999999997</v>
      </c>
      <c r="Q49" s="1046">
        <f t="shared" si="43"/>
        <v>73.731999999999999</v>
      </c>
      <c r="R49" s="1045">
        <f t="shared" si="40"/>
        <v>0</v>
      </c>
      <c r="S49" s="1046">
        <f t="shared" si="40"/>
        <v>0</v>
      </c>
      <c r="T49" s="1046">
        <f t="shared" si="40"/>
        <v>0</v>
      </c>
      <c r="U49" s="1050">
        <f t="shared" si="6"/>
        <v>5.7800000000000011</v>
      </c>
      <c r="V49" s="948"/>
      <c r="W49" s="1045">
        <f t="shared" si="34"/>
        <v>75.424000000000007</v>
      </c>
      <c r="X49" s="1046">
        <v>75.424000000000007</v>
      </c>
      <c r="Y49" s="1045">
        <f t="shared" si="41"/>
        <v>0</v>
      </c>
      <c r="Z49" s="1051">
        <f t="shared" si="42"/>
        <v>0</v>
      </c>
      <c r="AA49" s="958"/>
      <c r="AB49" s="952"/>
      <c r="AC49" s="1042"/>
      <c r="AD49" s="1042"/>
      <c r="AE49" s="1042"/>
      <c r="AF49" s="1042"/>
      <c r="AG49" s="1042"/>
      <c r="AH49" s="1042"/>
      <c r="AI49" s="1042"/>
      <c r="AJ49" s="1042"/>
      <c r="AK49" s="1042"/>
      <c r="AL49" s="1042"/>
      <c r="AM49" s="1042"/>
      <c r="AN49" s="1042"/>
      <c r="AO49" s="1042"/>
      <c r="AP49" s="1042"/>
      <c r="AQ49" s="1042"/>
      <c r="AR49" s="1042"/>
      <c r="AS49" s="1042"/>
      <c r="AT49" s="1042"/>
      <c r="AU49" s="1042"/>
      <c r="AV49" s="1042"/>
      <c r="AW49" s="1042"/>
      <c r="AX49" s="1042"/>
      <c r="AY49" s="1042"/>
      <c r="AZ49" s="1042"/>
      <c r="BA49" s="1042"/>
      <c r="BB49" s="1042"/>
      <c r="BC49" s="1042"/>
      <c r="BD49" s="1042"/>
      <c r="BE49" s="1042"/>
      <c r="BF49" s="1042"/>
      <c r="BG49" s="1042"/>
      <c r="BH49" s="1042"/>
      <c r="BI49" s="1042"/>
      <c r="BJ49" s="1042"/>
      <c r="BK49" s="1042"/>
      <c r="BL49" s="1042"/>
      <c r="BM49" s="1042"/>
      <c r="BN49" s="1042"/>
      <c r="BO49" s="1042"/>
      <c r="BP49" s="1042"/>
      <c r="BQ49" s="1042"/>
      <c r="BR49" s="1042"/>
      <c r="BS49" s="1042"/>
      <c r="BT49" s="1042"/>
      <c r="BU49" s="1042"/>
      <c r="BV49" s="1042"/>
      <c r="BW49" s="1042"/>
      <c r="BX49" s="1042"/>
      <c r="BY49" s="1042"/>
      <c r="BZ49" s="1042"/>
      <c r="CA49" s="1042"/>
      <c r="CB49" s="1042"/>
      <c r="CC49" s="1042"/>
      <c r="CD49" s="1042"/>
      <c r="CE49" s="1042"/>
      <c r="CF49" s="1042"/>
      <c r="CG49" s="1042"/>
      <c r="CH49" s="1042"/>
      <c r="CI49" s="1042"/>
      <c r="CJ49" s="1042"/>
      <c r="CK49" s="1042"/>
      <c r="CL49" s="1042"/>
      <c r="CM49" s="1042"/>
      <c r="CN49" s="1042"/>
      <c r="CO49" s="1042"/>
      <c r="CP49" s="1042"/>
      <c r="CQ49" s="1042"/>
      <c r="CR49" s="1042"/>
      <c r="CS49" s="1042"/>
      <c r="CT49" s="1042"/>
      <c r="CU49" s="1042"/>
      <c r="CV49" s="1042"/>
      <c r="CW49" s="1042"/>
      <c r="CX49" s="1042"/>
      <c r="CY49" s="1042"/>
      <c r="CZ49" s="1042"/>
      <c r="DA49" s="1042"/>
      <c r="DB49" s="1042"/>
      <c r="DC49" s="1042"/>
      <c r="DD49" s="1042"/>
      <c r="DE49" s="1042"/>
      <c r="DF49" s="1042"/>
      <c r="DG49" s="1042"/>
      <c r="DH49" s="1042"/>
      <c r="DI49" s="1042"/>
      <c r="DJ49" s="1042"/>
      <c r="DK49" s="1042"/>
      <c r="DL49" s="1042"/>
      <c r="DM49" s="1042"/>
      <c r="DN49" s="1042"/>
      <c r="DO49" s="1042"/>
      <c r="DP49" s="1042"/>
      <c r="DQ49" s="1042"/>
      <c r="DR49" s="1042"/>
      <c r="DS49" s="1042"/>
      <c r="DT49" s="1042"/>
      <c r="DU49" s="1042"/>
      <c r="DV49" s="1042"/>
      <c r="DW49" s="1042"/>
      <c r="DX49" s="1042"/>
      <c r="DY49" s="1042"/>
      <c r="DZ49" s="1042"/>
      <c r="EA49" s="1042"/>
      <c r="EB49" s="1042"/>
      <c r="EC49" s="1042"/>
      <c r="ED49" s="1042"/>
      <c r="EE49" s="1042"/>
      <c r="EF49" s="1042"/>
      <c r="EG49" s="1042"/>
      <c r="EH49" s="1042"/>
      <c r="EI49" s="1042"/>
      <c r="EJ49" s="1042"/>
      <c r="EK49" s="1042"/>
      <c r="EL49" s="1042"/>
      <c r="EM49" s="1042"/>
      <c r="EN49" s="1042"/>
      <c r="EO49" s="1042"/>
      <c r="EP49" s="1042"/>
      <c r="EQ49" s="1042"/>
      <c r="ER49" s="1042"/>
      <c r="ES49" s="1042"/>
      <c r="ET49" s="1042"/>
      <c r="EU49" s="1042"/>
      <c r="EV49" s="1042"/>
      <c r="EW49" s="1042"/>
      <c r="EX49" s="1042"/>
      <c r="EY49" s="1042"/>
      <c r="EZ49" s="1042"/>
      <c r="FA49" s="1042"/>
      <c r="FB49" s="1042"/>
      <c r="FC49" s="1042"/>
      <c r="FD49" s="1042"/>
      <c r="FE49" s="1042"/>
      <c r="FF49" s="1042"/>
      <c r="FG49" s="1042"/>
      <c r="FH49" s="1042"/>
      <c r="FI49" s="1042"/>
      <c r="FJ49" s="1042"/>
      <c r="FK49" s="1042"/>
      <c r="FL49" s="1042"/>
      <c r="FM49" s="1042"/>
      <c r="FN49" s="1042"/>
      <c r="FO49" s="1042"/>
      <c r="FP49" s="1042"/>
      <c r="FQ49" s="1042"/>
      <c r="FR49" s="1042"/>
      <c r="FS49" s="1042"/>
      <c r="FT49" s="1042"/>
      <c r="FU49" s="1042"/>
      <c r="FV49" s="1042"/>
      <c r="FW49" s="1042"/>
      <c r="FX49" s="1042"/>
      <c r="FY49" s="1042"/>
      <c r="FZ49" s="1042"/>
      <c r="GA49" s="1042"/>
      <c r="GB49" s="1042"/>
      <c r="GC49" s="1042"/>
      <c r="GD49" s="1042"/>
      <c r="GE49" s="1042"/>
      <c r="GF49" s="1042"/>
      <c r="GG49" s="1042"/>
      <c r="GH49" s="1042"/>
      <c r="GI49" s="1042"/>
      <c r="GJ49" s="1042"/>
      <c r="GK49" s="1042"/>
      <c r="GL49" s="1042"/>
      <c r="GM49" s="1042"/>
      <c r="GN49" s="1042"/>
      <c r="GO49" s="1042"/>
      <c r="GP49" s="1042"/>
      <c r="GQ49" s="1042"/>
      <c r="GR49" s="1042"/>
      <c r="GS49" s="1042"/>
      <c r="GT49" s="1042"/>
      <c r="GU49" s="1042"/>
      <c r="GV49" s="1042"/>
      <c r="GW49" s="1042"/>
      <c r="GX49" s="1042"/>
      <c r="GY49" s="1042"/>
      <c r="GZ49" s="1042"/>
      <c r="HA49" s="1042"/>
      <c r="HB49" s="1042"/>
      <c r="HC49" s="1042"/>
      <c r="HD49" s="1042"/>
      <c r="HE49" s="1042"/>
      <c r="HF49" s="1042"/>
      <c r="HG49" s="1042"/>
      <c r="HH49" s="1042"/>
      <c r="HI49" s="1042"/>
      <c r="HJ49" s="1042"/>
      <c r="HK49" s="1042"/>
      <c r="HL49" s="1042"/>
      <c r="HM49" s="1042"/>
      <c r="HN49" s="1042"/>
      <c r="HO49" s="1042"/>
      <c r="HP49" s="1042"/>
      <c r="HQ49" s="1042"/>
      <c r="HR49" s="1042"/>
      <c r="HS49" s="1042"/>
      <c r="HT49" s="1042"/>
      <c r="HU49" s="1042"/>
      <c r="HV49" s="1042"/>
      <c r="HW49" s="1042"/>
      <c r="HX49" s="1042"/>
      <c r="HY49" s="1042"/>
      <c r="HZ49" s="1042"/>
      <c r="IA49" s="1042"/>
      <c r="IB49" s="1042"/>
      <c r="IC49" s="1042"/>
      <c r="ID49" s="1042"/>
      <c r="IE49" s="1042"/>
      <c r="IF49" s="1042"/>
      <c r="IG49" s="1042"/>
      <c r="IH49" s="1042"/>
      <c r="II49" s="1042"/>
      <c r="IJ49" s="1042"/>
      <c r="IK49" s="1042"/>
      <c r="IL49" s="1042"/>
      <c r="IM49" s="1042"/>
    </row>
    <row r="50" spans="1:247" s="957" customFormat="1">
      <c r="A50" s="1052" t="s">
        <v>927</v>
      </c>
      <c r="B50" s="1060"/>
      <c r="C50" s="1050">
        <v>58.862000000000002</v>
      </c>
      <c r="D50" s="1045">
        <v>0</v>
      </c>
      <c r="E50" s="1046">
        <v>0</v>
      </c>
      <c r="F50" s="1046">
        <v>0</v>
      </c>
      <c r="G50" s="1047">
        <v>0</v>
      </c>
      <c r="H50" s="1048">
        <v>90.597999999999999</v>
      </c>
      <c r="I50" s="1048">
        <v>94.04025</v>
      </c>
      <c r="J50" s="1048">
        <v>98.28</v>
      </c>
      <c r="K50" s="1049">
        <v>98.28</v>
      </c>
      <c r="L50" s="1028"/>
      <c r="M50" s="1045"/>
      <c r="N50" s="1050">
        <f t="shared" si="11"/>
        <v>90.597999999999999</v>
      </c>
      <c r="O50" s="1045">
        <f>N50</f>
        <v>90.597999999999999</v>
      </c>
      <c r="P50" s="1046">
        <f>O50</f>
        <v>90.597999999999999</v>
      </c>
      <c r="Q50" s="1046">
        <f>P50</f>
        <v>90.597999999999999</v>
      </c>
      <c r="R50" s="1045">
        <f t="shared" si="40"/>
        <v>3.4422500000000014</v>
      </c>
      <c r="S50" s="1046">
        <f t="shared" si="40"/>
        <v>7.6820000000000022</v>
      </c>
      <c r="T50" s="1046">
        <f t="shared" si="40"/>
        <v>7.6820000000000022</v>
      </c>
      <c r="U50" s="1050">
        <f t="shared" si="6"/>
        <v>0</v>
      </c>
      <c r="V50" s="948"/>
      <c r="W50" s="1045">
        <f t="shared" si="34"/>
        <v>90.597999999999999</v>
      </c>
      <c r="X50" s="1046">
        <v>125.387</v>
      </c>
      <c r="Y50" s="1045">
        <f t="shared" si="41"/>
        <v>34.789000000000001</v>
      </c>
      <c r="Z50" s="1051">
        <f t="shared" si="42"/>
        <v>3.8872417722435951E-2</v>
      </c>
      <c r="AA50" s="958"/>
      <c r="AB50" s="952"/>
      <c r="AC50" s="1042"/>
      <c r="AD50" s="1042"/>
      <c r="AE50" s="1042"/>
      <c r="AF50" s="1042"/>
      <c r="AG50" s="1042"/>
      <c r="AH50" s="1042"/>
      <c r="AI50" s="1042"/>
      <c r="AJ50" s="1042"/>
      <c r="AK50" s="1042"/>
      <c r="AL50" s="1042"/>
      <c r="AM50" s="1042"/>
      <c r="AN50" s="1042"/>
      <c r="AO50" s="1042"/>
      <c r="AP50" s="1042"/>
      <c r="AQ50" s="1042"/>
      <c r="AR50" s="1042"/>
      <c r="AS50" s="1042"/>
      <c r="AT50" s="1042"/>
      <c r="AU50" s="1042"/>
      <c r="AV50" s="1042"/>
      <c r="AW50" s="1042"/>
      <c r="AX50" s="1042"/>
      <c r="AY50" s="1042"/>
      <c r="AZ50" s="1042"/>
      <c r="BA50" s="1042"/>
      <c r="BB50" s="1042"/>
      <c r="BC50" s="1042"/>
      <c r="BD50" s="1042"/>
      <c r="BE50" s="1042"/>
      <c r="BF50" s="1042"/>
      <c r="BG50" s="1042"/>
      <c r="BH50" s="1042"/>
      <c r="BI50" s="1042"/>
      <c r="BJ50" s="1042"/>
      <c r="BK50" s="1042"/>
      <c r="BL50" s="1042"/>
      <c r="BM50" s="1042"/>
      <c r="BN50" s="1042"/>
      <c r="BO50" s="1042"/>
      <c r="BP50" s="1042"/>
      <c r="BQ50" s="1042"/>
      <c r="BR50" s="1042"/>
      <c r="BS50" s="1042"/>
      <c r="BT50" s="1042"/>
      <c r="BU50" s="1042"/>
      <c r="BV50" s="1042"/>
      <c r="BW50" s="1042"/>
      <c r="BX50" s="1042"/>
      <c r="BY50" s="1042"/>
      <c r="BZ50" s="1042"/>
      <c r="CA50" s="1042"/>
      <c r="CB50" s="1042"/>
      <c r="CC50" s="1042"/>
      <c r="CD50" s="1042"/>
      <c r="CE50" s="1042"/>
      <c r="CF50" s="1042"/>
      <c r="CG50" s="1042"/>
      <c r="CH50" s="1042"/>
      <c r="CI50" s="1042"/>
      <c r="CJ50" s="1042"/>
      <c r="CK50" s="1042"/>
      <c r="CL50" s="1042"/>
      <c r="CM50" s="1042"/>
      <c r="CN50" s="1042"/>
      <c r="CO50" s="1042"/>
      <c r="CP50" s="1042"/>
      <c r="CQ50" s="1042"/>
      <c r="CR50" s="1042"/>
      <c r="CS50" s="1042"/>
      <c r="CT50" s="1042"/>
      <c r="CU50" s="1042"/>
      <c r="CV50" s="1042"/>
      <c r="CW50" s="1042"/>
      <c r="CX50" s="1042"/>
      <c r="CY50" s="1042"/>
      <c r="CZ50" s="1042"/>
      <c r="DA50" s="1042"/>
      <c r="DB50" s="1042"/>
      <c r="DC50" s="1042"/>
      <c r="DD50" s="1042"/>
      <c r="DE50" s="1042"/>
      <c r="DF50" s="1042"/>
      <c r="DG50" s="1042"/>
      <c r="DH50" s="1042"/>
      <c r="DI50" s="1042"/>
      <c r="DJ50" s="1042"/>
      <c r="DK50" s="1042"/>
      <c r="DL50" s="1042"/>
      <c r="DM50" s="1042"/>
      <c r="DN50" s="1042"/>
      <c r="DO50" s="1042"/>
      <c r="DP50" s="1042"/>
      <c r="DQ50" s="1042"/>
      <c r="DR50" s="1042"/>
      <c r="DS50" s="1042"/>
      <c r="DT50" s="1042"/>
      <c r="DU50" s="1042"/>
      <c r="DV50" s="1042"/>
      <c r="DW50" s="1042"/>
      <c r="DX50" s="1042"/>
      <c r="DY50" s="1042"/>
      <c r="DZ50" s="1042"/>
      <c r="EA50" s="1042"/>
      <c r="EB50" s="1042"/>
      <c r="EC50" s="1042"/>
      <c r="ED50" s="1042"/>
      <c r="EE50" s="1042"/>
      <c r="EF50" s="1042"/>
      <c r="EG50" s="1042"/>
      <c r="EH50" s="1042"/>
      <c r="EI50" s="1042"/>
      <c r="EJ50" s="1042"/>
      <c r="EK50" s="1042"/>
      <c r="EL50" s="1042"/>
      <c r="EM50" s="1042"/>
      <c r="EN50" s="1042"/>
      <c r="EO50" s="1042"/>
      <c r="EP50" s="1042"/>
      <c r="EQ50" s="1042"/>
      <c r="ER50" s="1042"/>
      <c r="ES50" s="1042"/>
      <c r="ET50" s="1042"/>
      <c r="EU50" s="1042"/>
      <c r="EV50" s="1042"/>
      <c r="EW50" s="1042"/>
      <c r="EX50" s="1042"/>
      <c r="EY50" s="1042"/>
      <c r="EZ50" s="1042"/>
      <c r="FA50" s="1042"/>
      <c r="FB50" s="1042"/>
      <c r="FC50" s="1042"/>
      <c r="FD50" s="1042"/>
      <c r="FE50" s="1042"/>
      <c r="FF50" s="1042"/>
      <c r="FG50" s="1042"/>
      <c r="FH50" s="1042"/>
      <c r="FI50" s="1042"/>
      <c r="FJ50" s="1042"/>
      <c r="FK50" s="1042"/>
      <c r="FL50" s="1042"/>
      <c r="FM50" s="1042"/>
      <c r="FN50" s="1042"/>
      <c r="FO50" s="1042"/>
      <c r="FP50" s="1042"/>
      <c r="FQ50" s="1042"/>
      <c r="FR50" s="1042"/>
      <c r="FS50" s="1042"/>
      <c r="FT50" s="1042"/>
      <c r="FU50" s="1042"/>
      <c r="FV50" s="1042"/>
      <c r="FW50" s="1042"/>
      <c r="FX50" s="1042"/>
      <c r="FY50" s="1042"/>
      <c r="FZ50" s="1042"/>
      <c r="GA50" s="1042"/>
      <c r="GB50" s="1042"/>
      <c r="GC50" s="1042"/>
      <c r="GD50" s="1042"/>
      <c r="GE50" s="1042"/>
      <c r="GF50" s="1042"/>
      <c r="GG50" s="1042"/>
      <c r="GH50" s="1042"/>
      <c r="GI50" s="1042"/>
      <c r="GJ50" s="1042"/>
      <c r="GK50" s="1042"/>
      <c r="GL50" s="1042"/>
      <c r="GM50" s="1042"/>
      <c r="GN50" s="1042"/>
      <c r="GO50" s="1042"/>
      <c r="GP50" s="1042"/>
      <c r="GQ50" s="1042"/>
      <c r="GR50" s="1042"/>
      <c r="GS50" s="1042"/>
      <c r="GT50" s="1042"/>
      <c r="GU50" s="1042"/>
      <c r="GV50" s="1042"/>
      <c r="GW50" s="1042"/>
      <c r="GX50" s="1042"/>
      <c r="GY50" s="1042"/>
      <c r="GZ50" s="1042"/>
      <c r="HA50" s="1042"/>
      <c r="HB50" s="1042"/>
      <c r="HC50" s="1042"/>
      <c r="HD50" s="1042"/>
      <c r="HE50" s="1042"/>
      <c r="HF50" s="1042"/>
      <c r="HG50" s="1042"/>
      <c r="HH50" s="1042"/>
      <c r="HI50" s="1042"/>
      <c r="HJ50" s="1042"/>
      <c r="HK50" s="1042"/>
      <c r="HL50" s="1042"/>
      <c r="HM50" s="1042"/>
      <c r="HN50" s="1042"/>
      <c r="HO50" s="1042"/>
      <c r="HP50" s="1042"/>
      <c r="HQ50" s="1042"/>
      <c r="HR50" s="1042"/>
      <c r="HS50" s="1042"/>
      <c r="HT50" s="1042"/>
      <c r="HU50" s="1042"/>
      <c r="HV50" s="1042"/>
      <c r="HW50" s="1042"/>
      <c r="HX50" s="1042"/>
      <c r="HY50" s="1042"/>
      <c r="HZ50" s="1042"/>
      <c r="IA50" s="1042"/>
      <c r="IB50" s="1042"/>
      <c r="IC50" s="1042"/>
      <c r="ID50" s="1042"/>
      <c r="IE50" s="1042"/>
      <c r="IF50" s="1042"/>
      <c r="IG50" s="1042"/>
      <c r="IH50" s="1042"/>
      <c r="II50" s="1042"/>
      <c r="IJ50" s="1042"/>
      <c r="IK50" s="1042"/>
      <c r="IL50" s="1042"/>
      <c r="IM50" s="1042"/>
    </row>
    <row r="51" spans="1:247" s="957" customFormat="1">
      <c r="A51" s="1052" t="s">
        <v>447</v>
      </c>
      <c r="B51" s="1053"/>
      <c r="C51" s="1050">
        <v>594.12699999999995</v>
      </c>
      <c r="D51" s="1045">
        <f>630.885-43.452-32.054</f>
        <v>555.37900000000002</v>
      </c>
      <c r="E51" s="1046">
        <v>597.89599999999996</v>
      </c>
      <c r="F51" s="1046">
        <v>589.21100000000001</v>
      </c>
      <c r="G51" s="1047">
        <v>593.89499999999998</v>
      </c>
      <c r="H51" s="1048">
        <v>555.37900000000002</v>
      </c>
      <c r="I51" s="1048">
        <v>597.89599999999996</v>
      </c>
      <c r="J51" s="1048">
        <v>589.21100000000001</v>
      </c>
      <c r="K51" s="1049">
        <v>593.89499999999998</v>
      </c>
      <c r="L51" s="1028"/>
      <c r="M51" s="1045"/>
      <c r="N51" s="1050">
        <f t="shared" si="11"/>
        <v>555.37900000000002</v>
      </c>
      <c r="O51" s="1045">
        <v>566.43518527608398</v>
      </c>
      <c r="P51" s="1046">
        <v>576.37899139896206</v>
      </c>
      <c r="Q51" s="1046">
        <v>588.30061914195744</v>
      </c>
      <c r="R51" s="1045">
        <f t="shared" si="40"/>
        <v>31.460814723915973</v>
      </c>
      <c r="S51" s="1046">
        <f t="shared" si="40"/>
        <v>12.832008601037955</v>
      </c>
      <c r="T51" s="1046">
        <f t="shared" si="40"/>
        <v>5.5943808580425411</v>
      </c>
      <c r="U51" s="1050">
        <f t="shared" si="6"/>
        <v>11.056185276083966</v>
      </c>
      <c r="V51" s="948"/>
      <c r="W51" s="1045">
        <f t="shared" si="34"/>
        <v>566.43518527608398</v>
      </c>
      <c r="X51" s="1046">
        <v>597.89599999999996</v>
      </c>
      <c r="Y51" s="1045">
        <f t="shared" si="41"/>
        <v>31.460814723915973</v>
      </c>
      <c r="Z51" s="1051">
        <f t="shared" si="42"/>
        <v>3.5153581069769901E-2</v>
      </c>
      <c r="AA51" s="958"/>
      <c r="AB51" s="952"/>
      <c r="AC51" s="1042"/>
      <c r="AD51" s="1042"/>
      <c r="AE51" s="1042"/>
      <c r="AF51" s="1042"/>
      <c r="AG51" s="1042"/>
      <c r="AH51" s="1042"/>
      <c r="AI51" s="1042"/>
      <c r="AJ51" s="1042"/>
      <c r="AK51" s="1042"/>
      <c r="AL51" s="1042"/>
      <c r="AM51" s="1042"/>
      <c r="AN51" s="1042"/>
      <c r="AO51" s="1042"/>
      <c r="AP51" s="1042"/>
      <c r="AQ51" s="1042"/>
      <c r="AR51" s="1042"/>
      <c r="AS51" s="1042"/>
      <c r="AT51" s="1042"/>
      <c r="AU51" s="1042"/>
      <c r="AV51" s="1042"/>
      <c r="AW51" s="1042"/>
      <c r="AX51" s="1042"/>
      <c r="AY51" s="1042"/>
      <c r="AZ51" s="1042"/>
      <c r="BA51" s="1042"/>
      <c r="BB51" s="1042"/>
      <c r="BC51" s="1042"/>
      <c r="BD51" s="1042"/>
      <c r="BE51" s="1042"/>
      <c r="BF51" s="1042"/>
      <c r="BG51" s="1042"/>
      <c r="BH51" s="1042"/>
      <c r="BI51" s="1042"/>
      <c r="BJ51" s="1042"/>
      <c r="BK51" s="1042"/>
      <c r="BL51" s="1042"/>
      <c r="BM51" s="1042"/>
      <c r="BN51" s="1042"/>
      <c r="BO51" s="1042"/>
      <c r="BP51" s="1042"/>
      <c r="BQ51" s="1042"/>
      <c r="BR51" s="1042"/>
      <c r="BS51" s="1042"/>
      <c r="BT51" s="1042"/>
      <c r="BU51" s="1042"/>
      <c r="BV51" s="1042"/>
      <c r="BW51" s="1042"/>
      <c r="BX51" s="1042"/>
      <c r="BY51" s="1042"/>
      <c r="BZ51" s="1042"/>
      <c r="CA51" s="1042"/>
      <c r="CB51" s="1042"/>
      <c r="CC51" s="1042"/>
      <c r="CD51" s="1042"/>
      <c r="CE51" s="1042"/>
      <c r="CF51" s="1042"/>
      <c r="CG51" s="1042"/>
      <c r="CH51" s="1042"/>
      <c r="CI51" s="1042"/>
      <c r="CJ51" s="1042"/>
      <c r="CK51" s="1042"/>
      <c r="CL51" s="1042"/>
      <c r="CM51" s="1042"/>
      <c r="CN51" s="1042"/>
      <c r="CO51" s="1042"/>
      <c r="CP51" s="1042"/>
      <c r="CQ51" s="1042"/>
      <c r="CR51" s="1042"/>
      <c r="CS51" s="1042"/>
      <c r="CT51" s="1042"/>
      <c r="CU51" s="1042"/>
      <c r="CV51" s="1042"/>
      <c r="CW51" s="1042"/>
      <c r="CX51" s="1042"/>
      <c r="CY51" s="1042"/>
      <c r="CZ51" s="1042"/>
      <c r="DA51" s="1042"/>
      <c r="DB51" s="1042"/>
      <c r="DC51" s="1042"/>
      <c r="DD51" s="1042"/>
      <c r="DE51" s="1042"/>
      <c r="DF51" s="1042"/>
      <c r="DG51" s="1042"/>
      <c r="DH51" s="1042"/>
      <c r="DI51" s="1042"/>
      <c r="DJ51" s="1042"/>
      <c r="DK51" s="1042"/>
      <c r="DL51" s="1042"/>
      <c r="DM51" s="1042"/>
      <c r="DN51" s="1042"/>
      <c r="DO51" s="1042"/>
      <c r="DP51" s="1042"/>
      <c r="DQ51" s="1042"/>
      <c r="DR51" s="1042"/>
      <c r="DS51" s="1042"/>
      <c r="DT51" s="1042"/>
      <c r="DU51" s="1042"/>
      <c r="DV51" s="1042"/>
      <c r="DW51" s="1042"/>
      <c r="DX51" s="1042"/>
      <c r="DY51" s="1042"/>
      <c r="DZ51" s="1042"/>
      <c r="EA51" s="1042"/>
      <c r="EB51" s="1042"/>
      <c r="EC51" s="1042"/>
      <c r="ED51" s="1042"/>
      <c r="EE51" s="1042"/>
      <c r="EF51" s="1042"/>
      <c r="EG51" s="1042"/>
      <c r="EH51" s="1042"/>
      <c r="EI51" s="1042"/>
      <c r="EJ51" s="1042"/>
      <c r="EK51" s="1042"/>
      <c r="EL51" s="1042"/>
      <c r="EM51" s="1042"/>
      <c r="EN51" s="1042"/>
      <c r="EO51" s="1042"/>
      <c r="EP51" s="1042"/>
      <c r="EQ51" s="1042"/>
      <c r="ER51" s="1042"/>
      <c r="ES51" s="1042"/>
      <c r="ET51" s="1042"/>
      <c r="EU51" s="1042"/>
      <c r="EV51" s="1042"/>
      <c r="EW51" s="1042"/>
      <c r="EX51" s="1042"/>
      <c r="EY51" s="1042"/>
      <c r="EZ51" s="1042"/>
      <c r="FA51" s="1042"/>
      <c r="FB51" s="1042"/>
      <c r="FC51" s="1042"/>
      <c r="FD51" s="1042"/>
      <c r="FE51" s="1042"/>
      <c r="FF51" s="1042"/>
      <c r="FG51" s="1042"/>
      <c r="FH51" s="1042"/>
      <c r="FI51" s="1042"/>
      <c r="FJ51" s="1042"/>
      <c r="FK51" s="1042"/>
      <c r="FL51" s="1042"/>
      <c r="FM51" s="1042"/>
      <c r="FN51" s="1042"/>
      <c r="FO51" s="1042"/>
      <c r="FP51" s="1042"/>
      <c r="FQ51" s="1042"/>
      <c r="FR51" s="1042"/>
      <c r="FS51" s="1042"/>
      <c r="FT51" s="1042"/>
      <c r="FU51" s="1042"/>
      <c r="FV51" s="1042"/>
      <c r="FW51" s="1042"/>
      <c r="FX51" s="1042"/>
      <c r="FY51" s="1042"/>
      <c r="FZ51" s="1042"/>
      <c r="GA51" s="1042"/>
      <c r="GB51" s="1042"/>
      <c r="GC51" s="1042"/>
      <c r="GD51" s="1042"/>
      <c r="GE51" s="1042"/>
      <c r="GF51" s="1042"/>
      <c r="GG51" s="1042"/>
      <c r="GH51" s="1042"/>
      <c r="GI51" s="1042"/>
      <c r="GJ51" s="1042"/>
      <c r="GK51" s="1042"/>
      <c r="GL51" s="1042"/>
      <c r="GM51" s="1042"/>
      <c r="GN51" s="1042"/>
      <c r="GO51" s="1042"/>
      <c r="GP51" s="1042"/>
      <c r="GQ51" s="1042"/>
      <c r="GR51" s="1042"/>
      <c r="GS51" s="1042"/>
      <c r="GT51" s="1042"/>
      <c r="GU51" s="1042"/>
      <c r="GV51" s="1042"/>
      <c r="GW51" s="1042"/>
      <c r="GX51" s="1042"/>
      <c r="GY51" s="1042"/>
      <c r="GZ51" s="1042"/>
      <c r="HA51" s="1042"/>
      <c r="HB51" s="1042"/>
      <c r="HC51" s="1042"/>
      <c r="HD51" s="1042"/>
      <c r="HE51" s="1042"/>
      <c r="HF51" s="1042"/>
      <c r="HG51" s="1042"/>
      <c r="HH51" s="1042"/>
      <c r="HI51" s="1042"/>
      <c r="HJ51" s="1042"/>
      <c r="HK51" s="1042"/>
      <c r="HL51" s="1042"/>
      <c r="HM51" s="1042"/>
      <c r="HN51" s="1042"/>
      <c r="HO51" s="1042"/>
      <c r="HP51" s="1042"/>
      <c r="HQ51" s="1042"/>
      <c r="HR51" s="1042"/>
      <c r="HS51" s="1042"/>
      <c r="HT51" s="1042"/>
      <c r="HU51" s="1042"/>
      <c r="HV51" s="1042"/>
      <c r="HW51" s="1042"/>
      <c r="HX51" s="1042"/>
      <c r="HY51" s="1042"/>
      <c r="HZ51" s="1042"/>
      <c r="IA51" s="1042"/>
      <c r="IB51" s="1042"/>
      <c r="IC51" s="1042"/>
      <c r="ID51" s="1042"/>
      <c r="IE51" s="1042"/>
      <c r="IF51" s="1042"/>
      <c r="IG51" s="1042"/>
      <c r="IH51" s="1042"/>
      <c r="II51" s="1042"/>
      <c r="IJ51" s="1042"/>
      <c r="IK51" s="1042"/>
      <c r="IL51" s="1042"/>
      <c r="IM51" s="1042"/>
    </row>
    <row r="52" spans="1:247" s="957" customFormat="1">
      <c r="A52" s="1052" t="s">
        <v>949</v>
      </c>
      <c r="B52" s="1053"/>
      <c r="C52" s="1050">
        <v>35.169207040000003</v>
      </c>
      <c r="D52" s="1045">
        <v>-26.9</v>
      </c>
      <c r="E52" s="1046">
        <v>0</v>
      </c>
      <c r="F52" s="1046">
        <v>0</v>
      </c>
      <c r="G52" s="1047">
        <v>0</v>
      </c>
      <c r="H52" s="1048">
        <v>0</v>
      </c>
      <c r="I52" s="1048">
        <v>0</v>
      </c>
      <c r="J52" s="1048">
        <v>0</v>
      </c>
      <c r="K52" s="1049">
        <v>0</v>
      </c>
      <c r="L52" s="1028"/>
      <c r="M52" s="1045"/>
      <c r="N52" s="1050">
        <f t="shared" si="11"/>
        <v>0</v>
      </c>
      <c r="O52" s="1045">
        <v>0</v>
      </c>
      <c r="P52" s="1046">
        <v>0</v>
      </c>
      <c r="Q52" s="1046">
        <v>0</v>
      </c>
      <c r="R52" s="1045">
        <f t="shared" si="40"/>
        <v>0</v>
      </c>
      <c r="S52" s="1046">
        <f t="shared" si="40"/>
        <v>0</v>
      </c>
      <c r="T52" s="1046">
        <f t="shared" si="40"/>
        <v>0</v>
      </c>
      <c r="U52" s="1050">
        <f t="shared" si="6"/>
        <v>0</v>
      </c>
      <c r="V52" s="948"/>
      <c r="W52" s="1045">
        <f t="shared" si="34"/>
        <v>0</v>
      </c>
      <c r="X52" s="1046">
        <v>0</v>
      </c>
      <c r="Y52" s="1045">
        <f t="shared" si="41"/>
        <v>0</v>
      </c>
      <c r="Z52" s="1051">
        <f t="shared" si="42"/>
        <v>0</v>
      </c>
      <c r="AA52" s="958"/>
      <c r="AB52" s="952"/>
      <c r="AC52" s="1042"/>
      <c r="AD52" s="1042"/>
      <c r="AE52" s="1042"/>
      <c r="AF52" s="1042"/>
      <c r="AG52" s="1042"/>
      <c r="AH52" s="1042"/>
      <c r="AI52" s="1042"/>
      <c r="AJ52" s="1042"/>
      <c r="AK52" s="1042"/>
      <c r="AL52" s="1042"/>
      <c r="AM52" s="1042"/>
      <c r="AN52" s="1042"/>
      <c r="AO52" s="1042"/>
      <c r="AP52" s="1042"/>
      <c r="AQ52" s="1042"/>
      <c r="AR52" s="1042"/>
      <c r="AS52" s="1042"/>
      <c r="AT52" s="1042"/>
      <c r="AU52" s="1042"/>
      <c r="AV52" s="1042"/>
      <c r="AW52" s="1042"/>
      <c r="AX52" s="1042"/>
      <c r="AY52" s="1042"/>
      <c r="AZ52" s="1042"/>
      <c r="BA52" s="1042"/>
      <c r="BB52" s="1042"/>
      <c r="BC52" s="1042"/>
      <c r="BD52" s="1042"/>
      <c r="BE52" s="1042"/>
      <c r="BF52" s="1042"/>
      <c r="BG52" s="1042"/>
      <c r="BH52" s="1042"/>
      <c r="BI52" s="1042"/>
      <c r="BJ52" s="1042"/>
      <c r="BK52" s="1042"/>
      <c r="BL52" s="1042"/>
      <c r="BM52" s="1042"/>
      <c r="BN52" s="1042"/>
      <c r="BO52" s="1042"/>
      <c r="BP52" s="1042"/>
      <c r="BQ52" s="1042"/>
      <c r="BR52" s="1042"/>
      <c r="BS52" s="1042"/>
      <c r="BT52" s="1042"/>
      <c r="BU52" s="1042"/>
      <c r="BV52" s="1042"/>
      <c r="BW52" s="1042"/>
      <c r="BX52" s="1042"/>
      <c r="BY52" s="1042"/>
      <c r="BZ52" s="1042"/>
      <c r="CA52" s="1042"/>
      <c r="CB52" s="1042"/>
      <c r="CC52" s="1042"/>
      <c r="CD52" s="1042"/>
      <c r="CE52" s="1042"/>
      <c r="CF52" s="1042"/>
      <c r="CG52" s="1042"/>
      <c r="CH52" s="1042"/>
      <c r="CI52" s="1042"/>
      <c r="CJ52" s="1042"/>
      <c r="CK52" s="1042"/>
      <c r="CL52" s="1042"/>
      <c r="CM52" s="1042"/>
      <c r="CN52" s="1042"/>
      <c r="CO52" s="1042"/>
      <c r="CP52" s="1042"/>
      <c r="CQ52" s="1042"/>
      <c r="CR52" s="1042"/>
      <c r="CS52" s="1042"/>
      <c r="CT52" s="1042"/>
      <c r="CU52" s="1042"/>
      <c r="CV52" s="1042"/>
      <c r="CW52" s="1042"/>
      <c r="CX52" s="1042"/>
      <c r="CY52" s="1042"/>
      <c r="CZ52" s="1042"/>
      <c r="DA52" s="1042"/>
      <c r="DB52" s="1042"/>
      <c r="DC52" s="1042"/>
      <c r="DD52" s="1042"/>
      <c r="DE52" s="1042"/>
      <c r="DF52" s="1042"/>
      <c r="DG52" s="1042"/>
      <c r="DH52" s="1042"/>
      <c r="DI52" s="1042"/>
      <c r="DJ52" s="1042"/>
      <c r="DK52" s="1042"/>
      <c r="DL52" s="1042"/>
      <c r="DM52" s="1042"/>
      <c r="DN52" s="1042"/>
      <c r="DO52" s="1042"/>
      <c r="DP52" s="1042"/>
      <c r="DQ52" s="1042"/>
      <c r="DR52" s="1042"/>
      <c r="DS52" s="1042"/>
      <c r="DT52" s="1042"/>
      <c r="DU52" s="1042"/>
      <c r="DV52" s="1042"/>
      <c r="DW52" s="1042"/>
      <c r="DX52" s="1042"/>
      <c r="DY52" s="1042"/>
      <c r="DZ52" s="1042"/>
      <c r="EA52" s="1042"/>
      <c r="EB52" s="1042"/>
      <c r="EC52" s="1042"/>
      <c r="ED52" s="1042"/>
      <c r="EE52" s="1042"/>
      <c r="EF52" s="1042"/>
      <c r="EG52" s="1042"/>
      <c r="EH52" s="1042"/>
      <c r="EI52" s="1042"/>
      <c r="EJ52" s="1042"/>
      <c r="EK52" s="1042"/>
      <c r="EL52" s="1042"/>
      <c r="EM52" s="1042"/>
      <c r="EN52" s="1042"/>
      <c r="EO52" s="1042"/>
      <c r="EP52" s="1042"/>
      <c r="EQ52" s="1042"/>
      <c r="ER52" s="1042"/>
      <c r="ES52" s="1042"/>
      <c r="ET52" s="1042"/>
      <c r="EU52" s="1042"/>
      <c r="EV52" s="1042"/>
      <c r="EW52" s="1042"/>
      <c r="EX52" s="1042"/>
      <c r="EY52" s="1042"/>
      <c r="EZ52" s="1042"/>
      <c r="FA52" s="1042"/>
      <c r="FB52" s="1042"/>
      <c r="FC52" s="1042"/>
      <c r="FD52" s="1042"/>
      <c r="FE52" s="1042"/>
      <c r="FF52" s="1042"/>
      <c r="FG52" s="1042"/>
      <c r="FH52" s="1042"/>
      <c r="FI52" s="1042"/>
      <c r="FJ52" s="1042"/>
      <c r="FK52" s="1042"/>
      <c r="FL52" s="1042"/>
      <c r="FM52" s="1042"/>
      <c r="FN52" s="1042"/>
      <c r="FO52" s="1042"/>
      <c r="FP52" s="1042"/>
      <c r="FQ52" s="1042"/>
      <c r="FR52" s="1042"/>
      <c r="FS52" s="1042"/>
      <c r="FT52" s="1042"/>
      <c r="FU52" s="1042"/>
      <c r="FV52" s="1042"/>
      <c r="FW52" s="1042"/>
      <c r="FX52" s="1042"/>
      <c r="FY52" s="1042"/>
      <c r="FZ52" s="1042"/>
      <c r="GA52" s="1042"/>
      <c r="GB52" s="1042"/>
      <c r="GC52" s="1042"/>
      <c r="GD52" s="1042"/>
      <c r="GE52" s="1042"/>
      <c r="GF52" s="1042"/>
      <c r="GG52" s="1042"/>
      <c r="GH52" s="1042"/>
      <c r="GI52" s="1042"/>
      <c r="GJ52" s="1042"/>
      <c r="GK52" s="1042"/>
      <c r="GL52" s="1042"/>
      <c r="GM52" s="1042"/>
      <c r="GN52" s="1042"/>
      <c r="GO52" s="1042"/>
      <c r="GP52" s="1042"/>
      <c r="GQ52" s="1042"/>
      <c r="GR52" s="1042"/>
      <c r="GS52" s="1042"/>
      <c r="GT52" s="1042"/>
      <c r="GU52" s="1042"/>
      <c r="GV52" s="1042"/>
      <c r="GW52" s="1042"/>
      <c r="GX52" s="1042"/>
      <c r="GY52" s="1042"/>
      <c r="GZ52" s="1042"/>
      <c r="HA52" s="1042"/>
      <c r="HB52" s="1042"/>
      <c r="HC52" s="1042"/>
      <c r="HD52" s="1042"/>
      <c r="HE52" s="1042"/>
      <c r="HF52" s="1042"/>
      <c r="HG52" s="1042"/>
      <c r="HH52" s="1042"/>
      <c r="HI52" s="1042"/>
      <c r="HJ52" s="1042"/>
      <c r="HK52" s="1042"/>
      <c r="HL52" s="1042"/>
      <c r="HM52" s="1042"/>
      <c r="HN52" s="1042"/>
      <c r="HO52" s="1042"/>
      <c r="HP52" s="1042"/>
      <c r="HQ52" s="1042"/>
      <c r="HR52" s="1042"/>
      <c r="HS52" s="1042"/>
      <c r="HT52" s="1042"/>
      <c r="HU52" s="1042"/>
      <c r="HV52" s="1042"/>
      <c r="HW52" s="1042"/>
      <c r="HX52" s="1042"/>
      <c r="HY52" s="1042"/>
      <c r="HZ52" s="1042"/>
      <c r="IA52" s="1042"/>
      <c r="IB52" s="1042"/>
      <c r="IC52" s="1042"/>
      <c r="ID52" s="1042"/>
      <c r="IE52" s="1042"/>
      <c r="IF52" s="1042"/>
      <c r="IG52" s="1042"/>
      <c r="IH52" s="1042"/>
      <c r="II52" s="1042"/>
      <c r="IJ52" s="1042"/>
      <c r="IK52" s="1042"/>
      <c r="IL52" s="1042"/>
      <c r="IM52" s="1042"/>
    </row>
    <row r="53" spans="1:247" s="957" customFormat="1">
      <c r="A53" s="1052" t="s">
        <v>940</v>
      </c>
      <c r="B53" s="1053"/>
      <c r="C53" s="1050">
        <v>1477.749</v>
      </c>
      <c r="D53" s="1045">
        <v>1465.385</v>
      </c>
      <c r="E53" s="1046">
        <v>1564.847</v>
      </c>
      <c r="F53" s="1046">
        <v>1597.8050000000001</v>
      </c>
      <c r="G53" s="1047">
        <v>1623.154</v>
      </c>
      <c r="H53" s="1048">
        <v>1505.385</v>
      </c>
      <c r="I53" s="1048">
        <v>1604.847</v>
      </c>
      <c r="J53" s="1048">
        <v>1637.8050000000001</v>
      </c>
      <c r="K53" s="1049">
        <v>1663.154</v>
      </c>
      <c r="L53" s="1028"/>
      <c r="M53" s="1045"/>
      <c r="N53" s="1050">
        <f t="shared" si="11"/>
        <v>1505.385</v>
      </c>
      <c r="O53" s="1045">
        <v>1595.621176898042</v>
      </c>
      <c r="P53" s="1046">
        <v>1701.5856432177984</v>
      </c>
      <c r="Q53" s="1046">
        <v>1815.3800071164367</v>
      </c>
      <c r="R53" s="1045">
        <f t="shared" si="40"/>
        <v>9.2258231019579853</v>
      </c>
      <c r="S53" s="1046">
        <f t="shared" si="40"/>
        <v>-63.780643217798342</v>
      </c>
      <c r="T53" s="1046">
        <f t="shared" si="40"/>
        <v>-152.22600711643668</v>
      </c>
      <c r="U53" s="1050">
        <f t="shared" si="6"/>
        <v>90.236176898042004</v>
      </c>
      <c r="V53" s="948"/>
      <c r="W53" s="1045">
        <f t="shared" si="34"/>
        <v>1595.621176898042</v>
      </c>
      <c r="X53" s="1046">
        <v>1564.847</v>
      </c>
      <c r="Y53" s="1045">
        <f t="shared" si="41"/>
        <v>-30.774176898042015</v>
      </c>
      <c r="Z53" s="1051">
        <f t="shared" si="42"/>
        <v>-3.4386347967599741E-2</v>
      </c>
      <c r="AA53" s="958"/>
      <c r="AB53" s="952"/>
      <c r="AC53" s="1042"/>
      <c r="AD53" s="1042"/>
      <c r="AE53" s="1042"/>
      <c r="AF53" s="1042"/>
      <c r="AG53" s="1042"/>
      <c r="AH53" s="1042"/>
      <c r="AI53" s="1042"/>
      <c r="AJ53" s="1042"/>
      <c r="AK53" s="1042"/>
      <c r="AL53" s="1042"/>
      <c r="AM53" s="1042"/>
      <c r="AN53" s="1042"/>
      <c r="AO53" s="1042"/>
      <c r="AP53" s="1042"/>
      <c r="AQ53" s="1042"/>
      <c r="AR53" s="1042"/>
      <c r="AS53" s="1042"/>
      <c r="AT53" s="1042"/>
      <c r="AU53" s="1042"/>
      <c r="AV53" s="1042"/>
      <c r="AW53" s="1042"/>
      <c r="AX53" s="1042"/>
      <c r="AY53" s="1042"/>
      <c r="AZ53" s="1042"/>
      <c r="BA53" s="1042"/>
      <c r="BB53" s="1042"/>
      <c r="BC53" s="1042"/>
      <c r="BD53" s="1042"/>
      <c r="BE53" s="1042"/>
      <c r="BF53" s="1042"/>
      <c r="BG53" s="1042"/>
      <c r="BH53" s="1042"/>
      <c r="BI53" s="1042"/>
      <c r="BJ53" s="1042"/>
      <c r="BK53" s="1042"/>
      <c r="BL53" s="1042"/>
      <c r="BM53" s="1042"/>
      <c r="BN53" s="1042"/>
      <c r="BO53" s="1042"/>
      <c r="BP53" s="1042"/>
      <c r="BQ53" s="1042"/>
      <c r="BR53" s="1042"/>
      <c r="BS53" s="1042"/>
      <c r="BT53" s="1042"/>
      <c r="BU53" s="1042"/>
      <c r="BV53" s="1042"/>
      <c r="BW53" s="1042"/>
      <c r="BX53" s="1042"/>
      <c r="BY53" s="1042"/>
      <c r="BZ53" s="1042"/>
      <c r="CA53" s="1042"/>
      <c r="CB53" s="1042"/>
      <c r="CC53" s="1042"/>
      <c r="CD53" s="1042"/>
      <c r="CE53" s="1042"/>
      <c r="CF53" s="1042"/>
      <c r="CG53" s="1042"/>
      <c r="CH53" s="1042"/>
      <c r="CI53" s="1042"/>
      <c r="CJ53" s="1042"/>
      <c r="CK53" s="1042"/>
      <c r="CL53" s="1042"/>
      <c r="CM53" s="1042"/>
      <c r="CN53" s="1042"/>
      <c r="CO53" s="1042"/>
      <c r="CP53" s="1042"/>
      <c r="CQ53" s="1042"/>
      <c r="CR53" s="1042"/>
      <c r="CS53" s="1042"/>
      <c r="CT53" s="1042"/>
      <c r="CU53" s="1042"/>
      <c r="CV53" s="1042"/>
      <c r="CW53" s="1042"/>
      <c r="CX53" s="1042"/>
      <c r="CY53" s="1042"/>
      <c r="CZ53" s="1042"/>
      <c r="DA53" s="1042"/>
      <c r="DB53" s="1042"/>
      <c r="DC53" s="1042"/>
      <c r="DD53" s="1042"/>
      <c r="DE53" s="1042"/>
      <c r="DF53" s="1042"/>
      <c r="DG53" s="1042"/>
      <c r="DH53" s="1042"/>
      <c r="DI53" s="1042"/>
      <c r="DJ53" s="1042"/>
      <c r="DK53" s="1042"/>
      <c r="DL53" s="1042"/>
      <c r="DM53" s="1042"/>
      <c r="DN53" s="1042"/>
      <c r="DO53" s="1042"/>
      <c r="DP53" s="1042"/>
      <c r="DQ53" s="1042"/>
      <c r="DR53" s="1042"/>
      <c r="DS53" s="1042"/>
      <c r="DT53" s="1042"/>
      <c r="DU53" s="1042"/>
      <c r="DV53" s="1042"/>
      <c r="DW53" s="1042"/>
      <c r="DX53" s="1042"/>
      <c r="DY53" s="1042"/>
      <c r="DZ53" s="1042"/>
      <c r="EA53" s="1042"/>
      <c r="EB53" s="1042"/>
      <c r="EC53" s="1042"/>
      <c r="ED53" s="1042"/>
      <c r="EE53" s="1042"/>
      <c r="EF53" s="1042"/>
      <c r="EG53" s="1042"/>
      <c r="EH53" s="1042"/>
      <c r="EI53" s="1042"/>
      <c r="EJ53" s="1042"/>
      <c r="EK53" s="1042"/>
      <c r="EL53" s="1042"/>
      <c r="EM53" s="1042"/>
      <c r="EN53" s="1042"/>
      <c r="EO53" s="1042"/>
      <c r="EP53" s="1042"/>
      <c r="EQ53" s="1042"/>
      <c r="ER53" s="1042"/>
      <c r="ES53" s="1042"/>
      <c r="ET53" s="1042"/>
      <c r="EU53" s="1042"/>
      <c r="EV53" s="1042"/>
      <c r="EW53" s="1042"/>
      <c r="EX53" s="1042"/>
      <c r="EY53" s="1042"/>
      <c r="EZ53" s="1042"/>
      <c r="FA53" s="1042"/>
      <c r="FB53" s="1042"/>
      <c r="FC53" s="1042"/>
      <c r="FD53" s="1042"/>
      <c r="FE53" s="1042"/>
      <c r="FF53" s="1042"/>
      <c r="FG53" s="1042"/>
      <c r="FH53" s="1042"/>
      <c r="FI53" s="1042"/>
      <c r="FJ53" s="1042"/>
      <c r="FK53" s="1042"/>
      <c r="FL53" s="1042"/>
      <c r="FM53" s="1042"/>
      <c r="FN53" s="1042"/>
      <c r="FO53" s="1042"/>
      <c r="FP53" s="1042"/>
      <c r="FQ53" s="1042"/>
      <c r="FR53" s="1042"/>
      <c r="FS53" s="1042"/>
      <c r="FT53" s="1042"/>
      <c r="FU53" s="1042"/>
      <c r="FV53" s="1042"/>
      <c r="FW53" s="1042"/>
      <c r="FX53" s="1042"/>
      <c r="FY53" s="1042"/>
      <c r="FZ53" s="1042"/>
      <c r="GA53" s="1042"/>
      <c r="GB53" s="1042"/>
      <c r="GC53" s="1042"/>
      <c r="GD53" s="1042"/>
      <c r="GE53" s="1042"/>
      <c r="GF53" s="1042"/>
      <c r="GG53" s="1042"/>
      <c r="GH53" s="1042"/>
      <c r="GI53" s="1042"/>
      <c r="GJ53" s="1042"/>
      <c r="GK53" s="1042"/>
      <c r="GL53" s="1042"/>
      <c r="GM53" s="1042"/>
      <c r="GN53" s="1042"/>
      <c r="GO53" s="1042"/>
      <c r="GP53" s="1042"/>
      <c r="GQ53" s="1042"/>
      <c r="GR53" s="1042"/>
      <c r="GS53" s="1042"/>
      <c r="GT53" s="1042"/>
      <c r="GU53" s="1042"/>
      <c r="GV53" s="1042"/>
      <c r="GW53" s="1042"/>
      <c r="GX53" s="1042"/>
      <c r="GY53" s="1042"/>
      <c r="GZ53" s="1042"/>
      <c r="HA53" s="1042"/>
      <c r="HB53" s="1042"/>
      <c r="HC53" s="1042"/>
      <c r="HD53" s="1042"/>
      <c r="HE53" s="1042"/>
      <c r="HF53" s="1042"/>
      <c r="HG53" s="1042"/>
      <c r="HH53" s="1042"/>
      <c r="HI53" s="1042"/>
      <c r="HJ53" s="1042"/>
      <c r="HK53" s="1042"/>
      <c r="HL53" s="1042"/>
      <c r="HM53" s="1042"/>
      <c r="HN53" s="1042"/>
      <c r="HO53" s="1042"/>
      <c r="HP53" s="1042"/>
      <c r="HQ53" s="1042"/>
      <c r="HR53" s="1042"/>
      <c r="HS53" s="1042"/>
      <c r="HT53" s="1042"/>
      <c r="HU53" s="1042"/>
      <c r="HV53" s="1042"/>
      <c r="HW53" s="1042"/>
      <c r="HX53" s="1042"/>
      <c r="HY53" s="1042"/>
      <c r="HZ53" s="1042"/>
      <c r="IA53" s="1042"/>
      <c r="IB53" s="1042"/>
      <c r="IC53" s="1042"/>
      <c r="ID53" s="1042"/>
      <c r="IE53" s="1042"/>
      <c r="IF53" s="1042"/>
      <c r="IG53" s="1042"/>
      <c r="IH53" s="1042"/>
      <c r="II53" s="1042"/>
      <c r="IJ53" s="1042"/>
      <c r="IK53" s="1042"/>
      <c r="IL53" s="1042"/>
      <c r="IM53" s="1042"/>
    </row>
    <row r="54" spans="1:247" s="1077" customFormat="1">
      <c r="A54" s="1052" t="s">
        <v>941</v>
      </c>
      <c r="B54" s="1053"/>
      <c r="C54" s="1071">
        <v>13.53559841</v>
      </c>
      <c r="D54" s="1068">
        <v>0</v>
      </c>
      <c r="E54" s="1069">
        <v>0</v>
      </c>
      <c r="F54" s="1069">
        <v>0</v>
      </c>
      <c r="G54" s="1070">
        <v>0</v>
      </c>
      <c r="H54" s="1072">
        <v>13.53559841</v>
      </c>
      <c r="I54" s="1072">
        <v>13.53559841</v>
      </c>
      <c r="J54" s="1072">
        <v>13.53559841</v>
      </c>
      <c r="K54" s="1073">
        <v>13.53559841</v>
      </c>
      <c r="L54" s="1028"/>
      <c r="M54" s="1045"/>
      <c r="N54" s="1050">
        <f t="shared" si="11"/>
        <v>13.53559841</v>
      </c>
      <c r="O54" s="1045">
        <v>13.80505779511112</v>
      </c>
      <c r="P54" s="1046">
        <v>14.047406472944054</v>
      </c>
      <c r="Q54" s="1046">
        <v>14.337958268245462</v>
      </c>
      <c r="R54" s="1045">
        <f t="shared" si="40"/>
        <v>-0.26945938511111933</v>
      </c>
      <c r="S54" s="1046">
        <f t="shared" si="40"/>
        <v>-0.51180806294405379</v>
      </c>
      <c r="T54" s="1046">
        <f t="shared" si="40"/>
        <v>-0.80235985824546141</v>
      </c>
      <c r="U54" s="1050">
        <f t="shared" si="6"/>
        <v>0.26945938511111933</v>
      </c>
      <c r="V54" s="948"/>
      <c r="W54" s="1075">
        <f>O54</f>
        <v>13.80505779511112</v>
      </c>
      <c r="X54" s="1048">
        <v>13.53559841</v>
      </c>
      <c r="Y54" s="1075">
        <f>X54-W54</f>
        <v>-0.26945938511111933</v>
      </c>
      <c r="Z54" s="1076">
        <f t="shared" si="42"/>
        <v>-3.010876362433576E-4</v>
      </c>
      <c r="AA54" s="1017"/>
      <c r="AB54" s="952"/>
      <c r="AC54" s="1017"/>
      <c r="AD54" s="1017"/>
      <c r="AE54" s="1017"/>
      <c r="AF54" s="1017"/>
      <c r="AG54" s="1017"/>
      <c r="AH54" s="1017"/>
      <c r="AI54" s="1017"/>
      <c r="AJ54" s="1017"/>
      <c r="AK54" s="1017"/>
      <c r="AL54" s="1017"/>
      <c r="AM54" s="1017"/>
      <c r="AN54" s="1017"/>
      <c r="AO54" s="1017"/>
      <c r="AP54" s="1017"/>
      <c r="AQ54" s="1017"/>
      <c r="AR54" s="1017"/>
      <c r="AS54" s="1017"/>
      <c r="AT54" s="1017"/>
      <c r="AU54" s="1017"/>
      <c r="AV54" s="1017"/>
      <c r="AW54" s="1017"/>
      <c r="AX54" s="1017"/>
      <c r="AY54" s="1017"/>
      <c r="AZ54" s="1017"/>
      <c r="BA54" s="1017"/>
      <c r="BB54" s="1017"/>
      <c r="BC54" s="1017"/>
      <c r="BD54" s="1017"/>
      <c r="BE54" s="1017"/>
      <c r="BF54" s="1017"/>
      <c r="BG54" s="1017"/>
      <c r="BH54" s="1017"/>
      <c r="BI54" s="1017"/>
      <c r="BJ54" s="1017"/>
      <c r="BK54" s="1017"/>
      <c r="BL54" s="1017"/>
      <c r="BM54" s="1017"/>
      <c r="BN54" s="1017"/>
      <c r="BO54" s="1017"/>
      <c r="BP54" s="1017"/>
      <c r="BQ54" s="1017"/>
      <c r="BR54" s="1017"/>
      <c r="BS54" s="1017"/>
      <c r="BT54" s="1017"/>
      <c r="BU54" s="1017"/>
      <c r="BV54" s="1017"/>
      <c r="BW54" s="1017"/>
      <c r="BX54" s="1017"/>
      <c r="BY54" s="1017"/>
      <c r="BZ54" s="1017"/>
      <c r="CA54" s="1017"/>
      <c r="CB54" s="1017"/>
      <c r="CC54" s="1017"/>
      <c r="CD54" s="1017"/>
      <c r="CE54" s="1017"/>
      <c r="CF54" s="1017"/>
      <c r="CG54" s="1017"/>
      <c r="CH54" s="1017"/>
      <c r="CI54" s="1017"/>
      <c r="CJ54" s="1017"/>
      <c r="CK54" s="1017"/>
      <c r="CL54" s="1017"/>
      <c r="CM54" s="1017"/>
      <c r="CN54" s="1017"/>
      <c r="CO54" s="1017"/>
      <c r="CP54" s="1017"/>
      <c r="CQ54" s="1017"/>
      <c r="CR54" s="1017"/>
      <c r="CS54" s="1017"/>
      <c r="CT54" s="1017"/>
      <c r="CU54" s="1017"/>
      <c r="CV54" s="1017"/>
      <c r="CW54" s="1017"/>
      <c r="CX54" s="1017"/>
      <c r="CY54" s="1017"/>
      <c r="CZ54" s="1017"/>
      <c r="DA54" s="1017"/>
      <c r="DB54" s="1017"/>
      <c r="DC54" s="1017"/>
      <c r="DD54" s="1017"/>
      <c r="DE54" s="1017"/>
      <c r="DF54" s="1017"/>
      <c r="DG54" s="1017"/>
      <c r="DH54" s="1017"/>
      <c r="DI54" s="1017"/>
      <c r="DJ54" s="1017"/>
      <c r="DK54" s="1017"/>
      <c r="DL54" s="1017"/>
      <c r="DM54" s="1017"/>
      <c r="DN54" s="1017"/>
      <c r="DO54" s="1017"/>
      <c r="DP54" s="1017"/>
      <c r="DQ54" s="1017"/>
      <c r="DR54" s="1017"/>
      <c r="DS54" s="1017"/>
      <c r="DT54" s="1017"/>
      <c r="DU54" s="1017"/>
      <c r="DV54" s="1017"/>
      <c r="DW54" s="1017"/>
      <c r="DX54" s="1017"/>
      <c r="DY54" s="1017"/>
      <c r="DZ54" s="1017"/>
      <c r="EA54" s="1017"/>
      <c r="EB54" s="1017"/>
      <c r="EC54" s="1017"/>
      <c r="ED54" s="1017"/>
      <c r="EE54" s="1017"/>
      <c r="EF54" s="1017"/>
      <c r="EG54" s="1017"/>
      <c r="EH54" s="1017"/>
      <c r="EI54" s="1017"/>
      <c r="EJ54" s="1017"/>
      <c r="EK54" s="1017"/>
      <c r="EL54" s="1017"/>
      <c r="EM54" s="1017"/>
      <c r="EN54" s="1017"/>
      <c r="EO54" s="1017"/>
      <c r="EP54" s="1017"/>
      <c r="EQ54" s="1017"/>
      <c r="ER54" s="1017"/>
      <c r="ES54" s="1017"/>
      <c r="ET54" s="1017"/>
      <c r="EU54" s="1017"/>
      <c r="EV54" s="1017"/>
      <c r="EW54" s="1017"/>
      <c r="EX54" s="1017"/>
      <c r="EY54" s="1017"/>
      <c r="EZ54" s="1017"/>
      <c r="FA54" s="1017"/>
      <c r="FB54" s="1017"/>
      <c r="FC54" s="1017"/>
      <c r="FD54" s="1017"/>
      <c r="FE54" s="1017"/>
      <c r="FF54" s="1017"/>
      <c r="FG54" s="1017"/>
      <c r="FH54" s="1017"/>
      <c r="FI54" s="1017"/>
      <c r="FJ54" s="1017"/>
      <c r="FK54" s="1017"/>
      <c r="FL54" s="1017"/>
      <c r="FM54" s="1017"/>
      <c r="FN54" s="1017"/>
      <c r="FO54" s="1017"/>
      <c r="FP54" s="1017"/>
      <c r="FQ54" s="1017"/>
      <c r="FR54" s="1017"/>
      <c r="FS54" s="1017"/>
      <c r="FT54" s="1017"/>
      <c r="FU54" s="1017"/>
      <c r="FV54" s="1017"/>
      <c r="FW54" s="1017"/>
      <c r="FX54" s="1017"/>
      <c r="FY54" s="1017"/>
      <c r="FZ54" s="1017"/>
      <c r="GA54" s="1017"/>
      <c r="GB54" s="1017"/>
      <c r="GC54" s="1017"/>
      <c r="GD54" s="1017"/>
      <c r="GE54" s="1017"/>
      <c r="GF54" s="1017"/>
      <c r="GG54" s="1017"/>
      <c r="GH54" s="1017"/>
      <c r="GI54" s="1017"/>
      <c r="GJ54" s="1017"/>
      <c r="GK54" s="1017"/>
      <c r="GL54" s="1017"/>
      <c r="GM54" s="1017"/>
      <c r="GN54" s="1017"/>
      <c r="GO54" s="1017"/>
      <c r="GP54" s="1017"/>
      <c r="GQ54" s="1017"/>
      <c r="GR54" s="1017"/>
      <c r="GS54" s="1017"/>
      <c r="GT54" s="1017"/>
      <c r="GU54" s="1017"/>
      <c r="GV54" s="1017"/>
      <c r="GW54" s="1017"/>
      <c r="GX54" s="1017"/>
      <c r="GY54" s="1017"/>
      <c r="GZ54" s="1017"/>
      <c r="HA54" s="1017"/>
      <c r="HB54" s="1017"/>
      <c r="HC54" s="1017"/>
      <c r="HD54" s="1017"/>
      <c r="HE54" s="1017"/>
      <c r="HF54" s="1017"/>
      <c r="HG54" s="1017"/>
      <c r="HH54" s="1017"/>
      <c r="HI54" s="1017"/>
      <c r="HJ54" s="1017"/>
      <c r="HK54" s="1017"/>
      <c r="HL54" s="1017"/>
      <c r="HM54" s="1017"/>
      <c r="HN54" s="1017"/>
      <c r="HO54" s="1017"/>
      <c r="HP54" s="1017"/>
      <c r="HQ54" s="1017"/>
      <c r="HR54" s="1017"/>
      <c r="HS54" s="1017"/>
      <c r="HT54" s="1017"/>
      <c r="HU54" s="1017"/>
      <c r="HV54" s="1017"/>
      <c r="HW54" s="1017"/>
      <c r="HX54" s="1017"/>
      <c r="HY54" s="1017"/>
      <c r="HZ54" s="1017"/>
      <c r="IA54" s="1017"/>
      <c r="IB54" s="1017"/>
      <c r="IC54" s="1017"/>
      <c r="ID54" s="1017"/>
      <c r="IE54" s="1017"/>
      <c r="IF54" s="1017"/>
      <c r="IG54" s="1017"/>
      <c r="IH54" s="1017"/>
      <c r="II54" s="1017"/>
      <c r="IJ54" s="1017"/>
      <c r="IK54" s="1017"/>
      <c r="IL54" s="1017"/>
      <c r="IM54" s="1017"/>
    </row>
    <row r="55" spans="1:247" s="957" customFormat="1">
      <c r="A55" s="1052" t="s">
        <v>942</v>
      </c>
      <c r="B55" s="1053"/>
      <c r="C55" s="1071">
        <v>28.650048040000001</v>
      </c>
      <c r="D55" s="1068">
        <f>26.4</f>
        <v>26.4</v>
      </c>
      <c r="E55" s="1069">
        <v>0</v>
      </c>
      <c r="F55" s="1069">
        <v>0</v>
      </c>
      <c r="G55" s="1070">
        <v>0</v>
      </c>
      <c r="H55" s="1072">
        <v>28.650048040000001</v>
      </c>
      <c r="I55" s="1072">
        <v>28.650048040000001</v>
      </c>
      <c r="J55" s="1072">
        <v>28.650048040000001</v>
      </c>
      <c r="K55" s="1073">
        <v>28.650048040000001</v>
      </c>
      <c r="L55" s="1028"/>
      <c r="M55" s="1068"/>
      <c r="N55" s="1050">
        <f t="shared" si="11"/>
        <v>28.650048040000001</v>
      </c>
      <c r="O55" s="1068">
        <v>29.22039772786891</v>
      </c>
      <c r="P55" s="1069">
        <v>29.733363690069325</v>
      </c>
      <c r="Q55" s="1069">
        <v>30.348358509016052</v>
      </c>
      <c r="R55" s="1045">
        <f t="shared" si="40"/>
        <v>-0.57034968786890872</v>
      </c>
      <c r="S55" s="1046">
        <f t="shared" si="40"/>
        <v>-1.0833156500693235</v>
      </c>
      <c r="T55" s="1046">
        <f t="shared" si="40"/>
        <v>-1.6983104690160502</v>
      </c>
      <c r="U55" s="1050">
        <f t="shared" si="6"/>
        <v>0.57034968786890872</v>
      </c>
      <c r="V55" s="948"/>
      <c r="W55" s="1045">
        <f t="shared" ref="W55:W56" si="44">O55</f>
        <v>29.22039772786891</v>
      </c>
      <c r="X55" s="1046">
        <v>28.650048040000001</v>
      </c>
      <c r="Y55" s="1045">
        <f t="shared" si="41"/>
        <v>-0.57034968786890872</v>
      </c>
      <c r="Z55" s="1051">
        <f t="shared" si="42"/>
        <v>-6.3729544725922506E-4</v>
      </c>
      <c r="AA55" s="1042"/>
      <c r="AB55" s="952"/>
      <c r="AC55" s="1042"/>
      <c r="AD55" s="1078"/>
      <c r="AE55" s="1042"/>
      <c r="AF55" s="1042"/>
      <c r="AG55" s="1042"/>
      <c r="AH55" s="1042"/>
      <c r="AI55" s="1042"/>
      <c r="AJ55" s="1042"/>
      <c r="AK55" s="1042"/>
      <c r="AL55" s="1042"/>
      <c r="AM55" s="1042"/>
      <c r="AN55" s="1042"/>
      <c r="AO55" s="1042"/>
      <c r="AP55" s="1042"/>
      <c r="AQ55" s="1042"/>
      <c r="AR55" s="1042"/>
      <c r="AS55" s="1042"/>
      <c r="AT55" s="1042"/>
      <c r="AU55" s="1042"/>
      <c r="AV55" s="1042"/>
      <c r="AW55" s="1042"/>
      <c r="AX55" s="1042"/>
      <c r="AY55" s="1042"/>
      <c r="AZ55" s="1042"/>
      <c r="BA55" s="1042"/>
      <c r="BB55" s="1042"/>
      <c r="BC55" s="1042"/>
      <c r="BD55" s="1042"/>
      <c r="BE55" s="1042"/>
      <c r="BF55" s="1042"/>
      <c r="BG55" s="1042"/>
      <c r="BH55" s="1042"/>
      <c r="BI55" s="1042"/>
      <c r="BJ55" s="1042"/>
      <c r="BK55" s="1042"/>
      <c r="BL55" s="1042"/>
      <c r="BM55" s="1042"/>
      <c r="BN55" s="1042"/>
      <c r="BO55" s="1042"/>
      <c r="BP55" s="1042"/>
      <c r="BQ55" s="1042"/>
      <c r="BR55" s="1042"/>
      <c r="BS55" s="1042"/>
      <c r="BT55" s="1042"/>
      <c r="BU55" s="1042"/>
      <c r="BV55" s="1042"/>
      <c r="BW55" s="1042"/>
      <c r="BX55" s="1042"/>
      <c r="BY55" s="1042"/>
      <c r="BZ55" s="1042"/>
      <c r="CA55" s="1042"/>
      <c r="CB55" s="1042"/>
      <c r="CC55" s="1042"/>
      <c r="CD55" s="1042"/>
      <c r="CE55" s="1042"/>
      <c r="CF55" s="1042"/>
      <c r="CG55" s="1042"/>
      <c r="CH55" s="1042"/>
      <c r="CI55" s="1042"/>
      <c r="CJ55" s="1042"/>
      <c r="CK55" s="1042"/>
      <c r="CL55" s="1042"/>
      <c r="CM55" s="1042"/>
      <c r="CN55" s="1042"/>
      <c r="CO55" s="1042"/>
      <c r="CP55" s="1042"/>
      <c r="CQ55" s="1042"/>
      <c r="CR55" s="1042"/>
      <c r="CS55" s="1042"/>
      <c r="CT55" s="1042"/>
      <c r="CU55" s="1042"/>
      <c r="CV55" s="1042"/>
      <c r="CW55" s="1042"/>
      <c r="CX55" s="1042"/>
      <c r="CY55" s="1042"/>
      <c r="CZ55" s="1042"/>
      <c r="DA55" s="1042"/>
      <c r="DB55" s="1042"/>
      <c r="DC55" s="1042"/>
      <c r="DD55" s="1042"/>
      <c r="DE55" s="1042"/>
      <c r="DF55" s="1042"/>
      <c r="DG55" s="1042"/>
      <c r="DH55" s="1042"/>
      <c r="DI55" s="1042"/>
      <c r="DJ55" s="1042"/>
      <c r="DK55" s="1042"/>
      <c r="DL55" s="1042"/>
      <c r="DM55" s="1042"/>
      <c r="DN55" s="1042"/>
      <c r="DO55" s="1042"/>
      <c r="DP55" s="1042"/>
      <c r="DQ55" s="1042"/>
      <c r="DR55" s="1042"/>
      <c r="DS55" s="1042"/>
      <c r="DT55" s="1042"/>
      <c r="DU55" s="1042"/>
      <c r="DV55" s="1042"/>
      <c r="DW55" s="1042"/>
      <c r="DX55" s="1042"/>
      <c r="DY55" s="1042"/>
      <c r="DZ55" s="1042"/>
      <c r="EA55" s="1042"/>
      <c r="EB55" s="1042"/>
      <c r="EC55" s="1042"/>
      <c r="ED55" s="1042"/>
      <c r="EE55" s="1042"/>
      <c r="EF55" s="1042"/>
      <c r="EG55" s="1042"/>
      <c r="EH55" s="1042"/>
      <c r="EI55" s="1042"/>
      <c r="EJ55" s="1042"/>
      <c r="EK55" s="1042"/>
      <c r="EL55" s="1042"/>
      <c r="EM55" s="1042"/>
      <c r="EN55" s="1042"/>
      <c r="EO55" s="1042"/>
      <c r="EP55" s="1042"/>
      <c r="EQ55" s="1042"/>
      <c r="ER55" s="1042"/>
      <c r="ES55" s="1042"/>
      <c r="ET55" s="1042"/>
      <c r="EU55" s="1042"/>
      <c r="EV55" s="1042"/>
      <c r="EW55" s="1042"/>
      <c r="EX55" s="1042"/>
      <c r="EY55" s="1042"/>
      <c r="EZ55" s="1042"/>
      <c r="FA55" s="1042"/>
      <c r="FB55" s="1042"/>
      <c r="FC55" s="1042"/>
      <c r="FD55" s="1042"/>
      <c r="FE55" s="1042"/>
      <c r="FF55" s="1042"/>
      <c r="FG55" s="1042"/>
      <c r="FH55" s="1042"/>
      <c r="FI55" s="1042"/>
      <c r="FJ55" s="1042"/>
      <c r="FK55" s="1042"/>
      <c r="FL55" s="1042"/>
      <c r="FM55" s="1042"/>
      <c r="FN55" s="1042"/>
      <c r="FO55" s="1042"/>
      <c r="FP55" s="1042"/>
      <c r="FQ55" s="1042"/>
      <c r="FR55" s="1042"/>
      <c r="FS55" s="1042"/>
      <c r="FT55" s="1042"/>
      <c r="FU55" s="1042"/>
      <c r="FV55" s="1042"/>
      <c r="FW55" s="1042"/>
      <c r="FX55" s="1042"/>
      <c r="FY55" s="1042"/>
      <c r="FZ55" s="1042"/>
      <c r="GA55" s="1042"/>
      <c r="GB55" s="1042"/>
      <c r="GC55" s="1042"/>
      <c r="GD55" s="1042"/>
      <c r="GE55" s="1042"/>
      <c r="GF55" s="1042"/>
      <c r="GG55" s="1042"/>
      <c r="GH55" s="1042"/>
      <c r="GI55" s="1042"/>
      <c r="GJ55" s="1042"/>
      <c r="GK55" s="1042"/>
      <c r="GL55" s="1042"/>
      <c r="GM55" s="1042"/>
      <c r="GN55" s="1042"/>
      <c r="GO55" s="1042"/>
      <c r="GP55" s="1042"/>
      <c r="GQ55" s="1042"/>
      <c r="GR55" s="1042"/>
      <c r="GS55" s="1042"/>
      <c r="GT55" s="1042"/>
      <c r="GU55" s="1042"/>
      <c r="GV55" s="1042"/>
      <c r="GW55" s="1042"/>
      <c r="GX55" s="1042"/>
      <c r="GY55" s="1042"/>
      <c r="GZ55" s="1042"/>
      <c r="HA55" s="1042"/>
      <c r="HB55" s="1042"/>
      <c r="HC55" s="1042"/>
      <c r="HD55" s="1042"/>
      <c r="HE55" s="1042"/>
      <c r="HF55" s="1042"/>
      <c r="HG55" s="1042"/>
      <c r="HH55" s="1042"/>
      <c r="HI55" s="1042"/>
      <c r="HJ55" s="1042"/>
      <c r="HK55" s="1042"/>
      <c r="HL55" s="1042"/>
      <c r="HM55" s="1042"/>
      <c r="HN55" s="1042"/>
      <c r="HO55" s="1042"/>
      <c r="HP55" s="1042"/>
      <c r="HQ55" s="1042"/>
      <c r="HR55" s="1042"/>
      <c r="HS55" s="1042"/>
      <c r="HT55" s="1042"/>
      <c r="HU55" s="1042"/>
      <c r="HV55" s="1042"/>
      <c r="HW55" s="1042"/>
      <c r="HX55" s="1042"/>
      <c r="HY55" s="1042"/>
      <c r="HZ55" s="1042"/>
      <c r="IA55" s="1042"/>
      <c r="IB55" s="1042"/>
      <c r="IC55" s="1042"/>
      <c r="ID55" s="1042"/>
      <c r="IE55" s="1042"/>
      <c r="IF55" s="1042"/>
      <c r="IG55" s="1042"/>
      <c r="IH55" s="1042"/>
      <c r="II55" s="1042"/>
      <c r="IJ55" s="1042"/>
      <c r="IK55" s="1042"/>
      <c r="IL55" s="1042"/>
      <c r="IM55" s="1042"/>
    </row>
    <row r="56" spans="1:247" s="957" customFormat="1">
      <c r="A56" s="1052" t="s">
        <v>950</v>
      </c>
      <c r="B56" s="1053"/>
      <c r="C56" s="1071">
        <v>5.7784000000000004</v>
      </c>
      <c r="D56" s="1068">
        <f>2.541</f>
        <v>2.5409999999999999</v>
      </c>
      <c r="E56" s="1069">
        <v>14.04</v>
      </c>
      <c r="F56" s="1069">
        <v>14.111000000000001</v>
      </c>
      <c r="G56" s="1070">
        <v>14.122</v>
      </c>
      <c r="H56" s="1072">
        <v>2.5409999999999999</v>
      </c>
      <c r="I56" s="1072">
        <v>14.04</v>
      </c>
      <c r="J56" s="1072">
        <v>14.111000000000001</v>
      </c>
      <c r="K56" s="1073">
        <v>14.122</v>
      </c>
      <c r="L56" s="1028"/>
      <c r="M56" s="1068"/>
      <c r="N56" s="1050">
        <f t="shared" si="11"/>
        <v>2.5409999999999999</v>
      </c>
      <c r="O56" s="1068">
        <v>2.5915848560830161</v>
      </c>
      <c r="P56" s="1069">
        <v>2.637080294978317</v>
      </c>
      <c r="Q56" s="1069">
        <v>2.6916247701834495</v>
      </c>
      <c r="R56" s="1045">
        <f t="shared" si="40"/>
        <v>11.448415143916982</v>
      </c>
      <c r="S56" s="1046">
        <f t="shared" si="40"/>
        <v>11.473919705021684</v>
      </c>
      <c r="T56" s="1046">
        <f t="shared" si="40"/>
        <v>11.430375229816551</v>
      </c>
      <c r="U56" s="1050">
        <f t="shared" si="6"/>
        <v>5.0584856083016216E-2</v>
      </c>
      <c r="V56" s="948"/>
      <c r="W56" s="1045">
        <f t="shared" si="44"/>
        <v>2.5915848560830161</v>
      </c>
      <c r="X56" s="1046">
        <v>14.04</v>
      </c>
      <c r="Y56" s="1045">
        <f t="shared" si="41"/>
        <v>11.448415143916982</v>
      </c>
      <c r="Z56" s="1051">
        <f t="shared" si="42"/>
        <v>1.2792192237034769E-2</v>
      </c>
      <c r="AA56" s="1042"/>
      <c r="AB56" s="952"/>
      <c r="AC56" s="1042"/>
      <c r="AD56" s="1078"/>
      <c r="AE56" s="1042"/>
      <c r="AF56" s="1042"/>
      <c r="AG56" s="1042"/>
      <c r="AH56" s="1042"/>
      <c r="AI56" s="1042"/>
      <c r="AJ56" s="1042"/>
      <c r="AK56" s="1042"/>
      <c r="AL56" s="1042"/>
      <c r="AM56" s="1042"/>
      <c r="AN56" s="1042"/>
      <c r="AO56" s="1042"/>
      <c r="AP56" s="1042"/>
      <c r="AQ56" s="1042"/>
      <c r="AR56" s="1042"/>
      <c r="AS56" s="1042"/>
      <c r="AT56" s="1042"/>
      <c r="AU56" s="1042"/>
      <c r="AV56" s="1042"/>
      <c r="AW56" s="1042"/>
      <c r="AX56" s="1042"/>
      <c r="AY56" s="1042"/>
      <c r="AZ56" s="1042"/>
      <c r="BA56" s="1042"/>
      <c r="BB56" s="1042"/>
      <c r="BC56" s="1042"/>
      <c r="BD56" s="1042"/>
      <c r="BE56" s="1042"/>
      <c r="BF56" s="1042"/>
      <c r="BG56" s="1042"/>
      <c r="BH56" s="1042"/>
      <c r="BI56" s="1042"/>
      <c r="BJ56" s="1042"/>
      <c r="BK56" s="1042"/>
      <c r="BL56" s="1042"/>
      <c r="BM56" s="1042"/>
      <c r="BN56" s="1042"/>
      <c r="BO56" s="1042"/>
      <c r="BP56" s="1042"/>
      <c r="BQ56" s="1042"/>
      <c r="BR56" s="1042"/>
      <c r="BS56" s="1042"/>
      <c r="BT56" s="1042"/>
      <c r="BU56" s="1042"/>
      <c r="BV56" s="1042"/>
      <c r="BW56" s="1042"/>
      <c r="BX56" s="1042"/>
      <c r="BY56" s="1042"/>
      <c r="BZ56" s="1042"/>
      <c r="CA56" s="1042"/>
      <c r="CB56" s="1042"/>
      <c r="CC56" s="1042"/>
      <c r="CD56" s="1042"/>
      <c r="CE56" s="1042"/>
      <c r="CF56" s="1042"/>
      <c r="CG56" s="1042"/>
      <c r="CH56" s="1042"/>
      <c r="CI56" s="1042"/>
      <c r="CJ56" s="1042"/>
      <c r="CK56" s="1042"/>
      <c r="CL56" s="1042"/>
      <c r="CM56" s="1042"/>
      <c r="CN56" s="1042"/>
      <c r="CO56" s="1042"/>
      <c r="CP56" s="1042"/>
      <c r="CQ56" s="1042"/>
      <c r="CR56" s="1042"/>
      <c r="CS56" s="1042"/>
      <c r="CT56" s="1042"/>
      <c r="CU56" s="1042"/>
      <c r="CV56" s="1042"/>
      <c r="CW56" s="1042"/>
      <c r="CX56" s="1042"/>
      <c r="CY56" s="1042"/>
      <c r="CZ56" s="1042"/>
      <c r="DA56" s="1042"/>
      <c r="DB56" s="1042"/>
      <c r="DC56" s="1042"/>
      <c r="DD56" s="1042"/>
      <c r="DE56" s="1042"/>
      <c r="DF56" s="1042"/>
      <c r="DG56" s="1042"/>
      <c r="DH56" s="1042"/>
      <c r="DI56" s="1042"/>
      <c r="DJ56" s="1042"/>
      <c r="DK56" s="1042"/>
      <c r="DL56" s="1042"/>
      <c r="DM56" s="1042"/>
      <c r="DN56" s="1042"/>
      <c r="DO56" s="1042"/>
      <c r="DP56" s="1042"/>
      <c r="DQ56" s="1042"/>
      <c r="DR56" s="1042"/>
      <c r="DS56" s="1042"/>
      <c r="DT56" s="1042"/>
      <c r="DU56" s="1042"/>
      <c r="DV56" s="1042"/>
      <c r="DW56" s="1042"/>
      <c r="DX56" s="1042"/>
      <c r="DY56" s="1042"/>
      <c r="DZ56" s="1042"/>
      <c r="EA56" s="1042"/>
      <c r="EB56" s="1042"/>
      <c r="EC56" s="1042"/>
      <c r="ED56" s="1042"/>
      <c r="EE56" s="1042"/>
      <c r="EF56" s="1042"/>
      <c r="EG56" s="1042"/>
      <c r="EH56" s="1042"/>
      <c r="EI56" s="1042"/>
      <c r="EJ56" s="1042"/>
      <c r="EK56" s="1042"/>
      <c r="EL56" s="1042"/>
      <c r="EM56" s="1042"/>
      <c r="EN56" s="1042"/>
      <c r="EO56" s="1042"/>
      <c r="EP56" s="1042"/>
      <c r="EQ56" s="1042"/>
      <c r="ER56" s="1042"/>
      <c r="ES56" s="1042"/>
      <c r="ET56" s="1042"/>
      <c r="EU56" s="1042"/>
      <c r="EV56" s="1042"/>
      <c r="EW56" s="1042"/>
      <c r="EX56" s="1042"/>
      <c r="EY56" s="1042"/>
      <c r="EZ56" s="1042"/>
      <c r="FA56" s="1042"/>
      <c r="FB56" s="1042"/>
      <c r="FC56" s="1042"/>
      <c r="FD56" s="1042"/>
      <c r="FE56" s="1042"/>
      <c r="FF56" s="1042"/>
      <c r="FG56" s="1042"/>
      <c r="FH56" s="1042"/>
      <c r="FI56" s="1042"/>
      <c r="FJ56" s="1042"/>
      <c r="FK56" s="1042"/>
      <c r="FL56" s="1042"/>
      <c r="FM56" s="1042"/>
      <c r="FN56" s="1042"/>
      <c r="FO56" s="1042"/>
      <c r="FP56" s="1042"/>
      <c r="FQ56" s="1042"/>
      <c r="FR56" s="1042"/>
      <c r="FS56" s="1042"/>
      <c r="FT56" s="1042"/>
      <c r="FU56" s="1042"/>
      <c r="FV56" s="1042"/>
      <c r="FW56" s="1042"/>
      <c r="FX56" s="1042"/>
      <c r="FY56" s="1042"/>
      <c r="FZ56" s="1042"/>
      <c r="GA56" s="1042"/>
      <c r="GB56" s="1042"/>
      <c r="GC56" s="1042"/>
      <c r="GD56" s="1042"/>
      <c r="GE56" s="1042"/>
      <c r="GF56" s="1042"/>
      <c r="GG56" s="1042"/>
      <c r="GH56" s="1042"/>
      <c r="GI56" s="1042"/>
      <c r="GJ56" s="1042"/>
      <c r="GK56" s="1042"/>
      <c r="GL56" s="1042"/>
      <c r="GM56" s="1042"/>
      <c r="GN56" s="1042"/>
      <c r="GO56" s="1042"/>
      <c r="GP56" s="1042"/>
      <c r="GQ56" s="1042"/>
      <c r="GR56" s="1042"/>
      <c r="GS56" s="1042"/>
      <c r="GT56" s="1042"/>
      <c r="GU56" s="1042"/>
      <c r="GV56" s="1042"/>
      <c r="GW56" s="1042"/>
      <c r="GX56" s="1042"/>
      <c r="GY56" s="1042"/>
      <c r="GZ56" s="1042"/>
      <c r="HA56" s="1042"/>
      <c r="HB56" s="1042"/>
      <c r="HC56" s="1042"/>
      <c r="HD56" s="1042"/>
      <c r="HE56" s="1042"/>
      <c r="HF56" s="1042"/>
      <c r="HG56" s="1042"/>
      <c r="HH56" s="1042"/>
      <c r="HI56" s="1042"/>
      <c r="HJ56" s="1042"/>
      <c r="HK56" s="1042"/>
      <c r="HL56" s="1042"/>
      <c r="HM56" s="1042"/>
      <c r="HN56" s="1042"/>
      <c r="HO56" s="1042"/>
      <c r="HP56" s="1042"/>
      <c r="HQ56" s="1042"/>
      <c r="HR56" s="1042"/>
      <c r="HS56" s="1042"/>
      <c r="HT56" s="1042"/>
      <c r="HU56" s="1042"/>
      <c r="HV56" s="1042"/>
      <c r="HW56" s="1042"/>
      <c r="HX56" s="1042"/>
      <c r="HY56" s="1042"/>
      <c r="HZ56" s="1042"/>
      <c r="IA56" s="1042"/>
      <c r="IB56" s="1042"/>
      <c r="IC56" s="1042"/>
      <c r="ID56" s="1042"/>
      <c r="IE56" s="1042"/>
      <c r="IF56" s="1042"/>
      <c r="IG56" s="1042"/>
      <c r="IH56" s="1042"/>
      <c r="II56" s="1042"/>
      <c r="IJ56" s="1042"/>
      <c r="IK56" s="1042"/>
      <c r="IL56" s="1042"/>
      <c r="IM56" s="1042"/>
    </row>
    <row r="57" spans="1:247">
      <c r="A57" s="1052" t="s">
        <v>432</v>
      </c>
      <c r="B57" s="1053"/>
      <c r="C57" s="1050">
        <f>C47-SUM(C48:C56)</f>
        <v>1094.7417465099998</v>
      </c>
      <c r="D57" s="1045">
        <f>D47-SUM(D48:D56)</f>
        <v>1033.1529999999998</v>
      </c>
      <c r="E57" s="1046">
        <f>E47-SUM(E48:E56)</f>
        <v>1088.5250000000001</v>
      </c>
      <c r="F57" s="1046">
        <f>F47-SUM(F48:F56)</f>
        <v>1101.0319999999997</v>
      </c>
      <c r="G57" s="1047">
        <f>G47-SUM(G48:G56)</f>
        <v>1115.29</v>
      </c>
      <c r="H57" s="1048">
        <v>1091.0184090451289</v>
      </c>
      <c r="I57" s="1048">
        <v>1134.4293123238717</v>
      </c>
      <c r="J57" s="1048">
        <v>1190.1517708190715</v>
      </c>
      <c r="K57" s="1049">
        <v>1212.0621764505117</v>
      </c>
      <c r="L57" s="1028"/>
      <c r="M57" s="1045"/>
      <c r="N57" s="1050">
        <f t="shared" si="11"/>
        <v>1091.0184090451289</v>
      </c>
      <c r="O57" s="1045">
        <v>1112.737814478214</v>
      </c>
      <c r="P57" s="1046">
        <v>1132.2719984067307</v>
      </c>
      <c r="Q57" s="1046">
        <v>1155.6915287335726</v>
      </c>
      <c r="R57" s="1045">
        <f t="shared" si="40"/>
        <v>21.69149784565775</v>
      </c>
      <c r="S57" s="1046">
        <f t="shared" si="40"/>
        <v>57.879772412340799</v>
      </c>
      <c r="T57" s="1046">
        <f t="shared" si="40"/>
        <v>56.370647716939175</v>
      </c>
      <c r="U57" s="1050">
        <f t="shared" si="6"/>
        <v>21.719405433085058</v>
      </c>
      <c r="V57" s="948"/>
      <c r="W57" s="1045">
        <f t="shared" si="34"/>
        <v>1112.737814478214</v>
      </c>
      <c r="X57" s="1046">
        <v>1088.5250000000001</v>
      </c>
      <c r="Y57" s="1045">
        <f>X57-W57</f>
        <v>-24.212814478213886</v>
      </c>
      <c r="Z57" s="1051">
        <f t="shared" si="42"/>
        <v>-2.705483453485226E-2</v>
      </c>
      <c r="AA57" s="1017"/>
      <c r="AB57" s="952"/>
      <c r="AC57" s="1017"/>
      <c r="AD57" s="1017"/>
      <c r="AE57" s="1017"/>
      <c r="AF57" s="1017"/>
      <c r="AG57" s="1017"/>
      <c r="AH57" s="1017"/>
      <c r="AI57" s="1017"/>
      <c r="AJ57" s="1017"/>
      <c r="AK57" s="1017"/>
      <c r="AL57" s="1017"/>
      <c r="AM57" s="1017"/>
      <c r="AN57" s="1017"/>
      <c r="AO57" s="1017"/>
      <c r="AP57" s="1017"/>
      <c r="AQ57" s="1017"/>
      <c r="AR57" s="1017"/>
      <c r="AS57" s="1017"/>
      <c r="AT57" s="1017"/>
      <c r="AU57" s="1017"/>
      <c r="AV57" s="1017"/>
      <c r="AW57" s="1017"/>
      <c r="AX57" s="1017"/>
      <c r="AY57" s="1017"/>
      <c r="AZ57" s="1017"/>
      <c r="BA57" s="1017"/>
      <c r="BB57" s="1017"/>
      <c r="BC57" s="1017"/>
      <c r="BD57" s="1017"/>
      <c r="BE57" s="1017"/>
      <c r="BF57" s="1017"/>
      <c r="BG57" s="1017"/>
      <c r="BH57" s="1017"/>
      <c r="BI57" s="1017"/>
      <c r="BJ57" s="1017"/>
      <c r="BK57" s="1017"/>
      <c r="BL57" s="1017"/>
      <c r="BM57" s="1017"/>
      <c r="BN57" s="1017"/>
      <c r="BO57" s="1017"/>
      <c r="BP57" s="1017"/>
      <c r="BQ57" s="1017"/>
      <c r="BR57" s="1017"/>
      <c r="BS57" s="1017"/>
      <c r="BT57" s="1017"/>
      <c r="BU57" s="1017"/>
      <c r="BV57" s="1017"/>
      <c r="BW57" s="1017"/>
      <c r="BX57" s="1017"/>
      <c r="BY57" s="1017"/>
      <c r="BZ57" s="1017"/>
      <c r="CA57" s="1017"/>
      <c r="CB57" s="1017"/>
      <c r="CC57" s="1017"/>
      <c r="CD57" s="1017"/>
      <c r="CE57" s="1017"/>
      <c r="CF57" s="1017"/>
      <c r="CG57" s="1017"/>
      <c r="CH57" s="1017"/>
      <c r="CI57" s="1017"/>
      <c r="CJ57" s="1017"/>
      <c r="CK57" s="1017"/>
      <c r="CL57" s="1017"/>
      <c r="CM57" s="1017"/>
      <c r="CN57" s="1017"/>
      <c r="CO57" s="1017"/>
      <c r="CP57" s="1017"/>
      <c r="CQ57" s="1017"/>
      <c r="CR57" s="1017"/>
      <c r="CS57" s="1017"/>
      <c r="CT57" s="1017"/>
      <c r="CU57" s="1017"/>
      <c r="CV57" s="1017"/>
      <c r="CW57" s="1017"/>
      <c r="CX57" s="1017"/>
      <c r="CY57" s="1017"/>
      <c r="CZ57" s="1017"/>
      <c r="DA57" s="1017"/>
      <c r="DB57" s="1017"/>
      <c r="DC57" s="1017"/>
      <c r="DD57" s="1017"/>
      <c r="DE57" s="1017"/>
      <c r="DF57" s="1017"/>
      <c r="DG57" s="1017"/>
      <c r="DH57" s="1017"/>
      <c r="DI57" s="1017"/>
      <c r="DJ57" s="1017"/>
      <c r="DK57" s="1017"/>
      <c r="DL57" s="1017"/>
      <c r="DM57" s="1017"/>
      <c r="DN57" s="1017"/>
      <c r="DO57" s="1017"/>
      <c r="DP57" s="1017"/>
      <c r="DQ57" s="1017"/>
      <c r="DR57" s="1017"/>
      <c r="DS57" s="1017"/>
      <c r="DT57" s="1017"/>
      <c r="DU57" s="1017"/>
      <c r="DV57" s="1017"/>
      <c r="DW57" s="1017"/>
      <c r="DX57" s="1017"/>
      <c r="DY57" s="1017"/>
      <c r="DZ57" s="1017"/>
      <c r="EA57" s="1017"/>
      <c r="EB57" s="1017"/>
      <c r="EC57" s="1017"/>
      <c r="ED57" s="1017"/>
      <c r="EE57" s="1017"/>
      <c r="EF57" s="1017"/>
      <c r="EG57" s="1017"/>
      <c r="EH57" s="1017"/>
      <c r="EI57" s="1017"/>
      <c r="EJ57" s="1017"/>
      <c r="EK57" s="1017"/>
      <c r="EL57" s="1017"/>
      <c r="EM57" s="1017"/>
      <c r="EN57" s="1017"/>
      <c r="EO57" s="1017"/>
      <c r="EP57" s="1017"/>
      <c r="EQ57" s="1017"/>
      <c r="ER57" s="1017"/>
      <c r="ES57" s="1017"/>
      <c r="ET57" s="1017"/>
      <c r="EU57" s="1017"/>
      <c r="EV57" s="1017"/>
      <c r="EW57" s="1017"/>
      <c r="EX57" s="1017"/>
      <c r="EY57" s="1017"/>
      <c r="EZ57" s="1017"/>
      <c r="FA57" s="1017"/>
      <c r="FB57" s="1017"/>
      <c r="FC57" s="1017"/>
      <c r="FD57" s="1017"/>
      <c r="FE57" s="1017"/>
      <c r="FF57" s="1017"/>
      <c r="FG57" s="1017"/>
      <c r="FH57" s="1017"/>
      <c r="FI57" s="1017"/>
      <c r="FJ57" s="1017"/>
      <c r="FK57" s="1017"/>
      <c r="FL57" s="1017"/>
      <c r="FM57" s="1017"/>
      <c r="FN57" s="1017"/>
      <c r="FO57" s="1017"/>
      <c r="FP57" s="1017"/>
      <c r="FQ57" s="1017"/>
      <c r="FR57" s="1017"/>
      <c r="FS57" s="1017"/>
      <c r="FT57" s="1017"/>
      <c r="FU57" s="1017"/>
      <c r="FV57" s="1017"/>
      <c r="FW57" s="1017"/>
      <c r="FX57" s="1017"/>
      <c r="FY57" s="1017"/>
      <c r="FZ57" s="1017"/>
      <c r="GA57" s="1017"/>
      <c r="GB57" s="1017"/>
      <c r="GC57" s="1017"/>
      <c r="GD57" s="1017"/>
      <c r="GE57" s="1017"/>
      <c r="GF57" s="1017"/>
      <c r="GG57" s="1017"/>
      <c r="GH57" s="1017"/>
      <c r="GI57" s="1017"/>
      <c r="GJ57" s="1017"/>
      <c r="GK57" s="1017"/>
      <c r="GL57" s="1017"/>
      <c r="GM57" s="1017"/>
      <c r="GN57" s="1017"/>
      <c r="GO57" s="1017"/>
      <c r="GP57" s="1017"/>
      <c r="GQ57" s="1017"/>
      <c r="GR57" s="1017"/>
      <c r="GS57" s="1017"/>
      <c r="GT57" s="1017"/>
      <c r="GU57" s="1017"/>
      <c r="GV57" s="1017"/>
      <c r="GW57" s="1017"/>
      <c r="GX57" s="1017"/>
      <c r="GY57" s="1017"/>
      <c r="GZ57" s="1017"/>
      <c r="HA57" s="1017"/>
      <c r="HB57" s="1017"/>
      <c r="HC57" s="1017"/>
      <c r="HD57" s="1017"/>
      <c r="HE57" s="1017"/>
      <c r="HF57" s="1017"/>
      <c r="HG57" s="1017"/>
      <c r="HH57" s="1017"/>
      <c r="HI57" s="1017"/>
      <c r="HJ57" s="1017"/>
      <c r="HK57" s="1017"/>
      <c r="HL57" s="1017"/>
      <c r="HM57" s="1017"/>
      <c r="HN57" s="1017"/>
      <c r="HO57" s="1017"/>
      <c r="HP57" s="1017"/>
      <c r="HQ57" s="1017"/>
      <c r="HR57" s="1017"/>
      <c r="HS57" s="1017"/>
      <c r="HT57" s="1017"/>
      <c r="HU57" s="1017"/>
      <c r="HV57" s="1017"/>
      <c r="HW57" s="1017"/>
      <c r="HX57" s="1017"/>
      <c r="HY57" s="1017"/>
      <c r="HZ57" s="1017"/>
      <c r="IA57" s="1017"/>
      <c r="IB57" s="1017"/>
      <c r="IC57" s="1017"/>
      <c r="ID57" s="1017"/>
      <c r="IE57" s="1017"/>
      <c r="IF57" s="1017"/>
      <c r="IG57" s="1017"/>
      <c r="IH57" s="1017"/>
      <c r="II57" s="1017"/>
      <c r="IJ57" s="1017"/>
      <c r="IK57" s="1017"/>
      <c r="IL57" s="1017"/>
      <c r="IM57" s="1017"/>
    </row>
    <row r="58" spans="1:247" s="957" customFormat="1">
      <c r="A58" s="790" t="s">
        <v>951</v>
      </c>
      <c r="B58" s="1060" t="s">
        <v>952</v>
      </c>
      <c r="C58" s="1034">
        <v>1542.6210000000001</v>
      </c>
      <c r="D58" s="1066">
        <v>1581.0209999999997</v>
      </c>
      <c r="E58" s="1062">
        <v>939.38400000000001</v>
      </c>
      <c r="F58" s="1062">
        <v>1970.337</v>
      </c>
      <c r="G58" s="1063">
        <v>1912.6870000000001</v>
      </c>
      <c r="H58" s="1064">
        <f>SUM(H59:H68)</f>
        <v>1454.1397908979288</v>
      </c>
      <c r="I58" s="1064">
        <f t="shared" ref="I58:K58" si="45">SUM(I59:I68)</f>
        <v>1626.2870944249337</v>
      </c>
      <c r="J58" s="1064">
        <f t="shared" si="45"/>
        <v>1773.6505159333726</v>
      </c>
      <c r="K58" s="1065">
        <f t="shared" si="45"/>
        <v>1855.7850912627694</v>
      </c>
      <c r="L58" s="1028"/>
      <c r="M58" s="1066">
        <f>SUM(M59:M68)</f>
        <v>0</v>
      </c>
      <c r="N58" s="1034">
        <f t="shared" si="11"/>
        <v>1454.1397908979288</v>
      </c>
      <c r="O58" s="1066">
        <f t="shared" ref="O58:T58" si="46">SUM(O59:O68)</f>
        <v>1741.8184922796504</v>
      </c>
      <c r="P58" s="1062">
        <f t="shared" si="46"/>
        <v>1930.4696028749368</v>
      </c>
      <c r="Q58" s="1062">
        <f t="shared" si="46"/>
        <v>2013.3066358024453</v>
      </c>
      <c r="R58" s="1066">
        <f t="shared" si="46"/>
        <v>-115.53139785471666</v>
      </c>
      <c r="S58" s="1062">
        <f t="shared" si="46"/>
        <v>-156.81908694156442</v>
      </c>
      <c r="T58" s="1062">
        <f t="shared" si="46"/>
        <v>-157.52154453967609</v>
      </c>
      <c r="U58" s="1034">
        <f t="shared" si="6"/>
        <v>287.67870138172157</v>
      </c>
      <c r="V58" s="948"/>
      <c r="W58" s="1066">
        <f>SUM(W59:W68)</f>
        <v>1741.8184922796504</v>
      </c>
      <c r="X58" s="1062">
        <f>SUM(X59:X68)</f>
        <v>1085.2655260700001</v>
      </c>
      <c r="Y58" s="1066">
        <f>SUM(Y59:Y68)</f>
        <v>-656.55296620965009</v>
      </c>
      <c r="Z58" s="1067">
        <f t="shared" si="42"/>
        <v>-0.73361698121262164</v>
      </c>
      <c r="AA58" s="1042"/>
      <c r="AB58" s="952"/>
      <c r="AC58" s="1042"/>
      <c r="AD58" s="1042"/>
      <c r="AE58" s="958"/>
      <c r="AF58" s="958"/>
      <c r="AG58" s="958"/>
      <c r="AH58" s="958"/>
      <c r="AI58" s="958"/>
      <c r="AJ58" s="1042"/>
      <c r="AK58" s="1042"/>
      <c r="AL58" s="1042"/>
      <c r="AM58" s="1042"/>
      <c r="AN58" s="1042"/>
      <c r="AO58" s="1042"/>
      <c r="AP58" s="1042"/>
      <c r="AQ58" s="1042"/>
      <c r="AR58" s="1042"/>
      <c r="AS58" s="1042"/>
      <c r="AT58" s="1042"/>
      <c r="AU58" s="1042"/>
      <c r="AV58" s="1042"/>
      <c r="AW58" s="1042"/>
      <c r="AX58" s="1042"/>
      <c r="AY58" s="1042"/>
      <c r="AZ58" s="1042"/>
      <c r="BA58" s="1042"/>
      <c r="BB58" s="1042"/>
      <c r="BC58" s="1042"/>
      <c r="BD58" s="1042"/>
      <c r="BE58" s="1042"/>
      <c r="BF58" s="1042"/>
      <c r="BG58" s="1042"/>
      <c r="BH58" s="1042"/>
      <c r="BI58" s="1042"/>
      <c r="BJ58" s="1042"/>
      <c r="BK58" s="1042"/>
      <c r="BL58" s="1042"/>
      <c r="BM58" s="1042"/>
      <c r="BN58" s="1042"/>
      <c r="BO58" s="1042"/>
      <c r="BP58" s="1042"/>
      <c r="BQ58" s="1042"/>
      <c r="BR58" s="1042"/>
      <c r="BS58" s="1042"/>
      <c r="BT58" s="1042"/>
      <c r="BU58" s="1042"/>
      <c r="BV58" s="1042"/>
      <c r="BW58" s="1042"/>
      <c r="BX58" s="1042"/>
      <c r="BY58" s="1042"/>
      <c r="BZ58" s="1042"/>
      <c r="CA58" s="1042"/>
      <c r="CB58" s="1042"/>
      <c r="CC58" s="1042"/>
      <c r="CD58" s="1042"/>
      <c r="CE58" s="1042"/>
      <c r="CF58" s="1042"/>
      <c r="CG58" s="1042"/>
      <c r="CH58" s="1042"/>
      <c r="CI58" s="1042"/>
      <c r="CJ58" s="1042"/>
      <c r="CK58" s="1042"/>
      <c r="CL58" s="1042"/>
      <c r="CM58" s="1042"/>
      <c r="CN58" s="1042"/>
      <c r="CO58" s="1042"/>
      <c r="CP58" s="1042"/>
      <c r="CQ58" s="1042"/>
      <c r="CR58" s="1042"/>
      <c r="CS58" s="1042"/>
      <c r="CT58" s="1042"/>
      <c r="CU58" s="1042"/>
      <c r="CV58" s="1042"/>
      <c r="CW58" s="1042"/>
      <c r="CX58" s="1042"/>
      <c r="CY58" s="1042"/>
      <c r="CZ58" s="1042"/>
      <c r="DA58" s="1042"/>
      <c r="DB58" s="1042"/>
      <c r="DC58" s="1042"/>
      <c r="DD58" s="1042"/>
      <c r="DE58" s="1042"/>
      <c r="DF58" s="1042"/>
      <c r="DG58" s="1042"/>
      <c r="DH58" s="1042"/>
      <c r="DI58" s="1042"/>
      <c r="DJ58" s="1042"/>
      <c r="DK58" s="1042"/>
      <c r="DL58" s="1042"/>
      <c r="DM58" s="1042"/>
      <c r="DN58" s="1042"/>
      <c r="DO58" s="1042"/>
      <c r="DP58" s="1042"/>
      <c r="DQ58" s="1042"/>
      <c r="DR58" s="1042"/>
      <c r="DS58" s="1042"/>
      <c r="DT58" s="1042"/>
      <c r="DU58" s="1042"/>
      <c r="DV58" s="1042"/>
      <c r="DW58" s="1042"/>
      <c r="DX58" s="1042"/>
      <c r="DY58" s="1042"/>
      <c r="DZ58" s="1042"/>
      <c r="EA58" s="1042"/>
      <c r="EB58" s="1042"/>
      <c r="EC58" s="1042"/>
      <c r="ED58" s="1042"/>
      <c r="EE58" s="1042"/>
      <c r="EF58" s="1042"/>
      <c r="EG58" s="1042"/>
      <c r="EH58" s="1042"/>
      <c r="EI58" s="1042"/>
      <c r="EJ58" s="1042"/>
      <c r="EK58" s="1042"/>
      <c r="EL58" s="1042"/>
      <c r="EM58" s="1042"/>
      <c r="EN58" s="1042"/>
      <c r="EO58" s="1042"/>
      <c r="EP58" s="1042"/>
      <c r="EQ58" s="1042"/>
      <c r="ER58" s="1042"/>
      <c r="ES58" s="1042"/>
      <c r="ET58" s="1042"/>
      <c r="EU58" s="1042"/>
      <c r="EV58" s="1042"/>
      <c r="EW58" s="1042"/>
      <c r="EX58" s="1042"/>
      <c r="EY58" s="1042"/>
      <c r="EZ58" s="1042"/>
      <c r="FA58" s="1042"/>
      <c r="FB58" s="1042"/>
      <c r="FC58" s="1042"/>
      <c r="FD58" s="1042"/>
      <c r="FE58" s="1042"/>
      <c r="FF58" s="1042"/>
      <c r="FG58" s="1042"/>
      <c r="FH58" s="1042"/>
      <c r="FI58" s="1042"/>
      <c r="FJ58" s="1042"/>
      <c r="FK58" s="1042"/>
      <c r="FL58" s="1042"/>
      <c r="FM58" s="1042"/>
      <c r="FN58" s="1042"/>
      <c r="FO58" s="1042"/>
      <c r="FP58" s="1042"/>
      <c r="FQ58" s="1042"/>
      <c r="FR58" s="1042"/>
      <c r="FS58" s="1042"/>
      <c r="FT58" s="1042"/>
      <c r="FU58" s="1042"/>
      <c r="FV58" s="1042"/>
      <c r="FW58" s="1042"/>
      <c r="FX58" s="1042"/>
      <c r="FY58" s="1042"/>
      <c r="FZ58" s="1042"/>
      <c r="GA58" s="1042"/>
      <c r="GB58" s="1042"/>
      <c r="GC58" s="1042"/>
      <c r="GD58" s="1042"/>
      <c r="GE58" s="1042"/>
      <c r="GF58" s="1042"/>
      <c r="GG58" s="1042"/>
      <c r="GH58" s="1042"/>
      <c r="GI58" s="1042"/>
      <c r="GJ58" s="1042"/>
      <c r="GK58" s="1042"/>
      <c r="GL58" s="1042"/>
      <c r="GM58" s="1042"/>
      <c r="GN58" s="1042"/>
      <c r="GO58" s="1042"/>
      <c r="GP58" s="1042"/>
      <c r="GQ58" s="1042"/>
      <c r="GR58" s="1042"/>
      <c r="GS58" s="1042"/>
      <c r="GT58" s="1042"/>
      <c r="GU58" s="1042"/>
      <c r="GV58" s="1042"/>
      <c r="GW58" s="1042"/>
      <c r="GX58" s="1042"/>
      <c r="GY58" s="1042"/>
      <c r="GZ58" s="1042"/>
      <c r="HA58" s="1042"/>
      <c r="HB58" s="1042"/>
      <c r="HC58" s="1042"/>
      <c r="HD58" s="1042"/>
      <c r="HE58" s="1042"/>
      <c r="HF58" s="1042"/>
      <c r="HG58" s="1042"/>
      <c r="HH58" s="1042"/>
      <c r="HI58" s="1042"/>
      <c r="HJ58" s="1042"/>
      <c r="HK58" s="1042"/>
      <c r="HL58" s="1042"/>
      <c r="HM58" s="1042"/>
      <c r="HN58" s="1042"/>
      <c r="HO58" s="1042"/>
      <c r="HP58" s="1042"/>
      <c r="HQ58" s="1042"/>
      <c r="HR58" s="1042"/>
      <c r="HS58" s="1042"/>
      <c r="HT58" s="1042"/>
      <c r="HU58" s="1042"/>
      <c r="HV58" s="1042"/>
      <c r="HW58" s="1042"/>
      <c r="HX58" s="1042"/>
      <c r="HY58" s="1042"/>
      <c r="HZ58" s="1042"/>
      <c r="IA58" s="1042"/>
      <c r="IB58" s="1042"/>
      <c r="IC58" s="1042"/>
      <c r="ID58" s="1042"/>
      <c r="IE58" s="1042"/>
      <c r="IF58" s="1042"/>
      <c r="IG58" s="1042"/>
      <c r="IH58" s="1042"/>
      <c r="II58" s="1042"/>
      <c r="IJ58" s="1042"/>
      <c r="IK58" s="1042"/>
      <c r="IL58" s="1042"/>
      <c r="IM58" s="1042"/>
    </row>
    <row r="59" spans="1:247" s="957" customFormat="1">
      <c r="A59" s="1052" t="s">
        <v>953</v>
      </c>
      <c r="B59" s="1060"/>
      <c r="C59" s="1050">
        <v>796.34500000000003</v>
      </c>
      <c r="D59" s="1045">
        <v>810.125</v>
      </c>
      <c r="E59" s="1046">
        <v>346.04300000000001</v>
      </c>
      <c r="F59" s="1046">
        <v>1331.395</v>
      </c>
      <c r="G59" s="1047">
        <v>1226.511</v>
      </c>
      <c r="H59" s="1048">
        <v>676.56226482792943</v>
      </c>
      <c r="I59" s="1048">
        <v>912.0645683549335</v>
      </c>
      <c r="J59" s="1048">
        <v>1008.8269898633724</v>
      </c>
      <c r="K59" s="1049">
        <v>1038.7275651927691</v>
      </c>
      <c r="L59" s="1028"/>
      <c r="M59" s="1045"/>
      <c r="N59" s="1050">
        <f t="shared" si="11"/>
        <v>676.56226482792943</v>
      </c>
      <c r="O59" s="1045">
        <f>O71+O82+O132+O157+O111</f>
        <v>912.34704319121704</v>
      </c>
      <c r="P59" s="1046">
        <f>P71+P82+P132+P157+P111</f>
        <v>1008.855348128581</v>
      </c>
      <c r="Q59" s="1046">
        <f>Q71+Q82+Q132+Q157+Q111</f>
        <v>1038.6280439280224</v>
      </c>
      <c r="R59" s="1045">
        <f>I59-O59</f>
        <v>-0.28247483628354075</v>
      </c>
      <c r="S59" s="1046">
        <f t="shared" ref="S59:T68" si="47">J59-P59</f>
        <v>-2.8358265208566991E-2</v>
      </c>
      <c r="T59" s="1046">
        <f t="shared" si="47"/>
        <v>9.9521264746726956E-2</v>
      </c>
      <c r="U59" s="1050">
        <f t="shared" si="6"/>
        <v>235.78477836328761</v>
      </c>
      <c r="V59" s="948"/>
      <c r="W59" s="1045">
        <f t="shared" ref="W59:W68" si="48">O59</f>
        <v>912.34704319121704</v>
      </c>
      <c r="X59" s="1046">
        <v>346.04300000000001</v>
      </c>
      <c r="Y59" s="1045">
        <f t="shared" si="7"/>
        <v>-566.30404319121703</v>
      </c>
      <c r="Z59" s="1051">
        <f t="shared" si="42"/>
        <v>-0.63277493819406705</v>
      </c>
      <c r="AA59" s="1042"/>
      <c r="AB59" s="952"/>
      <c r="AC59" s="1042"/>
      <c r="AD59" s="1042"/>
      <c r="AE59" s="958"/>
      <c r="AF59" s="958"/>
      <c r="AG59" s="958"/>
      <c r="AH59" s="958"/>
      <c r="AI59" s="958"/>
      <c r="AJ59" s="1042"/>
      <c r="AK59" s="1042"/>
      <c r="AL59" s="1042"/>
      <c r="AM59" s="1042"/>
      <c r="AN59" s="1042"/>
      <c r="AO59" s="1042"/>
      <c r="AP59" s="1042"/>
      <c r="AQ59" s="1042"/>
      <c r="AR59" s="1042"/>
      <c r="AS59" s="1042"/>
      <c r="AT59" s="1042"/>
      <c r="AU59" s="1042"/>
      <c r="AV59" s="1042"/>
      <c r="AW59" s="1042"/>
      <c r="AX59" s="1042"/>
      <c r="AY59" s="1042"/>
      <c r="AZ59" s="1042"/>
      <c r="BA59" s="1042"/>
      <c r="BB59" s="1042"/>
      <c r="BC59" s="1042"/>
      <c r="BD59" s="1042"/>
      <c r="BE59" s="1042"/>
      <c r="BF59" s="1042"/>
      <c r="BG59" s="1042"/>
      <c r="BH59" s="1042"/>
      <c r="BI59" s="1042"/>
      <c r="BJ59" s="1042"/>
      <c r="BK59" s="1042"/>
      <c r="BL59" s="1042"/>
      <c r="BM59" s="1042"/>
      <c r="BN59" s="1042"/>
      <c r="BO59" s="1042"/>
      <c r="BP59" s="1042"/>
      <c r="BQ59" s="1042"/>
      <c r="BR59" s="1042"/>
      <c r="BS59" s="1042"/>
      <c r="BT59" s="1042"/>
      <c r="BU59" s="1042"/>
      <c r="BV59" s="1042"/>
      <c r="BW59" s="1042"/>
      <c r="BX59" s="1042"/>
      <c r="BY59" s="1042"/>
      <c r="BZ59" s="1042"/>
      <c r="CA59" s="1042"/>
      <c r="CB59" s="1042"/>
      <c r="CC59" s="1042"/>
      <c r="CD59" s="1042"/>
      <c r="CE59" s="1042"/>
      <c r="CF59" s="1042"/>
      <c r="CG59" s="1042"/>
      <c r="CH59" s="1042"/>
      <c r="CI59" s="1042"/>
      <c r="CJ59" s="1042"/>
      <c r="CK59" s="1042"/>
      <c r="CL59" s="1042"/>
      <c r="CM59" s="1042"/>
      <c r="CN59" s="1042"/>
      <c r="CO59" s="1042"/>
      <c r="CP59" s="1042"/>
      <c r="CQ59" s="1042"/>
      <c r="CR59" s="1042"/>
      <c r="CS59" s="1042"/>
      <c r="CT59" s="1042"/>
      <c r="CU59" s="1042"/>
      <c r="CV59" s="1042"/>
      <c r="CW59" s="1042"/>
      <c r="CX59" s="1042"/>
      <c r="CY59" s="1042"/>
      <c r="CZ59" s="1042"/>
      <c r="DA59" s="1042"/>
      <c r="DB59" s="1042"/>
      <c r="DC59" s="1042"/>
      <c r="DD59" s="1042"/>
      <c r="DE59" s="1042"/>
      <c r="DF59" s="1042"/>
      <c r="DG59" s="1042"/>
      <c r="DH59" s="1042"/>
      <c r="DI59" s="1042"/>
      <c r="DJ59" s="1042"/>
      <c r="DK59" s="1042"/>
      <c r="DL59" s="1042"/>
      <c r="DM59" s="1042"/>
      <c r="DN59" s="1042"/>
      <c r="DO59" s="1042"/>
      <c r="DP59" s="1042"/>
      <c r="DQ59" s="1042"/>
      <c r="DR59" s="1042"/>
      <c r="DS59" s="1042"/>
      <c r="DT59" s="1042"/>
      <c r="DU59" s="1042"/>
      <c r="DV59" s="1042"/>
      <c r="DW59" s="1042"/>
      <c r="DX59" s="1042"/>
      <c r="DY59" s="1042"/>
      <c r="DZ59" s="1042"/>
      <c r="EA59" s="1042"/>
      <c r="EB59" s="1042"/>
      <c r="EC59" s="1042"/>
      <c r="ED59" s="1042"/>
      <c r="EE59" s="1042"/>
      <c r="EF59" s="1042"/>
      <c r="EG59" s="1042"/>
      <c r="EH59" s="1042"/>
      <c r="EI59" s="1042"/>
      <c r="EJ59" s="1042"/>
      <c r="EK59" s="1042"/>
      <c r="EL59" s="1042"/>
      <c r="EM59" s="1042"/>
      <c r="EN59" s="1042"/>
      <c r="EO59" s="1042"/>
      <c r="EP59" s="1042"/>
      <c r="EQ59" s="1042"/>
      <c r="ER59" s="1042"/>
      <c r="ES59" s="1042"/>
      <c r="ET59" s="1042"/>
      <c r="EU59" s="1042"/>
      <c r="EV59" s="1042"/>
      <c r="EW59" s="1042"/>
      <c r="EX59" s="1042"/>
      <c r="EY59" s="1042"/>
      <c r="EZ59" s="1042"/>
      <c r="FA59" s="1042"/>
      <c r="FB59" s="1042"/>
      <c r="FC59" s="1042"/>
      <c r="FD59" s="1042"/>
      <c r="FE59" s="1042"/>
      <c r="FF59" s="1042"/>
      <c r="FG59" s="1042"/>
      <c r="FH59" s="1042"/>
      <c r="FI59" s="1042"/>
      <c r="FJ59" s="1042"/>
      <c r="FK59" s="1042"/>
      <c r="FL59" s="1042"/>
      <c r="FM59" s="1042"/>
      <c r="FN59" s="1042"/>
      <c r="FO59" s="1042"/>
      <c r="FP59" s="1042"/>
      <c r="FQ59" s="1042"/>
      <c r="FR59" s="1042"/>
      <c r="FS59" s="1042"/>
      <c r="FT59" s="1042"/>
      <c r="FU59" s="1042"/>
      <c r="FV59" s="1042"/>
      <c r="FW59" s="1042"/>
      <c r="FX59" s="1042"/>
      <c r="FY59" s="1042"/>
      <c r="FZ59" s="1042"/>
      <c r="GA59" s="1042"/>
      <c r="GB59" s="1042"/>
      <c r="GC59" s="1042"/>
      <c r="GD59" s="1042"/>
      <c r="GE59" s="1042"/>
      <c r="GF59" s="1042"/>
      <c r="GG59" s="1042"/>
      <c r="GH59" s="1042"/>
      <c r="GI59" s="1042"/>
      <c r="GJ59" s="1042"/>
      <c r="GK59" s="1042"/>
      <c r="GL59" s="1042"/>
      <c r="GM59" s="1042"/>
      <c r="GN59" s="1042"/>
      <c r="GO59" s="1042"/>
      <c r="GP59" s="1042"/>
      <c r="GQ59" s="1042"/>
      <c r="GR59" s="1042"/>
      <c r="GS59" s="1042"/>
      <c r="GT59" s="1042"/>
      <c r="GU59" s="1042"/>
      <c r="GV59" s="1042"/>
      <c r="GW59" s="1042"/>
      <c r="GX59" s="1042"/>
      <c r="GY59" s="1042"/>
      <c r="GZ59" s="1042"/>
      <c r="HA59" s="1042"/>
      <c r="HB59" s="1042"/>
      <c r="HC59" s="1042"/>
      <c r="HD59" s="1042"/>
      <c r="HE59" s="1042"/>
      <c r="HF59" s="1042"/>
      <c r="HG59" s="1042"/>
      <c r="HH59" s="1042"/>
      <c r="HI59" s="1042"/>
      <c r="HJ59" s="1042"/>
      <c r="HK59" s="1042"/>
      <c r="HL59" s="1042"/>
      <c r="HM59" s="1042"/>
      <c r="HN59" s="1042"/>
      <c r="HO59" s="1042"/>
      <c r="HP59" s="1042"/>
      <c r="HQ59" s="1042"/>
      <c r="HR59" s="1042"/>
      <c r="HS59" s="1042"/>
      <c r="HT59" s="1042"/>
      <c r="HU59" s="1042"/>
      <c r="HV59" s="1042"/>
      <c r="HW59" s="1042"/>
      <c r="HX59" s="1042"/>
      <c r="HY59" s="1042"/>
      <c r="HZ59" s="1042"/>
      <c r="IA59" s="1042"/>
      <c r="IB59" s="1042"/>
      <c r="IC59" s="1042"/>
      <c r="ID59" s="1042"/>
      <c r="IE59" s="1042"/>
      <c r="IF59" s="1042"/>
      <c r="IG59" s="1042"/>
      <c r="IH59" s="1042"/>
      <c r="II59" s="1042"/>
      <c r="IJ59" s="1042"/>
      <c r="IK59" s="1042"/>
      <c r="IL59" s="1042"/>
      <c r="IM59" s="1042"/>
    </row>
    <row r="60" spans="1:247" s="1042" customFormat="1">
      <c r="A60" s="1052" t="s">
        <v>954</v>
      </c>
      <c r="B60" s="1060"/>
      <c r="C60" s="1050">
        <v>60.185000000000002</v>
      </c>
      <c r="D60" s="1045">
        <v>54.603999999999999</v>
      </c>
      <c r="E60" s="1046">
        <v>95.099599999999995</v>
      </c>
      <c r="F60" s="1046">
        <v>108.6542</v>
      </c>
      <c r="G60" s="1047">
        <v>112.03100000000001</v>
      </c>
      <c r="H60" s="1048">
        <v>54.603999999999999</v>
      </c>
      <c r="I60" s="1048">
        <v>95.099599999999995</v>
      </c>
      <c r="J60" s="1048">
        <v>108.6542</v>
      </c>
      <c r="K60" s="1049">
        <v>112.03100000000001</v>
      </c>
      <c r="L60" s="1028"/>
      <c r="M60" s="1045"/>
      <c r="N60" s="1050">
        <f t="shared" si="11"/>
        <v>54.603999999999999</v>
      </c>
      <c r="O60" s="1045">
        <f>I60</f>
        <v>95.099599999999995</v>
      </c>
      <c r="P60" s="1046">
        <f t="shared" ref="P60:Q60" si="49">J60</f>
        <v>108.6542</v>
      </c>
      <c r="Q60" s="1046">
        <f t="shared" si="49"/>
        <v>112.03100000000001</v>
      </c>
      <c r="R60" s="1045">
        <f t="shared" ref="R60:R68" si="50">I60-O60</f>
        <v>0</v>
      </c>
      <c r="S60" s="1046">
        <f t="shared" si="47"/>
        <v>0</v>
      </c>
      <c r="T60" s="1046">
        <f t="shared" si="47"/>
        <v>0</v>
      </c>
      <c r="U60" s="1050">
        <f t="shared" si="6"/>
        <v>40.495599999999996</v>
      </c>
      <c r="V60" s="948"/>
      <c r="W60" s="1045">
        <f t="shared" si="48"/>
        <v>95.099599999999995</v>
      </c>
      <c r="X60" s="1046">
        <v>95.099599999999995</v>
      </c>
      <c r="Y60" s="1045">
        <f t="shared" si="7"/>
        <v>0</v>
      </c>
      <c r="Z60" s="1051">
        <f t="shared" si="42"/>
        <v>0</v>
      </c>
      <c r="AB60" s="952"/>
      <c r="AE60" s="958"/>
      <c r="AF60" s="958"/>
      <c r="AG60" s="958"/>
      <c r="AH60" s="958"/>
      <c r="AI60" s="958"/>
    </row>
    <row r="61" spans="1:247" s="1042" customFormat="1">
      <c r="A61" s="1052" t="s">
        <v>955</v>
      </c>
      <c r="B61" s="1060"/>
      <c r="C61" s="1050">
        <v>40.753999999999998</v>
      </c>
      <c r="D61" s="1045">
        <f>11.615</f>
        <v>11.615</v>
      </c>
      <c r="E61" s="1046">
        <v>22.320838999999999</v>
      </c>
      <c r="F61" s="1046">
        <v>96.950631999999999</v>
      </c>
      <c r="G61" s="1047">
        <v>139.45336399999999</v>
      </c>
      <c r="H61" s="1048">
        <v>11.615</v>
      </c>
      <c r="I61" s="1048">
        <v>22.320838999999999</v>
      </c>
      <c r="J61" s="1048">
        <v>96.950631999999999</v>
      </c>
      <c r="K61" s="1049">
        <v>139.45336399999999</v>
      </c>
      <c r="L61" s="1028"/>
      <c r="M61" s="1045"/>
      <c r="N61" s="1050">
        <f t="shared" si="11"/>
        <v>11.615</v>
      </c>
      <c r="O61" s="1045">
        <f>O138</f>
        <v>19.173999999999999</v>
      </c>
      <c r="P61" s="1046">
        <f t="shared" ref="P61:Q61" si="51">P138</f>
        <v>94.066000000000003</v>
      </c>
      <c r="Q61" s="1046">
        <f t="shared" si="51"/>
        <v>139.452</v>
      </c>
      <c r="R61" s="1045">
        <f t="shared" si="50"/>
        <v>3.1468389999999999</v>
      </c>
      <c r="S61" s="1046">
        <f t="shared" si="47"/>
        <v>2.8846319999999963</v>
      </c>
      <c r="T61" s="1046">
        <f t="shared" si="47"/>
        <v>1.3639999999952579E-3</v>
      </c>
      <c r="U61" s="1050">
        <f t="shared" si="6"/>
        <v>7.5589999999999993</v>
      </c>
      <c r="V61" s="948"/>
      <c r="W61" s="1045">
        <f t="shared" si="48"/>
        <v>19.173999999999999</v>
      </c>
      <c r="X61" s="1046">
        <v>22.320838999999999</v>
      </c>
      <c r="Y61" s="1045">
        <f t="shared" si="7"/>
        <v>3.1468389999999999</v>
      </c>
      <c r="Z61" s="1051">
        <f t="shared" si="42"/>
        <v>3.5162045506698268E-3</v>
      </c>
      <c r="AB61" s="952"/>
      <c r="AE61" s="958"/>
      <c r="AF61" s="958"/>
      <c r="AG61" s="958"/>
      <c r="AH61" s="958"/>
      <c r="AI61" s="958"/>
    </row>
    <row r="62" spans="1:247" s="957" customFormat="1">
      <c r="A62" s="1052" t="s">
        <v>940</v>
      </c>
      <c r="B62" s="1053"/>
      <c r="C62" s="1050">
        <v>-2.9609999999999999</v>
      </c>
      <c r="D62" s="1045">
        <f>41.564-1.808</f>
        <v>39.756</v>
      </c>
      <c r="E62" s="1046">
        <v>45.703000000000003</v>
      </c>
      <c r="F62" s="1046">
        <v>43.837000000000003</v>
      </c>
      <c r="G62" s="1047">
        <v>44.997</v>
      </c>
      <c r="H62" s="1048">
        <v>14.756</v>
      </c>
      <c r="I62" s="1048">
        <v>20.703000000000003</v>
      </c>
      <c r="J62" s="1048">
        <v>18.837000000000003</v>
      </c>
      <c r="K62" s="1049">
        <v>19.997</v>
      </c>
      <c r="L62" s="1028"/>
      <c r="M62" s="1045"/>
      <c r="N62" s="1050">
        <f t="shared" si="11"/>
        <v>14.756</v>
      </c>
      <c r="O62" s="1045">
        <v>15.640507967269176</v>
      </c>
      <c r="P62" s="1046">
        <v>16.679186886624908</v>
      </c>
      <c r="Q62" s="1046">
        <v>17.794615586717114</v>
      </c>
      <c r="R62" s="1045">
        <f t="shared" si="50"/>
        <v>5.0624920327308267</v>
      </c>
      <c r="S62" s="1046">
        <f t="shared" si="47"/>
        <v>2.1578131133750951</v>
      </c>
      <c r="T62" s="1046">
        <f t="shared" si="47"/>
        <v>2.2023844132828856</v>
      </c>
      <c r="U62" s="1050">
        <f t="shared" si="6"/>
        <v>0.88450796726917602</v>
      </c>
      <c r="V62" s="948"/>
      <c r="W62" s="1045">
        <f t="shared" si="48"/>
        <v>15.640507967269176</v>
      </c>
      <c r="X62" s="1046">
        <v>45.703000000000003</v>
      </c>
      <c r="Y62" s="1045">
        <f t="shared" si="7"/>
        <v>30.062492032730827</v>
      </c>
      <c r="Z62" s="1051">
        <f t="shared" si="42"/>
        <v>3.3591127887370009E-2</v>
      </c>
      <c r="AA62" s="958"/>
      <c r="AB62" s="952"/>
      <c r="AC62" s="1042"/>
      <c r="AD62" s="1042"/>
      <c r="AE62" s="1042"/>
      <c r="AF62" s="1042"/>
      <c r="AG62" s="1042"/>
      <c r="AH62" s="1042"/>
      <c r="AI62" s="1042"/>
      <c r="AJ62" s="1042"/>
      <c r="AK62" s="1042"/>
      <c r="AL62" s="1042"/>
      <c r="AM62" s="1042"/>
      <c r="AN62" s="1042"/>
      <c r="AO62" s="1042"/>
      <c r="AP62" s="1042"/>
      <c r="AQ62" s="1042"/>
      <c r="AR62" s="1042"/>
      <c r="AS62" s="1042"/>
      <c r="AT62" s="1042"/>
      <c r="AU62" s="1042"/>
      <c r="AV62" s="1042"/>
      <c r="AW62" s="1042"/>
      <c r="AX62" s="1042"/>
      <c r="AY62" s="1042"/>
      <c r="AZ62" s="1042"/>
      <c r="BA62" s="1042"/>
      <c r="BB62" s="1042"/>
      <c r="BC62" s="1042"/>
      <c r="BD62" s="1042"/>
      <c r="BE62" s="1042"/>
      <c r="BF62" s="1042"/>
      <c r="BG62" s="1042"/>
      <c r="BH62" s="1042"/>
      <c r="BI62" s="1042"/>
      <c r="BJ62" s="1042"/>
      <c r="BK62" s="1042"/>
      <c r="BL62" s="1042"/>
      <c r="BM62" s="1042"/>
      <c r="BN62" s="1042"/>
      <c r="BO62" s="1042"/>
      <c r="BP62" s="1042"/>
      <c r="BQ62" s="1042"/>
      <c r="BR62" s="1042"/>
      <c r="BS62" s="1042"/>
      <c r="BT62" s="1042"/>
      <c r="BU62" s="1042"/>
      <c r="BV62" s="1042"/>
      <c r="BW62" s="1042"/>
      <c r="BX62" s="1042"/>
      <c r="BY62" s="1042"/>
      <c r="BZ62" s="1042"/>
      <c r="CA62" s="1042"/>
      <c r="CB62" s="1042"/>
      <c r="CC62" s="1042"/>
      <c r="CD62" s="1042"/>
      <c r="CE62" s="1042"/>
      <c r="CF62" s="1042"/>
      <c r="CG62" s="1042"/>
      <c r="CH62" s="1042"/>
      <c r="CI62" s="1042"/>
      <c r="CJ62" s="1042"/>
      <c r="CK62" s="1042"/>
      <c r="CL62" s="1042"/>
      <c r="CM62" s="1042"/>
      <c r="CN62" s="1042"/>
      <c r="CO62" s="1042"/>
      <c r="CP62" s="1042"/>
      <c r="CQ62" s="1042"/>
      <c r="CR62" s="1042"/>
      <c r="CS62" s="1042"/>
      <c r="CT62" s="1042"/>
      <c r="CU62" s="1042"/>
      <c r="CV62" s="1042"/>
      <c r="CW62" s="1042"/>
      <c r="CX62" s="1042"/>
      <c r="CY62" s="1042"/>
      <c r="CZ62" s="1042"/>
      <c r="DA62" s="1042"/>
      <c r="DB62" s="1042"/>
      <c r="DC62" s="1042"/>
      <c r="DD62" s="1042"/>
      <c r="DE62" s="1042"/>
      <c r="DF62" s="1042"/>
      <c r="DG62" s="1042"/>
      <c r="DH62" s="1042"/>
      <c r="DI62" s="1042"/>
      <c r="DJ62" s="1042"/>
      <c r="DK62" s="1042"/>
      <c r="DL62" s="1042"/>
      <c r="DM62" s="1042"/>
      <c r="DN62" s="1042"/>
      <c r="DO62" s="1042"/>
      <c r="DP62" s="1042"/>
      <c r="DQ62" s="1042"/>
      <c r="DR62" s="1042"/>
      <c r="DS62" s="1042"/>
      <c r="DT62" s="1042"/>
      <c r="DU62" s="1042"/>
      <c r="DV62" s="1042"/>
      <c r="DW62" s="1042"/>
      <c r="DX62" s="1042"/>
      <c r="DY62" s="1042"/>
      <c r="DZ62" s="1042"/>
      <c r="EA62" s="1042"/>
      <c r="EB62" s="1042"/>
      <c r="EC62" s="1042"/>
      <c r="ED62" s="1042"/>
      <c r="EE62" s="1042"/>
      <c r="EF62" s="1042"/>
      <c r="EG62" s="1042"/>
      <c r="EH62" s="1042"/>
      <c r="EI62" s="1042"/>
      <c r="EJ62" s="1042"/>
      <c r="EK62" s="1042"/>
      <c r="EL62" s="1042"/>
      <c r="EM62" s="1042"/>
      <c r="EN62" s="1042"/>
      <c r="EO62" s="1042"/>
      <c r="EP62" s="1042"/>
      <c r="EQ62" s="1042"/>
      <c r="ER62" s="1042"/>
      <c r="ES62" s="1042"/>
      <c r="ET62" s="1042"/>
      <c r="EU62" s="1042"/>
      <c r="EV62" s="1042"/>
      <c r="EW62" s="1042"/>
      <c r="EX62" s="1042"/>
      <c r="EY62" s="1042"/>
      <c r="EZ62" s="1042"/>
      <c r="FA62" s="1042"/>
      <c r="FB62" s="1042"/>
      <c r="FC62" s="1042"/>
      <c r="FD62" s="1042"/>
      <c r="FE62" s="1042"/>
      <c r="FF62" s="1042"/>
      <c r="FG62" s="1042"/>
      <c r="FH62" s="1042"/>
      <c r="FI62" s="1042"/>
      <c r="FJ62" s="1042"/>
      <c r="FK62" s="1042"/>
      <c r="FL62" s="1042"/>
      <c r="FM62" s="1042"/>
      <c r="FN62" s="1042"/>
      <c r="FO62" s="1042"/>
      <c r="FP62" s="1042"/>
      <c r="FQ62" s="1042"/>
      <c r="FR62" s="1042"/>
      <c r="FS62" s="1042"/>
      <c r="FT62" s="1042"/>
      <c r="FU62" s="1042"/>
      <c r="FV62" s="1042"/>
      <c r="FW62" s="1042"/>
      <c r="FX62" s="1042"/>
      <c r="FY62" s="1042"/>
      <c r="FZ62" s="1042"/>
      <c r="GA62" s="1042"/>
      <c r="GB62" s="1042"/>
      <c r="GC62" s="1042"/>
      <c r="GD62" s="1042"/>
      <c r="GE62" s="1042"/>
      <c r="GF62" s="1042"/>
      <c r="GG62" s="1042"/>
      <c r="GH62" s="1042"/>
      <c r="GI62" s="1042"/>
      <c r="GJ62" s="1042"/>
      <c r="GK62" s="1042"/>
      <c r="GL62" s="1042"/>
      <c r="GM62" s="1042"/>
      <c r="GN62" s="1042"/>
      <c r="GO62" s="1042"/>
      <c r="GP62" s="1042"/>
      <c r="GQ62" s="1042"/>
      <c r="GR62" s="1042"/>
      <c r="GS62" s="1042"/>
      <c r="GT62" s="1042"/>
      <c r="GU62" s="1042"/>
      <c r="GV62" s="1042"/>
      <c r="GW62" s="1042"/>
      <c r="GX62" s="1042"/>
      <c r="GY62" s="1042"/>
      <c r="GZ62" s="1042"/>
      <c r="HA62" s="1042"/>
      <c r="HB62" s="1042"/>
      <c r="HC62" s="1042"/>
      <c r="HD62" s="1042"/>
      <c r="HE62" s="1042"/>
      <c r="HF62" s="1042"/>
      <c r="HG62" s="1042"/>
      <c r="HH62" s="1042"/>
      <c r="HI62" s="1042"/>
      <c r="HJ62" s="1042"/>
      <c r="HK62" s="1042"/>
      <c r="HL62" s="1042"/>
      <c r="HM62" s="1042"/>
      <c r="HN62" s="1042"/>
      <c r="HO62" s="1042"/>
      <c r="HP62" s="1042"/>
      <c r="HQ62" s="1042"/>
      <c r="HR62" s="1042"/>
      <c r="HS62" s="1042"/>
      <c r="HT62" s="1042"/>
      <c r="HU62" s="1042"/>
      <c r="HV62" s="1042"/>
      <c r="HW62" s="1042"/>
      <c r="HX62" s="1042"/>
      <c r="HY62" s="1042"/>
      <c r="HZ62" s="1042"/>
      <c r="IA62" s="1042"/>
      <c r="IB62" s="1042"/>
      <c r="IC62" s="1042"/>
      <c r="ID62" s="1042"/>
      <c r="IE62" s="1042"/>
      <c r="IF62" s="1042"/>
      <c r="IG62" s="1042"/>
      <c r="IH62" s="1042"/>
      <c r="II62" s="1042"/>
      <c r="IJ62" s="1042"/>
      <c r="IK62" s="1042"/>
      <c r="IL62" s="1042"/>
      <c r="IM62" s="1042"/>
    </row>
    <row r="63" spans="1:247" s="957" customFormat="1">
      <c r="A63" s="1052" t="s">
        <v>941</v>
      </c>
      <c r="B63" s="1053"/>
      <c r="C63" s="1071">
        <v>20.887</v>
      </c>
      <c r="D63" s="1068">
        <v>0</v>
      </c>
      <c r="E63" s="1069">
        <v>0</v>
      </c>
      <c r="F63" s="1069">
        <v>0</v>
      </c>
      <c r="G63" s="1070">
        <v>0</v>
      </c>
      <c r="H63" s="1072">
        <v>22.54</v>
      </c>
      <c r="I63" s="1072">
        <v>22.54</v>
      </c>
      <c r="J63" s="1072">
        <v>22.54</v>
      </c>
      <c r="K63" s="1073">
        <v>22.54</v>
      </c>
      <c r="L63" s="1028"/>
      <c r="M63" s="1068"/>
      <c r="N63" s="1050">
        <f t="shared" si="11"/>
        <v>22.54</v>
      </c>
      <c r="O63" s="1068">
        <v>22.988714150378271</v>
      </c>
      <c r="P63" s="1069">
        <v>23.392282506419232</v>
      </c>
      <c r="Q63" s="1069">
        <v>23.876120550938591</v>
      </c>
      <c r="R63" s="1068">
        <f t="shared" si="50"/>
        <v>-0.44871415037827234</v>
      </c>
      <c r="S63" s="1069">
        <f t="shared" si="47"/>
        <v>-0.85228250641923253</v>
      </c>
      <c r="T63" s="1069">
        <f t="shared" si="47"/>
        <v>-1.3361205509385918</v>
      </c>
      <c r="U63" s="1071">
        <f t="shared" si="6"/>
        <v>0.44871415037827234</v>
      </c>
      <c r="V63" s="948"/>
      <c r="W63" s="1045">
        <f t="shared" si="48"/>
        <v>22.988714150378271</v>
      </c>
      <c r="X63" s="1046">
        <v>22.54</v>
      </c>
      <c r="Y63" s="1045">
        <f t="shared" si="7"/>
        <v>-0.44871415037827234</v>
      </c>
      <c r="Z63" s="1051">
        <f t="shared" si="42"/>
        <v>-5.013827328026716E-4</v>
      </c>
      <c r="AA63" s="1042"/>
      <c r="AB63" s="952"/>
      <c r="AC63" s="1042"/>
      <c r="AD63" s="1042"/>
      <c r="AE63" s="1042"/>
      <c r="AF63" s="1042"/>
      <c r="AG63" s="1042"/>
      <c r="AH63" s="1042"/>
      <c r="AI63" s="1042"/>
      <c r="AJ63" s="1042"/>
      <c r="AK63" s="1042"/>
      <c r="AL63" s="1042"/>
      <c r="AM63" s="1042"/>
      <c r="AN63" s="1042"/>
      <c r="AO63" s="1042"/>
      <c r="AP63" s="1042"/>
      <c r="AQ63" s="1042"/>
      <c r="AR63" s="1042"/>
      <c r="AS63" s="1042"/>
      <c r="AT63" s="1042"/>
      <c r="AU63" s="1042"/>
      <c r="AV63" s="1042"/>
      <c r="AW63" s="1042"/>
      <c r="AX63" s="1042"/>
      <c r="AY63" s="1042"/>
      <c r="AZ63" s="1042"/>
      <c r="BA63" s="1042"/>
      <c r="BB63" s="1042"/>
      <c r="BC63" s="1042"/>
      <c r="BD63" s="1042"/>
      <c r="BE63" s="1042"/>
      <c r="BF63" s="1042"/>
      <c r="BG63" s="1042"/>
      <c r="BH63" s="1042"/>
      <c r="BI63" s="1042"/>
      <c r="BJ63" s="1042"/>
      <c r="BK63" s="1042"/>
      <c r="BL63" s="1042"/>
      <c r="BM63" s="1042"/>
      <c r="BN63" s="1042"/>
      <c r="BO63" s="1042"/>
      <c r="BP63" s="1042"/>
      <c r="BQ63" s="1042"/>
      <c r="BR63" s="1042"/>
      <c r="BS63" s="1042"/>
      <c r="BT63" s="1042"/>
      <c r="BU63" s="1042"/>
      <c r="BV63" s="1042"/>
      <c r="BW63" s="1042"/>
      <c r="BX63" s="1042"/>
      <c r="BY63" s="1042"/>
      <c r="BZ63" s="1042"/>
      <c r="CA63" s="1042"/>
      <c r="CB63" s="1042"/>
      <c r="CC63" s="1042"/>
      <c r="CD63" s="1042"/>
      <c r="CE63" s="1042"/>
      <c r="CF63" s="1042"/>
      <c r="CG63" s="1042"/>
      <c r="CH63" s="1042"/>
      <c r="CI63" s="1042"/>
      <c r="CJ63" s="1042"/>
      <c r="CK63" s="1042"/>
      <c r="CL63" s="1042"/>
      <c r="CM63" s="1042"/>
      <c r="CN63" s="1042"/>
      <c r="CO63" s="1042"/>
      <c r="CP63" s="1042"/>
      <c r="CQ63" s="1042"/>
      <c r="CR63" s="1042"/>
      <c r="CS63" s="1042"/>
      <c r="CT63" s="1042"/>
      <c r="CU63" s="1042"/>
      <c r="CV63" s="1042"/>
      <c r="CW63" s="1042"/>
      <c r="CX63" s="1042"/>
      <c r="CY63" s="1042"/>
      <c r="CZ63" s="1042"/>
      <c r="DA63" s="1042"/>
      <c r="DB63" s="1042"/>
      <c r="DC63" s="1042"/>
      <c r="DD63" s="1042"/>
      <c r="DE63" s="1042"/>
      <c r="DF63" s="1042"/>
      <c r="DG63" s="1042"/>
      <c r="DH63" s="1042"/>
      <c r="DI63" s="1042"/>
      <c r="DJ63" s="1042"/>
      <c r="DK63" s="1042"/>
      <c r="DL63" s="1042"/>
      <c r="DM63" s="1042"/>
      <c r="DN63" s="1042"/>
      <c r="DO63" s="1042"/>
      <c r="DP63" s="1042"/>
      <c r="DQ63" s="1042"/>
      <c r="DR63" s="1042"/>
      <c r="DS63" s="1042"/>
      <c r="DT63" s="1042"/>
      <c r="DU63" s="1042"/>
      <c r="DV63" s="1042"/>
      <c r="DW63" s="1042"/>
      <c r="DX63" s="1042"/>
      <c r="DY63" s="1042"/>
      <c r="DZ63" s="1042"/>
      <c r="EA63" s="1042"/>
      <c r="EB63" s="1042"/>
      <c r="EC63" s="1042"/>
      <c r="ED63" s="1042"/>
      <c r="EE63" s="1042"/>
      <c r="EF63" s="1042"/>
      <c r="EG63" s="1042"/>
      <c r="EH63" s="1042"/>
      <c r="EI63" s="1042"/>
      <c r="EJ63" s="1042"/>
      <c r="EK63" s="1042"/>
      <c r="EL63" s="1042"/>
      <c r="EM63" s="1042"/>
      <c r="EN63" s="1042"/>
      <c r="EO63" s="1042"/>
      <c r="EP63" s="1042"/>
      <c r="EQ63" s="1042"/>
      <c r="ER63" s="1042"/>
      <c r="ES63" s="1042"/>
      <c r="ET63" s="1042"/>
      <c r="EU63" s="1042"/>
      <c r="EV63" s="1042"/>
      <c r="EW63" s="1042"/>
      <c r="EX63" s="1042"/>
      <c r="EY63" s="1042"/>
      <c r="EZ63" s="1042"/>
      <c r="FA63" s="1042"/>
      <c r="FB63" s="1042"/>
      <c r="FC63" s="1042"/>
      <c r="FD63" s="1042"/>
      <c r="FE63" s="1042"/>
      <c r="FF63" s="1042"/>
      <c r="FG63" s="1042"/>
      <c r="FH63" s="1042"/>
      <c r="FI63" s="1042"/>
      <c r="FJ63" s="1042"/>
      <c r="FK63" s="1042"/>
      <c r="FL63" s="1042"/>
      <c r="FM63" s="1042"/>
      <c r="FN63" s="1042"/>
      <c r="FO63" s="1042"/>
      <c r="FP63" s="1042"/>
      <c r="FQ63" s="1042"/>
      <c r="FR63" s="1042"/>
      <c r="FS63" s="1042"/>
      <c r="FT63" s="1042"/>
      <c r="FU63" s="1042"/>
      <c r="FV63" s="1042"/>
      <c r="FW63" s="1042"/>
      <c r="FX63" s="1042"/>
      <c r="FY63" s="1042"/>
      <c r="FZ63" s="1042"/>
      <c r="GA63" s="1042"/>
      <c r="GB63" s="1042"/>
      <c r="GC63" s="1042"/>
      <c r="GD63" s="1042"/>
      <c r="GE63" s="1042"/>
      <c r="GF63" s="1042"/>
      <c r="GG63" s="1042"/>
      <c r="GH63" s="1042"/>
      <c r="GI63" s="1042"/>
      <c r="GJ63" s="1042"/>
      <c r="GK63" s="1042"/>
      <c r="GL63" s="1042"/>
      <c r="GM63" s="1042"/>
      <c r="GN63" s="1042"/>
      <c r="GO63" s="1042"/>
      <c r="GP63" s="1042"/>
      <c r="GQ63" s="1042"/>
      <c r="GR63" s="1042"/>
      <c r="GS63" s="1042"/>
      <c r="GT63" s="1042"/>
      <c r="GU63" s="1042"/>
      <c r="GV63" s="1042"/>
      <c r="GW63" s="1042"/>
      <c r="GX63" s="1042"/>
      <c r="GY63" s="1042"/>
      <c r="GZ63" s="1042"/>
      <c r="HA63" s="1042"/>
      <c r="HB63" s="1042"/>
      <c r="HC63" s="1042"/>
      <c r="HD63" s="1042"/>
      <c r="HE63" s="1042"/>
      <c r="HF63" s="1042"/>
      <c r="HG63" s="1042"/>
      <c r="HH63" s="1042"/>
      <c r="HI63" s="1042"/>
      <c r="HJ63" s="1042"/>
      <c r="HK63" s="1042"/>
      <c r="HL63" s="1042"/>
      <c r="HM63" s="1042"/>
      <c r="HN63" s="1042"/>
      <c r="HO63" s="1042"/>
      <c r="HP63" s="1042"/>
      <c r="HQ63" s="1042"/>
      <c r="HR63" s="1042"/>
      <c r="HS63" s="1042"/>
      <c r="HT63" s="1042"/>
      <c r="HU63" s="1042"/>
      <c r="HV63" s="1042"/>
      <c r="HW63" s="1042"/>
      <c r="HX63" s="1042"/>
      <c r="HY63" s="1042"/>
      <c r="HZ63" s="1042"/>
      <c r="IA63" s="1042"/>
      <c r="IB63" s="1042"/>
      <c r="IC63" s="1042"/>
      <c r="ID63" s="1042"/>
      <c r="IE63" s="1042"/>
      <c r="IF63" s="1042"/>
      <c r="IG63" s="1042"/>
      <c r="IH63" s="1042"/>
      <c r="II63" s="1042"/>
      <c r="IJ63" s="1042"/>
      <c r="IK63" s="1042"/>
      <c r="IL63" s="1042"/>
      <c r="IM63" s="1042"/>
    </row>
    <row r="64" spans="1:247" s="957" customFormat="1">
      <c r="A64" s="1052" t="s">
        <v>942</v>
      </c>
      <c r="B64" s="1053"/>
      <c r="C64" s="1071">
        <v>23.34152607</v>
      </c>
      <c r="D64" s="1068">
        <v>3.2</v>
      </c>
      <c r="E64" s="1069">
        <v>0</v>
      </c>
      <c r="F64" s="1069">
        <v>0</v>
      </c>
      <c r="G64" s="1070">
        <v>0</v>
      </c>
      <c r="H64" s="1072">
        <v>23.34152607</v>
      </c>
      <c r="I64" s="1072">
        <v>23.34152607</v>
      </c>
      <c r="J64" s="1072">
        <v>23.34152607</v>
      </c>
      <c r="K64" s="1073">
        <v>23.34152607</v>
      </c>
      <c r="L64" s="1028"/>
      <c r="M64" s="1068"/>
      <c r="N64" s="1050">
        <f t="shared" si="11"/>
        <v>23.34152607</v>
      </c>
      <c r="O64" s="1068">
        <v>23.806196568626103</v>
      </c>
      <c r="P64" s="1069">
        <v>24.224115881117545</v>
      </c>
      <c r="Q64" s="1069">
        <v>24.725159285279318</v>
      </c>
      <c r="R64" s="1068">
        <f t="shared" si="50"/>
        <v>-0.4646704986261021</v>
      </c>
      <c r="S64" s="1069">
        <f t="shared" si="47"/>
        <v>-0.88258981111754409</v>
      </c>
      <c r="T64" s="1069">
        <f t="shared" si="47"/>
        <v>-1.3836332152793176</v>
      </c>
      <c r="U64" s="1071">
        <f t="shared" si="6"/>
        <v>0.4646704986261021</v>
      </c>
      <c r="V64" s="948"/>
      <c r="W64" s="1045">
        <f t="shared" si="48"/>
        <v>23.806196568626103</v>
      </c>
      <c r="X64" s="1046">
        <v>23.34152607</v>
      </c>
      <c r="Y64" s="1045">
        <f t="shared" si="7"/>
        <v>-0.4646704986261021</v>
      </c>
      <c r="Z64" s="1051">
        <f t="shared" si="42"/>
        <v>-5.1921198441709851E-4</v>
      </c>
      <c r="AA64" s="1042"/>
      <c r="AB64" s="952"/>
      <c r="AC64" s="1042"/>
      <c r="AD64" s="1042"/>
      <c r="AE64" s="1042"/>
      <c r="AF64" s="1042"/>
      <c r="AG64" s="1042"/>
      <c r="AH64" s="1042"/>
      <c r="AI64" s="1042"/>
      <c r="AJ64" s="1042"/>
      <c r="AK64" s="1042"/>
      <c r="AL64" s="1042"/>
      <c r="AM64" s="1042"/>
      <c r="AN64" s="1042"/>
      <c r="AO64" s="1042"/>
      <c r="AP64" s="1042"/>
      <c r="AQ64" s="1042"/>
      <c r="AR64" s="1042"/>
      <c r="AS64" s="1042"/>
      <c r="AT64" s="1042"/>
      <c r="AU64" s="1042"/>
      <c r="AV64" s="1042"/>
      <c r="AW64" s="1042"/>
      <c r="AX64" s="1042"/>
      <c r="AY64" s="1042"/>
      <c r="AZ64" s="1042"/>
      <c r="BA64" s="1042"/>
      <c r="BB64" s="1042"/>
      <c r="BC64" s="1042"/>
      <c r="BD64" s="1042"/>
      <c r="BE64" s="1042"/>
      <c r="BF64" s="1042"/>
      <c r="BG64" s="1042"/>
      <c r="BH64" s="1042"/>
      <c r="BI64" s="1042"/>
      <c r="BJ64" s="1042"/>
      <c r="BK64" s="1042"/>
      <c r="BL64" s="1042"/>
      <c r="BM64" s="1042"/>
      <c r="BN64" s="1042"/>
      <c r="BO64" s="1042"/>
      <c r="BP64" s="1042"/>
      <c r="BQ64" s="1042"/>
      <c r="BR64" s="1042"/>
      <c r="BS64" s="1042"/>
      <c r="BT64" s="1042"/>
      <c r="BU64" s="1042"/>
      <c r="BV64" s="1042"/>
      <c r="BW64" s="1042"/>
      <c r="BX64" s="1042"/>
      <c r="BY64" s="1042"/>
      <c r="BZ64" s="1042"/>
      <c r="CA64" s="1042"/>
      <c r="CB64" s="1042"/>
      <c r="CC64" s="1042"/>
      <c r="CD64" s="1042"/>
      <c r="CE64" s="1042"/>
      <c r="CF64" s="1042"/>
      <c r="CG64" s="1042"/>
      <c r="CH64" s="1042"/>
      <c r="CI64" s="1042"/>
      <c r="CJ64" s="1042"/>
      <c r="CK64" s="1042"/>
      <c r="CL64" s="1042"/>
      <c r="CM64" s="1042"/>
      <c r="CN64" s="1042"/>
      <c r="CO64" s="1042"/>
      <c r="CP64" s="1042"/>
      <c r="CQ64" s="1042"/>
      <c r="CR64" s="1042"/>
      <c r="CS64" s="1042"/>
      <c r="CT64" s="1042"/>
      <c r="CU64" s="1042"/>
      <c r="CV64" s="1042"/>
      <c r="CW64" s="1042"/>
      <c r="CX64" s="1042"/>
      <c r="CY64" s="1042"/>
      <c r="CZ64" s="1042"/>
      <c r="DA64" s="1042"/>
      <c r="DB64" s="1042"/>
      <c r="DC64" s="1042"/>
      <c r="DD64" s="1042"/>
      <c r="DE64" s="1042"/>
      <c r="DF64" s="1042"/>
      <c r="DG64" s="1042"/>
      <c r="DH64" s="1042"/>
      <c r="DI64" s="1042"/>
      <c r="DJ64" s="1042"/>
      <c r="DK64" s="1042"/>
      <c r="DL64" s="1042"/>
      <c r="DM64" s="1042"/>
      <c r="DN64" s="1042"/>
      <c r="DO64" s="1042"/>
      <c r="DP64" s="1042"/>
      <c r="DQ64" s="1042"/>
      <c r="DR64" s="1042"/>
      <c r="DS64" s="1042"/>
      <c r="DT64" s="1042"/>
      <c r="DU64" s="1042"/>
      <c r="DV64" s="1042"/>
      <c r="DW64" s="1042"/>
      <c r="DX64" s="1042"/>
      <c r="DY64" s="1042"/>
      <c r="DZ64" s="1042"/>
      <c r="EA64" s="1042"/>
      <c r="EB64" s="1042"/>
      <c r="EC64" s="1042"/>
      <c r="ED64" s="1042"/>
      <c r="EE64" s="1042"/>
      <c r="EF64" s="1042"/>
      <c r="EG64" s="1042"/>
      <c r="EH64" s="1042"/>
      <c r="EI64" s="1042"/>
      <c r="EJ64" s="1042"/>
      <c r="EK64" s="1042"/>
      <c r="EL64" s="1042"/>
      <c r="EM64" s="1042"/>
      <c r="EN64" s="1042"/>
      <c r="EO64" s="1042"/>
      <c r="EP64" s="1042"/>
      <c r="EQ64" s="1042"/>
      <c r="ER64" s="1042"/>
      <c r="ES64" s="1042"/>
      <c r="ET64" s="1042"/>
      <c r="EU64" s="1042"/>
      <c r="EV64" s="1042"/>
      <c r="EW64" s="1042"/>
      <c r="EX64" s="1042"/>
      <c r="EY64" s="1042"/>
      <c r="EZ64" s="1042"/>
      <c r="FA64" s="1042"/>
      <c r="FB64" s="1042"/>
      <c r="FC64" s="1042"/>
      <c r="FD64" s="1042"/>
      <c r="FE64" s="1042"/>
      <c r="FF64" s="1042"/>
      <c r="FG64" s="1042"/>
      <c r="FH64" s="1042"/>
      <c r="FI64" s="1042"/>
      <c r="FJ64" s="1042"/>
      <c r="FK64" s="1042"/>
      <c r="FL64" s="1042"/>
      <c r="FM64" s="1042"/>
      <c r="FN64" s="1042"/>
      <c r="FO64" s="1042"/>
      <c r="FP64" s="1042"/>
      <c r="FQ64" s="1042"/>
      <c r="FR64" s="1042"/>
      <c r="FS64" s="1042"/>
      <c r="FT64" s="1042"/>
      <c r="FU64" s="1042"/>
      <c r="FV64" s="1042"/>
      <c r="FW64" s="1042"/>
      <c r="FX64" s="1042"/>
      <c r="FY64" s="1042"/>
      <c r="FZ64" s="1042"/>
      <c r="GA64" s="1042"/>
      <c r="GB64" s="1042"/>
      <c r="GC64" s="1042"/>
      <c r="GD64" s="1042"/>
      <c r="GE64" s="1042"/>
      <c r="GF64" s="1042"/>
      <c r="GG64" s="1042"/>
      <c r="GH64" s="1042"/>
      <c r="GI64" s="1042"/>
      <c r="GJ64" s="1042"/>
      <c r="GK64" s="1042"/>
      <c r="GL64" s="1042"/>
      <c r="GM64" s="1042"/>
      <c r="GN64" s="1042"/>
      <c r="GO64" s="1042"/>
      <c r="GP64" s="1042"/>
      <c r="GQ64" s="1042"/>
      <c r="GR64" s="1042"/>
      <c r="GS64" s="1042"/>
      <c r="GT64" s="1042"/>
      <c r="GU64" s="1042"/>
      <c r="GV64" s="1042"/>
      <c r="GW64" s="1042"/>
      <c r="GX64" s="1042"/>
      <c r="GY64" s="1042"/>
      <c r="GZ64" s="1042"/>
      <c r="HA64" s="1042"/>
      <c r="HB64" s="1042"/>
      <c r="HC64" s="1042"/>
      <c r="HD64" s="1042"/>
      <c r="HE64" s="1042"/>
      <c r="HF64" s="1042"/>
      <c r="HG64" s="1042"/>
      <c r="HH64" s="1042"/>
      <c r="HI64" s="1042"/>
      <c r="HJ64" s="1042"/>
      <c r="HK64" s="1042"/>
      <c r="HL64" s="1042"/>
      <c r="HM64" s="1042"/>
      <c r="HN64" s="1042"/>
      <c r="HO64" s="1042"/>
      <c r="HP64" s="1042"/>
      <c r="HQ64" s="1042"/>
      <c r="HR64" s="1042"/>
      <c r="HS64" s="1042"/>
      <c r="HT64" s="1042"/>
      <c r="HU64" s="1042"/>
      <c r="HV64" s="1042"/>
      <c r="HW64" s="1042"/>
      <c r="HX64" s="1042"/>
      <c r="HY64" s="1042"/>
      <c r="HZ64" s="1042"/>
      <c r="IA64" s="1042"/>
      <c r="IB64" s="1042"/>
      <c r="IC64" s="1042"/>
      <c r="ID64" s="1042"/>
      <c r="IE64" s="1042"/>
      <c r="IF64" s="1042"/>
      <c r="IG64" s="1042"/>
      <c r="IH64" s="1042"/>
      <c r="II64" s="1042"/>
      <c r="IJ64" s="1042"/>
      <c r="IK64" s="1042"/>
      <c r="IL64" s="1042"/>
      <c r="IM64" s="1042"/>
    </row>
    <row r="65" spans="1:247" s="957" customFormat="1">
      <c r="A65" s="1052" t="s">
        <v>950</v>
      </c>
      <c r="B65" s="1053"/>
      <c r="C65" s="1071">
        <v>99.096000000000004</v>
      </c>
      <c r="D65" s="1068">
        <f>72.546</f>
        <v>72.546000000000006</v>
      </c>
      <c r="E65" s="1069">
        <v>3.952</v>
      </c>
      <c r="F65" s="1069">
        <v>3.1187999999999998</v>
      </c>
      <c r="G65" s="1070">
        <v>3.0872000000000002</v>
      </c>
      <c r="H65" s="1072">
        <v>102.54600000000001</v>
      </c>
      <c r="I65" s="1072">
        <v>103.952</v>
      </c>
      <c r="J65" s="1072">
        <v>108.11879999999999</v>
      </c>
      <c r="K65" s="1073">
        <v>113.0872</v>
      </c>
      <c r="L65" s="1028"/>
      <c r="M65" s="1068"/>
      <c r="N65" s="1050">
        <f t="shared" si="11"/>
        <v>102.54600000000001</v>
      </c>
      <c r="O65" s="1068">
        <v>104.58743040216018</v>
      </c>
      <c r="P65" s="1069">
        <v>106.42346947219463</v>
      </c>
      <c r="Q65" s="1069">
        <v>108.62469645148842</v>
      </c>
      <c r="R65" s="1068">
        <f t="shared" si="50"/>
        <v>-0.63543040216018198</v>
      </c>
      <c r="S65" s="1069">
        <f t="shared" si="47"/>
        <v>1.6953305278053676</v>
      </c>
      <c r="T65" s="1069">
        <f t="shared" si="47"/>
        <v>4.4625035485115774</v>
      </c>
      <c r="U65" s="1071">
        <f t="shared" si="6"/>
        <v>2.0414304021601737</v>
      </c>
      <c r="V65" s="948"/>
      <c r="W65" s="1045">
        <f t="shared" si="48"/>
        <v>104.58743040216018</v>
      </c>
      <c r="X65" s="1046">
        <v>103.952</v>
      </c>
      <c r="Y65" s="1045">
        <f t="shared" si="7"/>
        <v>-0.63543040216018198</v>
      </c>
      <c r="Z65" s="1051">
        <f t="shared" si="42"/>
        <v>-7.1001512047791143E-4</v>
      </c>
      <c r="AA65" s="1042"/>
      <c r="AB65" s="952"/>
      <c r="AC65" s="1042"/>
      <c r="AD65" s="1042"/>
      <c r="AE65" s="1042"/>
      <c r="AF65" s="1042"/>
      <c r="AG65" s="1042"/>
      <c r="AH65" s="1042"/>
      <c r="AI65" s="1042"/>
      <c r="AJ65" s="1042"/>
      <c r="AK65" s="1042"/>
      <c r="AL65" s="1042"/>
      <c r="AM65" s="1042"/>
      <c r="AN65" s="1042"/>
      <c r="AO65" s="1042"/>
      <c r="AP65" s="1042"/>
      <c r="AQ65" s="1042"/>
      <c r="AR65" s="1042"/>
      <c r="AS65" s="1042"/>
      <c r="AT65" s="1042"/>
      <c r="AU65" s="1042"/>
      <c r="AV65" s="1042"/>
      <c r="AW65" s="1042"/>
      <c r="AX65" s="1042"/>
      <c r="AY65" s="1042"/>
      <c r="AZ65" s="1042"/>
      <c r="BA65" s="1042"/>
      <c r="BB65" s="1042"/>
      <c r="BC65" s="1042"/>
      <c r="BD65" s="1042"/>
      <c r="BE65" s="1042"/>
      <c r="BF65" s="1042"/>
      <c r="BG65" s="1042"/>
      <c r="BH65" s="1042"/>
      <c r="BI65" s="1042"/>
      <c r="BJ65" s="1042"/>
      <c r="BK65" s="1042"/>
      <c r="BL65" s="1042"/>
      <c r="BM65" s="1042"/>
      <c r="BN65" s="1042"/>
      <c r="BO65" s="1042"/>
      <c r="BP65" s="1042"/>
      <c r="BQ65" s="1042"/>
      <c r="BR65" s="1042"/>
      <c r="BS65" s="1042"/>
      <c r="BT65" s="1042"/>
      <c r="BU65" s="1042"/>
      <c r="BV65" s="1042"/>
      <c r="BW65" s="1042"/>
      <c r="BX65" s="1042"/>
      <c r="BY65" s="1042"/>
      <c r="BZ65" s="1042"/>
      <c r="CA65" s="1042"/>
      <c r="CB65" s="1042"/>
      <c r="CC65" s="1042"/>
      <c r="CD65" s="1042"/>
      <c r="CE65" s="1042"/>
      <c r="CF65" s="1042"/>
      <c r="CG65" s="1042"/>
      <c r="CH65" s="1042"/>
      <c r="CI65" s="1042"/>
      <c r="CJ65" s="1042"/>
      <c r="CK65" s="1042"/>
      <c r="CL65" s="1042"/>
      <c r="CM65" s="1042"/>
      <c r="CN65" s="1042"/>
      <c r="CO65" s="1042"/>
      <c r="CP65" s="1042"/>
      <c r="CQ65" s="1042"/>
      <c r="CR65" s="1042"/>
      <c r="CS65" s="1042"/>
      <c r="CT65" s="1042"/>
      <c r="CU65" s="1042"/>
      <c r="CV65" s="1042"/>
      <c r="CW65" s="1042"/>
      <c r="CX65" s="1042"/>
      <c r="CY65" s="1042"/>
      <c r="CZ65" s="1042"/>
      <c r="DA65" s="1042"/>
      <c r="DB65" s="1042"/>
      <c r="DC65" s="1042"/>
      <c r="DD65" s="1042"/>
      <c r="DE65" s="1042"/>
      <c r="DF65" s="1042"/>
      <c r="DG65" s="1042"/>
      <c r="DH65" s="1042"/>
      <c r="DI65" s="1042"/>
      <c r="DJ65" s="1042"/>
      <c r="DK65" s="1042"/>
      <c r="DL65" s="1042"/>
      <c r="DM65" s="1042"/>
      <c r="DN65" s="1042"/>
      <c r="DO65" s="1042"/>
      <c r="DP65" s="1042"/>
      <c r="DQ65" s="1042"/>
      <c r="DR65" s="1042"/>
      <c r="DS65" s="1042"/>
      <c r="DT65" s="1042"/>
      <c r="DU65" s="1042"/>
      <c r="DV65" s="1042"/>
      <c r="DW65" s="1042"/>
      <c r="DX65" s="1042"/>
      <c r="DY65" s="1042"/>
      <c r="DZ65" s="1042"/>
      <c r="EA65" s="1042"/>
      <c r="EB65" s="1042"/>
      <c r="EC65" s="1042"/>
      <c r="ED65" s="1042"/>
      <c r="EE65" s="1042"/>
      <c r="EF65" s="1042"/>
      <c r="EG65" s="1042"/>
      <c r="EH65" s="1042"/>
      <c r="EI65" s="1042"/>
      <c r="EJ65" s="1042"/>
      <c r="EK65" s="1042"/>
      <c r="EL65" s="1042"/>
      <c r="EM65" s="1042"/>
      <c r="EN65" s="1042"/>
      <c r="EO65" s="1042"/>
      <c r="EP65" s="1042"/>
      <c r="EQ65" s="1042"/>
      <c r="ER65" s="1042"/>
      <c r="ES65" s="1042"/>
      <c r="ET65" s="1042"/>
      <c r="EU65" s="1042"/>
      <c r="EV65" s="1042"/>
      <c r="EW65" s="1042"/>
      <c r="EX65" s="1042"/>
      <c r="EY65" s="1042"/>
      <c r="EZ65" s="1042"/>
      <c r="FA65" s="1042"/>
      <c r="FB65" s="1042"/>
      <c r="FC65" s="1042"/>
      <c r="FD65" s="1042"/>
      <c r="FE65" s="1042"/>
      <c r="FF65" s="1042"/>
      <c r="FG65" s="1042"/>
      <c r="FH65" s="1042"/>
      <c r="FI65" s="1042"/>
      <c r="FJ65" s="1042"/>
      <c r="FK65" s="1042"/>
      <c r="FL65" s="1042"/>
      <c r="FM65" s="1042"/>
      <c r="FN65" s="1042"/>
      <c r="FO65" s="1042"/>
      <c r="FP65" s="1042"/>
      <c r="FQ65" s="1042"/>
      <c r="FR65" s="1042"/>
      <c r="FS65" s="1042"/>
      <c r="FT65" s="1042"/>
      <c r="FU65" s="1042"/>
      <c r="FV65" s="1042"/>
      <c r="FW65" s="1042"/>
      <c r="FX65" s="1042"/>
      <c r="FY65" s="1042"/>
      <c r="FZ65" s="1042"/>
      <c r="GA65" s="1042"/>
      <c r="GB65" s="1042"/>
      <c r="GC65" s="1042"/>
      <c r="GD65" s="1042"/>
      <c r="GE65" s="1042"/>
      <c r="GF65" s="1042"/>
      <c r="GG65" s="1042"/>
      <c r="GH65" s="1042"/>
      <c r="GI65" s="1042"/>
      <c r="GJ65" s="1042"/>
      <c r="GK65" s="1042"/>
      <c r="GL65" s="1042"/>
      <c r="GM65" s="1042"/>
      <c r="GN65" s="1042"/>
      <c r="GO65" s="1042"/>
      <c r="GP65" s="1042"/>
      <c r="GQ65" s="1042"/>
      <c r="GR65" s="1042"/>
      <c r="GS65" s="1042"/>
      <c r="GT65" s="1042"/>
      <c r="GU65" s="1042"/>
      <c r="GV65" s="1042"/>
      <c r="GW65" s="1042"/>
      <c r="GX65" s="1042"/>
      <c r="GY65" s="1042"/>
      <c r="GZ65" s="1042"/>
      <c r="HA65" s="1042"/>
      <c r="HB65" s="1042"/>
      <c r="HC65" s="1042"/>
      <c r="HD65" s="1042"/>
      <c r="HE65" s="1042"/>
      <c r="HF65" s="1042"/>
      <c r="HG65" s="1042"/>
      <c r="HH65" s="1042"/>
      <c r="HI65" s="1042"/>
      <c r="HJ65" s="1042"/>
      <c r="HK65" s="1042"/>
      <c r="HL65" s="1042"/>
      <c r="HM65" s="1042"/>
      <c r="HN65" s="1042"/>
      <c r="HO65" s="1042"/>
      <c r="HP65" s="1042"/>
      <c r="HQ65" s="1042"/>
      <c r="HR65" s="1042"/>
      <c r="HS65" s="1042"/>
      <c r="HT65" s="1042"/>
      <c r="HU65" s="1042"/>
      <c r="HV65" s="1042"/>
      <c r="HW65" s="1042"/>
      <c r="HX65" s="1042"/>
      <c r="HY65" s="1042"/>
      <c r="HZ65" s="1042"/>
      <c r="IA65" s="1042"/>
      <c r="IB65" s="1042"/>
      <c r="IC65" s="1042"/>
      <c r="ID65" s="1042"/>
      <c r="IE65" s="1042"/>
      <c r="IF65" s="1042"/>
      <c r="IG65" s="1042"/>
      <c r="IH65" s="1042"/>
      <c r="II65" s="1042"/>
      <c r="IJ65" s="1042"/>
      <c r="IK65" s="1042"/>
      <c r="IL65" s="1042"/>
      <c r="IM65" s="1042"/>
    </row>
    <row r="66" spans="1:247" s="1042" customFormat="1">
      <c r="A66" s="1052" t="s">
        <v>956</v>
      </c>
      <c r="B66" s="1060"/>
      <c r="C66" s="1050">
        <v>85.268000000000001</v>
      </c>
      <c r="D66" s="1045">
        <v>61.045211999999999</v>
      </c>
      <c r="E66" s="1046">
        <v>21.580110999999999</v>
      </c>
      <c r="F66" s="1046">
        <v>20.759098000000002</v>
      </c>
      <c r="G66" s="1047">
        <v>20.782568000000001</v>
      </c>
      <c r="H66" s="1048">
        <v>61.045211999999999</v>
      </c>
      <c r="I66" s="1048">
        <v>21.580110999999999</v>
      </c>
      <c r="J66" s="1048">
        <v>20.759098000000002</v>
      </c>
      <c r="K66" s="1049">
        <v>20.782568000000001</v>
      </c>
      <c r="L66" s="1028"/>
      <c r="M66" s="1045"/>
      <c r="N66" s="1050">
        <f t="shared" si="11"/>
        <v>61.045211999999999</v>
      </c>
      <c r="O66" s="1045">
        <f>N66</f>
        <v>61.045211999999999</v>
      </c>
      <c r="P66" s="1046">
        <f t="shared" ref="P66:Q68" si="52">O66</f>
        <v>61.045211999999999</v>
      </c>
      <c r="Q66" s="1046">
        <f t="shared" si="52"/>
        <v>61.045211999999999</v>
      </c>
      <c r="R66" s="1045">
        <f t="shared" si="50"/>
        <v>-39.465101000000004</v>
      </c>
      <c r="S66" s="1046">
        <f t="shared" si="47"/>
        <v>-40.286113999999998</v>
      </c>
      <c r="T66" s="1046">
        <f t="shared" si="47"/>
        <v>-40.262643999999995</v>
      </c>
      <c r="U66" s="1050">
        <f t="shared" si="6"/>
        <v>0</v>
      </c>
      <c r="V66" s="948"/>
      <c r="W66" s="1045">
        <f t="shared" si="48"/>
        <v>61.045211999999999</v>
      </c>
      <c r="X66" s="1046">
        <v>21.580110999999999</v>
      </c>
      <c r="Y66" s="1045">
        <f t="shared" si="7"/>
        <v>-39.465101000000004</v>
      </c>
      <c r="Z66" s="1051">
        <f t="shared" si="42"/>
        <v>-4.4097383987183443E-2</v>
      </c>
      <c r="AB66" s="952"/>
      <c r="AE66" s="958"/>
      <c r="AF66" s="958"/>
      <c r="AG66" s="958"/>
      <c r="AH66" s="958"/>
      <c r="AI66" s="958"/>
    </row>
    <row r="67" spans="1:247" s="1042" customFormat="1">
      <c r="A67" s="1052" t="s">
        <v>957</v>
      </c>
      <c r="B67" s="1060"/>
      <c r="C67" s="1050">
        <v>214.839</v>
      </c>
      <c r="D67" s="1045">
        <f>261.108+20.661</f>
        <v>281.76900000000001</v>
      </c>
      <c r="E67" s="1046">
        <v>207.57459499999999</v>
      </c>
      <c r="F67" s="1046">
        <v>169.70647399999999</v>
      </c>
      <c r="G67" s="1047">
        <v>171.05651499999999</v>
      </c>
      <c r="H67" s="1048">
        <v>281.76900000000001</v>
      </c>
      <c r="I67" s="1048">
        <v>207.57459499999999</v>
      </c>
      <c r="J67" s="1048">
        <v>169.70647399999999</v>
      </c>
      <c r="K67" s="1049">
        <v>171.05651499999999</v>
      </c>
      <c r="L67" s="1028"/>
      <c r="M67" s="1045"/>
      <c r="N67" s="1050">
        <f t="shared" si="11"/>
        <v>281.76900000000001</v>
      </c>
      <c r="O67" s="1045">
        <f>N67</f>
        <v>281.76900000000001</v>
      </c>
      <c r="P67" s="1046">
        <f t="shared" si="52"/>
        <v>281.76900000000001</v>
      </c>
      <c r="Q67" s="1046">
        <f t="shared" si="52"/>
        <v>281.76900000000001</v>
      </c>
      <c r="R67" s="1045">
        <f t="shared" si="50"/>
        <v>-74.194405000000017</v>
      </c>
      <c r="S67" s="1046">
        <f t="shared" si="47"/>
        <v>-112.06252600000002</v>
      </c>
      <c r="T67" s="1046">
        <f t="shared" si="47"/>
        <v>-110.71248500000002</v>
      </c>
      <c r="U67" s="1050">
        <f t="shared" si="6"/>
        <v>0</v>
      </c>
      <c r="V67" s="948"/>
      <c r="W67" s="1045">
        <f t="shared" si="48"/>
        <v>281.76900000000001</v>
      </c>
      <c r="X67" s="1046">
        <v>207.57459499999999</v>
      </c>
      <c r="Y67" s="1045">
        <f t="shared" si="7"/>
        <v>-74.194405000000017</v>
      </c>
      <c r="Z67" s="1051">
        <f t="shared" si="42"/>
        <v>-8.2903098790640464E-2</v>
      </c>
      <c r="AB67" s="952"/>
      <c r="AE67" s="958"/>
      <c r="AF67" s="958"/>
      <c r="AG67" s="958"/>
      <c r="AH67" s="958"/>
      <c r="AI67" s="958"/>
    </row>
    <row r="68" spans="1:247" s="957" customFormat="1">
      <c r="A68" s="1079" t="s">
        <v>432</v>
      </c>
      <c r="B68" s="1080"/>
      <c r="C68" s="1081">
        <f>C58-SUM(C59:C67)</f>
        <v>204.86647393000021</v>
      </c>
      <c r="D68" s="1082">
        <f>D58-SUM(D59:D67)</f>
        <v>246.3607879999995</v>
      </c>
      <c r="E68" s="1083">
        <f>E58-SUM(E59:E67)</f>
        <v>197.11085500000013</v>
      </c>
      <c r="F68" s="1083">
        <f>F58-SUM(F59:F67)</f>
        <v>195.915796</v>
      </c>
      <c r="G68" s="1084">
        <f>G58-SUM(G59:G67)</f>
        <v>194.76835300000016</v>
      </c>
      <c r="H68" s="1085">
        <v>205.3607879999995</v>
      </c>
      <c r="I68" s="1085">
        <v>197.11085500000013</v>
      </c>
      <c r="J68" s="1085">
        <v>195.915796</v>
      </c>
      <c r="K68" s="1086">
        <v>194.76835300000016</v>
      </c>
      <c r="L68" s="1028"/>
      <c r="M68" s="1082"/>
      <c r="N68" s="1081">
        <f t="shared" si="11"/>
        <v>205.3607879999995</v>
      </c>
      <c r="O68" s="1082">
        <f>N68</f>
        <v>205.3607879999995</v>
      </c>
      <c r="P68" s="1083">
        <f>N68</f>
        <v>205.3607879999995</v>
      </c>
      <c r="Q68" s="1083">
        <f t="shared" si="52"/>
        <v>205.3607879999995</v>
      </c>
      <c r="R68" s="1082">
        <f t="shared" si="50"/>
        <v>-8.2499329999993734</v>
      </c>
      <c r="S68" s="1083">
        <f t="shared" si="47"/>
        <v>-9.4449919999995018</v>
      </c>
      <c r="T68" s="1083">
        <f t="shared" si="47"/>
        <v>-10.592434999999341</v>
      </c>
      <c r="U68" s="1081">
        <f t="shared" si="6"/>
        <v>0</v>
      </c>
      <c r="V68" s="948"/>
      <c r="W68" s="1082">
        <f t="shared" si="48"/>
        <v>205.3607879999995</v>
      </c>
      <c r="X68" s="1083">
        <v>197.11085500000013</v>
      </c>
      <c r="Y68" s="1082">
        <f>X68-W68</f>
        <v>-8.2499329999993734</v>
      </c>
      <c r="Z68" s="1087">
        <f t="shared" si="42"/>
        <v>-9.2182828410728914E-3</v>
      </c>
      <c r="AA68" s="958"/>
      <c r="AB68" s="952"/>
      <c r="AC68" s="1042"/>
      <c r="AD68" s="1042"/>
      <c r="AE68" s="1042"/>
      <c r="AF68" s="1042"/>
      <c r="AG68" s="1042"/>
      <c r="AH68" s="1042"/>
      <c r="AI68" s="1042"/>
      <c r="AJ68" s="1042"/>
      <c r="AK68" s="1042"/>
      <c r="AL68" s="1042"/>
      <c r="AM68" s="1042"/>
      <c r="AN68" s="1042"/>
      <c r="AO68" s="1042"/>
      <c r="AP68" s="1042"/>
      <c r="AQ68" s="1042"/>
      <c r="AR68" s="1042"/>
      <c r="AS68" s="1042"/>
      <c r="AT68" s="1042"/>
      <c r="AU68" s="1042"/>
      <c r="AV68" s="1042"/>
      <c r="AW68" s="1042"/>
      <c r="AX68" s="1042"/>
      <c r="AY68" s="1042"/>
      <c r="AZ68" s="1042"/>
      <c r="BA68" s="1042"/>
      <c r="BB68" s="1042"/>
      <c r="BC68" s="1042"/>
      <c r="BD68" s="1042"/>
      <c r="BE68" s="1042"/>
      <c r="BF68" s="1042"/>
      <c r="BG68" s="1042"/>
      <c r="BH68" s="1042"/>
      <c r="BI68" s="1042"/>
      <c r="BJ68" s="1042"/>
      <c r="BK68" s="1042"/>
      <c r="BL68" s="1042"/>
      <c r="BM68" s="1042"/>
      <c r="BN68" s="1042"/>
      <c r="BO68" s="1042"/>
      <c r="BP68" s="1042"/>
      <c r="BQ68" s="1042"/>
      <c r="BR68" s="1042"/>
      <c r="BS68" s="1042"/>
      <c r="BT68" s="1042"/>
      <c r="BU68" s="1042"/>
      <c r="BV68" s="1042"/>
      <c r="BW68" s="1042"/>
      <c r="BX68" s="1042"/>
      <c r="BY68" s="1042"/>
      <c r="BZ68" s="1042"/>
      <c r="CA68" s="1042"/>
      <c r="CB68" s="1042"/>
      <c r="CC68" s="1042"/>
      <c r="CD68" s="1042"/>
      <c r="CE68" s="1042"/>
      <c r="CF68" s="1042"/>
      <c r="CG68" s="1042"/>
      <c r="CH68" s="1042"/>
      <c r="CI68" s="1042"/>
      <c r="CJ68" s="1042"/>
      <c r="CK68" s="1042"/>
      <c r="CL68" s="1042"/>
      <c r="CM68" s="1042"/>
      <c r="CN68" s="1042"/>
      <c r="CO68" s="1042"/>
      <c r="CP68" s="1042"/>
      <c r="CQ68" s="1042"/>
      <c r="CR68" s="1042"/>
      <c r="CS68" s="1042"/>
      <c r="CT68" s="1042"/>
      <c r="CU68" s="1042"/>
      <c r="CV68" s="1042"/>
      <c r="CW68" s="1042"/>
      <c r="CX68" s="1042"/>
      <c r="CY68" s="1042"/>
      <c r="CZ68" s="1042"/>
      <c r="DA68" s="1042"/>
      <c r="DB68" s="1042"/>
      <c r="DC68" s="1042"/>
      <c r="DD68" s="1042"/>
      <c r="DE68" s="1042"/>
      <c r="DF68" s="1042"/>
      <c r="DG68" s="1042"/>
      <c r="DH68" s="1042"/>
      <c r="DI68" s="1042"/>
      <c r="DJ68" s="1042"/>
      <c r="DK68" s="1042"/>
      <c r="DL68" s="1042"/>
      <c r="DM68" s="1042"/>
      <c r="DN68" s="1042"/>
      <c r="DO68" s="1042"/>
      <c r="DP68" s="1042"/>
      <c r="DQ68" s="1042"/>
      <c r="DR68" s="1042"/>
      <c r="DS68" s="1042"/>
      <c r="DT68" s="1042"/>
      <c r="DU68" s="1042"/>
      <c r="DV68" s="1042"/>
      <c r="DW68" s="1042"/>
      <c r="DX68" s="1042"/>
      <c r="DY68" s="1042"/>
      <c r="DZ68" s="1042"/>
      <c r="EA68" s="1042"/>
      <c r="EB68" s="1042"/>
      <c r="EC68" s="1042"/>
      <c r="ED68" s="1042"/>
      <c r="EE68" s="1042"/>
      <c r="EF68" s="1042"/>
      <c r="EG68" s="1042"/>
      <c r="EH68" s="1042"/>
      <c r="EI68" s="1042"/>
      <c r="EJ68" s="1042"/>
      <c r="EK68" s="1042"/>
      <c r="EL68" s="1042"/>
      <c r="EM68" s="1042"/>
      <c r="EN68" s="1042"/>
      <c r="EO68" s="1042"/>
      <c r="EP68" s="1042"/>
      <c r="EQ68" s="1042"/>
      <c r="ER68" s="1042"/>
      <c r="ES68" s="1042"/>
      <c r="ET68" s="1042"/>
      <c r="EU68" s="1042"/>
      <c r="EV68" s="1042"/>
      <c r="EW68" s="1042"/>
      <c r="EX68" s="1042"/>
      <c r="EY68" s="1042"/>
      <c r="EZ68" s="1042"/>
      <c r="FA68" s="1042"/>
      <c r="FB68" s="1042"/>
      <c r="FC68" s="1042"/>
      <c r="FD68" s="1042"/>
      <c r="FE68" s="1042"/>
      <c r="FF68" s="1042"/>
      <c r="FG68" s="1042"/>
      <c r="FH68" s="1042"/>
      <c r="FI68" s="1042"/>
      <c r="FJ68" s="1042"/>
      <c r="FK68" s="1042"/>
      <c r="FL68" s="1042"/>
      <c r="FM68" s="1042"/>
      <c r="FN68" s="1042"/>
      <c r="FO68" s="1042"/>
      <c r="FP68" s="1042"/>
      <c r="FQ68" s="1042"/>
      <c r="FR68" s="1042"/>
      <c r="FS68" s="1042"/>
      <c r="FT68" s="1042"/>
      <c r="FU68" s="1042"/>
      <c r="FV68" s="1042"/>
      <c r="FW68" s="1042"/>
      <c r="FX68" s="1042"/>
      <c r="FY68" s="1042"/>
      <c r="FZ68" s="1042"/>
      <c r="GA68" s="1042"/>
      <c r="GB68" s="1042"/>
      <c r="GC68" s="1042"/>
      <c r="GD68" s="1042"/>
      <c r="GE68" s="1042"/>
      <c r="GF68" s="1042"/>
      <c r="GG68" s="1042"/>
      <c r="GH68" s="1042"/>
      <c r="GI68" s="1042"/>
      <c r="GJ68" s="1042"/>
      <c r="GK68" s="1042"/>
      <c r="GL68" s="1042"/>
      <c r="GM68" s="1042"/>
      <c r="GN68" s="1042"/>
      <c r="GO68" s="1042"/>
      <c r="GP68" s="1042"/>
      <c r="GQ68" s="1042"/>
      <c r="GR68" s="1042"/>
      <c r="GS68" s="1042"/>
      <c r="GT68" s="1042"/>
      <c r="GU68" s="1042"/>
      <c r="GV68" s="1042"/>
      <c r="GW68" s="1042"/>
      <c r="GX68" s="1042"/>
      <c r="GY68" s="1042"/>
      <c r="GZ68" s="1042"/>
      <c r="HA68" s="1042"/>
      <c r="HB68" s="1042"/>
      <c r="HC68" s="1042"/>
      <c r="HD68" s="1042"/>
      <c r="HE68" s="1042"/>
      <c r="HF68" s="1042"/>
      <c r="HG68" s="1042"/>
      <c r="HH68" s="1042"/>
      <c r="HI68" s="1042"/>
      <c r="HJ68" s="1042"/>
      <c r="HK68" s="1042"/>
      <c r="HL68" s="1042"/>
      <c r="HM68" s="1042"/>
      <c r="HN68" s="1042"/>
      <c r="HO68" s="1042"/>
      <c r="HP68" s="1042"/>
      <c r="HQ68" s="1042"/>
      <c r="HR68" s="1042"/>
      <c r="HS68" s="1042"/>
      <c r="HT68" s="1042"/>
      <c r="HU68" s="1042"/>
      <c r="HV68" s="1042"/>
      <c r="HW68" s="1042"/>
      <c r="HX68" s="1042"/>
      <c r="HY68" s="1042"/>
      <c r="HZ68" s="1042"/>
      <c r="IA68" s="1042"/>
      <c r="IB68" s="1042"/>
      <c r="IC68" s="1042"/>
      <c r="ID68" s="1042"/>
      <c r="IE68" s="1042"/>
      <c r="IF68" s="1042"/>
      <c r="IG68" s="1042"/>
      <c r="IH68" s="1042"/>
      <c r="II68" s="1042"/>
      <c r="IJ68" s="1042"/>
      <c r="IK68" s="1042"/>
      <c r="IL68" s="1042"/>
      <c r="IM68" s="1042"/>
    </row>
    <row r="69" spans="1:247">
      <c r="A69" s="1088" t="s">
        <v>39</v>
      </c>
      <c r="B69" s="1089" t="s">
        <v>958</v>
      </c>
      <c r="C69" s="1090">
        <f t="shared" ref="C69:G69" si="53">C70+C81+C102+C120+C126+C131+C148+C156</f>
        <v>33684.084999999999</v>
      </c>
      <c r="D69" s="1091">
        <f t="shared" si="53"/>
        <v>34685.645999999993</v>
      </c>
      <c r="E69" s="1092">
        <f t="shared" si="53"/>
        <v>35175.082999999999</v>
      </c>
      <c r="F69" s="1092">
        <f t="shared" si="53"/>
        <v>37383.695999999996</v>
      </c>
      <c r="G69" s="1093">
        <f t="shared" si="53"/>
        <v>38970.704999999994</v>
      </c>
      <c r="H69" s="1092">
        <f>H70+H81+H102+H120+H126+H131+H148+H156</f>
        <v>34716.186996763034</v>
      </c>
      <c r="I69" s="1092">
        <f t="shared" ref="I69:K69" si="54">I70+I81+I102+I120+I126+I131+I148+I156</f>
        <v>36371.714043524378</v>
      </c>
      <c r="J69" s="1092">
        <f t="shared" si="54"/>
        <v>37591.673826497012</v>
      </c>
      <c r="K69" s="1093">
        <f t="shared" si="54"/>
        <v>39273.963267635132</v>
      </c>
      <c r="L69" s="1028"/>
      <c r="M69" s="1091">
        <f t="shared" ref="M69:T69" si="55">M70+M81+M102+M120+M126+M131+M148+M156</f>
        <v>-202.78800000000001</v>
      </c>
      <c r="N69" s="1090">
        <f t="shared" si="55"/>
        <v>34513.398996763033</v>
      </c>
      <c r="O69" s="1091">
        <f t="shared" si="55"/>
        <v>36166.43520069385</v>
      </c>
      <c r="P69" s="1092">
        <f t="shared" si="55"/>
        <v>37524.684411678943</v>
      </c>
      <c r="Q69" s="1092">
        <f t="shared" si="55"/>
        <v>39111.150624792135</v>
      </c>
      <c r="R69" s="1091">
        <f>R70+R81+R102+R120+R126+R131+R148+R156</f>
        <v>205.27884283052686</v>
      </c>
      <c r="S69" s="1092">
        <f t="shared" si="55"/>
        <v>66.989414818063437</v>
      </c>
      <c r="T69" s="1092">
        <f t="shared" si="55"/>
        <v>162.81264284298408</v>
      </c>
      <c r="U69" s="1090">
        <f t="shared" ref="U69:U132" si="56">O69-N69</f>
        <v>1653.0362039308166</v>
      </c>
      <c r="V69" s="948"/>
      <c r="W69" s="1091">
        <f>W70+W81+W102+W120+W126+W131+W148+W156</f>
        <v>36166.43520069385</v>
      </c>
      <c r="X69" s="1092">
        <f>X70+X81+X102+X120+X126+X131+X148+X156</f>
        <v>35379.178901587591</v>
      </c>
      <c r="Y69" s="1091">
        <f t="shared" si="7"/>
        <v>-787.25629910625867</v>
      </c>
      <c r="Z69" s="1094">
        <f t="shared" si="42"/>
        <v>-0.87966183889957927</v>
      </c>
      <c r="AA69" s="960"/>
      <c r="AB69" s="952"/>
      <c r="AC69" s="1017"/>
      <c r="AD69" s="1017"/>
      <c r="AE69" s="1017"/>
      <c r="AF69" s="1017"/>
      <c r="AG69" s="1017"/>
      <c r="AH69" s="1017"/>
      <c r="AI69" s="1017"/>
      <c r="AJ69" s="1017"/>
      <c r="AK69" s="1017"/>
      <c r="AL69" s="1017"/>
      <c r="AM69" s="1017"/>
      <c r="AN69" s="1017"/>
      <c r="AO69" s="1017"/>
      <c r="AP69" s="1017"/>
      <c r="AQ69" s="1017"/>
      <c r="AR69" s="1017"/>
      <c r="AS69" s="1017"/>
      <c r="AT69" s="1017"/>
      <c r="AU69" s="1017"/>
      <c r="AV69" s="1017"/>
      <c r="AW69" s="1017"/>
      <c r="AX69" s="1017"/>
      <c r="AY69" s="1017"/>
      <c r="AZ69" s="1017"/>
      <c r="BA69" s="1017"/>
      <c r="BB69" s="1017"/>
      <c r="BC69" s="1017"/>
      <c r="BD69" s="1017"/>
      <c r="BE69" s="1017"/>
      <c r="BF69" s="1017"/>
      <c r="BG69" s="1017"/>
      <c r="BH69" s="1017"/>
      <c r="BI69" s="1017"/>
      <c r="BJ69" s="1017"/>
      <c r="BK69" s="1017"/>
      <c r="BL69" s="1017"/>
      <c r="BM69" s="1017"/>
      <c r="BN69" s="1017"/>
      <c r="BO69" s="1017"/>
      <c r="BP69" s="1017"/>
      <c r="BQ69" s="1017"/>
      <c r="BR69" s="1017"/>
      <c r="BS69" s="1017"/>
      <c r="BT69" s="1017"/>
      <c r="BU69" s="1017"/>
      <c r="BV69" s="1017"/>
      <c r="BW69" s="1017"/>
      <c r="BX69" s="1017"/>
      <c r="BY69" s="1017"/>
      <c r="BZ69" s="1017"/>
      <c r="CA69" s="1017"/>
      <c r="CB69" s="1017"/>
      <c r="CC69" s="1017"/>
      <c r="CD69" s="1017"/>
      <c r="CE69" s="1017"/>
      <c r="CF69" s="1017"/>
      <c r="CG69" s="1017"/>
      <c r="CH69" s="1017"/>
      <c r="CI69" s="1017"/>
      <c r="CJ69" s="1017"/>
      <c r="CK69" s="1017"/>
      <c r="CL69" s="1017"/>
      <c r="CM69" s="1017"/>
      <c r="CN69" s="1017"/>
      <c r="CO69" s="1017"/>
      <c r="CP69" s="1017"/>
      <c r="CQ69" s="1017"/>
      <c r="CR69" s="1017"/>
      <c r="CS69" s="1017"/>
      <c r="CT69" s="1017"/>
      <c r="CU69" s="1017"/>
      <c r="CV69" s="1017"/>
      <c r="CW69" s="1017"/>
      <c r="CX69" s="1017"/>
      <c r="CY69" s="1017"/>
      <c r="CZ69" s="1017"/>
      <c r="DA69" s="1017"/>
      <c r="DB69" s="1017"/>
      <c r="DC69" s="1017"/>
      <c r="DD69" s="1017"/>
      <c r="DE69" s="1017"/>
      <c r="DF69" s="1017"/>
      <c r="DG69" s="1017"/>
      <c r="DH69" s="1017"/>
      <c r="DI69" s="1017"/>
      <c r="DJ69" s="1017"/>
      <c r="DK69" s="1017"/>
      <c r="DL69" s="1017"/>
      <c r="DM69" s="1017"/>
      <c r="DN69" s="1017"/>
      <c r="DO69" s="1017"/>
      <c r="DP69" s="1017"/>
      <c r="DQ69" s="1017"/>
      <c r="DR69" s="1017"/>
      <c r="DS69" s="1017"/>
      <c r="DT69" s="1017"/>
      <c r="DU69" s="1017"/>
      <c r="DV69" s="1017"/>
      <c r="DW69" s="1017"/>
      <c r="DX69" s="1017"/>
      <c r="DY69" s="1017"/>
      <c r="DZ69" s="1017"/>
      <c r="EA69" s="1017"/>
      <c r="EB69" s="1017"/>
      <c r="EC69" s="1017"/>
      <c r="ED69" s="1017"/>
      <c r="EE69" s="1017"/>
      <c r="EF69" s="1017"/>
      <c r="EG69" s="1017"/>
      <c r="EH69" s="1017"/>
      <c r="EI69" s="1017"/>
      <c r="EJ69" s="1017"/>
      <c r="EK69" s="1017"/>
      <c r="EL69" s="1017"/>
      <c r="EM69" s="1017"/>
      <c r="EN69" s="1017"/>
      <c r="EO69" s="1017"/>
      <c r="EP69" s="1017"/>
      <c r="EQ69" s="1017"/>
      <c r="ER69" s="1017"/>
      <c r="ES69" s="1017"/>
      <c r="ET69" s="1017"/>
      <c r="EU69" s="1017"/>
      <c r="EV69" s="1017"/>
      <c r="EW69" s="1017"/>
      <c r="EX69" s="1017"/>
      <c r="EY69" s="1017"/>
      <c r="EZ69" s="1017"/>
      <c r="FA69" s="1017"/>
      <c r="FB69" s="1017"/>
      <c r="FC69" s="1017"/>
      <c r="FD69" s="1017"/>
      <c r="FE69" s="1017"/>
      <c r="FF69" s="1017"/>
      <c r="FG69" s="1017"/>
      <c r="FH69" s="1017"/>
      <c r="FI69" s="1017"/>
      <c r="FJ69" s="1017"/>
      <c r="FK69" s="1017"/>
      <c r="FL69" s="1017"/>
      <c r="FM69" s="1017"/>
      <c r="FN69" s="1017"/>
      <c r="FO69" s="1017"/>
      <c r="FP69" s="1017"/>
      <c r="FQ69" s="1017"/>
      <c r="FR69" s="1017"/>
      <c r="FS69" s="1017"/>
      <c r="FT69" s="1017"/>
      <c r="FU69" s="1017"/>
      <c r="FV69" s="1017"/>
      <c r="FW69" s="1017"/>
      <c r="FX69" s="1017"/>
      <c r="FY69" s="1017"/>
      <c r="FZ69" s="1017"/>
      <c r="GA69" s="1017"/>
      <c r="GB69" s="1017"/>
      <c r="GC69" s="1017"/>
      <c r="GD69" s="1017"/>
      <c r="GE69" s="1017"/>
      <c r="GF69" s="1017"/>
      <c r="GG69" s="1017"/>
      <c r="GH69" s="1017"/>
      <c r="GI69" s="1017"/>
      <c r="GJ69" s="1017"/>
      <c r="GK69" s="1017"/>
      <c r="GL69" s="1017"/>
      <c r="GM69" s="1017"/>
      <c r="GN69" s="1017"/>
      <c r="GO69" s="1017"/>
      <c r="GP69" s="1017"/>
      <c r="GQ69" s="1017"/>
      <c r="GR69" s="1017"/>
      <c r="GS69" s="1017"/>
      <c r="GT69" s="1017"/>
      <c r="GU69" s="1017"/>
      <c r="GV69" s="1017"/>
      <c r="GW69" s="1017"/>
      <c r="GX69" s="1017"/>
      <c r="GY69" s="1017"/>
      <c r="GZ69" s="1017"/>
      <c r="HA69" s="1017"/>
      <c r="HB69" s="1017"/>
      <c r="HC69" s="1017"/>
      <c r="HD69" s="1017"/>
      <c r="HE69" s="1017"/>
      <c r="HF69" s="1017"/>
      <c r="HG69" s="1017"/>
      <c r="HH69" s="1017"/>
      <c r="HI69" s="1017"/>
      <c r="HJ69" s="1017"/>
      <c r="HK69" s="1017"/>
      <c r="HL69" s="1017"/>
      <c r="HM69" s="1017"/>
      <c r="HN69" s="1017"/>
      <c r="HO69" s="1017"/>
      <c r="HP69" s="1017"/>
      <c r="HQ69" s="1017"/>
      <c r="HR69" s="1017"/>
      <c r="HS69" s="1017"/>
      <c r="HT69" s="1017"/>
      <c r="HU69" s="1017"/>
      <c r="HV69" s="1017"/>
      <c r="HW69" s="1017"/>
      <c r="HX69" s="1017"/>
      <c r="HY69" s="1017"/>
      <c r="HZ69" s="1017"/>
      <c r="IA69" s="1017"/>
      <c r="IB69" s="1017"/>
      <c r="IC69" s="1017"/>
      <c r="ID69" s="1017"/>
      <c r="IE69" s="1017"/>
      <c r="IF69" s="1017"/>
      <c r="IG69" s="1017"/>
      <c r="IH69" s="1017"/>
      <c r="II69" s="1017"/>
      <c r="IJ69" s="1017"/>
      <c r="IK69" s="1017"/>
      <c r="IL69" s="1017"/>
      <c r="IM69" s="1017"/>
    </row>
    <row r="70" spans="1:247" s="957" customFormat="1">
      <c r="A70" s="790" t="s">
        <v>41</v>
      </c>
      <c r="B70" s="1060" t="s">
        <v>959</v>
      </c>
      <c r="C70" s="1095">
        <v>7400.143</v>
      </c>
      <c r="D70" s="1096">
        <v>7597.9260000000004</v>
      </c>
      <c r="E70" s="1096">
        <v>8105.2280000000001</v>
      </c>
      <c r="F70" s="1096">
        <v>8765.3860000000004</v>
      </c>
      <c r="G70" s="1097">
        <v>9061.4719999999998</v>
      </c>
      <c r="H70" s="1098">
        <f>SUM(H71:H80)</f>
        <v>7633.9627303325824</v>
      </c>
      <c r="I70" s="1098">
        <f t="shared" ref="I70:K70" si="57">SUM(I71:I80)</f>
        <v>8065.4844062409793</v>
      </c>
      <c r="J70" s="1098">
        <f t="shared" si="57"/>
        <v>8513.195518375047</v>
      </c>
      <c r="K70" s="1099">
        <f t="shared" si="57"/>
        <v>9026.6675715060883</v>
      </c>
      <c r="L70" s="1028"/>
      <c r="M70" s="1066">
        <f>SUM(M71:M80)</f>
        <v>-14</v>
      </c>
      <c r="N70" s="1034">
        <f>H70+M70</f>
        <v>7619.9627303325824</v>
      </c>
      <c r="O70" s="1066">
        <f t="shared" ref="O70:T70" si="58">SUM(O71:O80)</f>
        <v>7980.9501067193714</v>
      </c>
      <c r="P70" s="1062">
        <f t="shared" si="58"/>
        <v>8377.4845084276021</v>
      </c>
      <c r="Q70" s="1062">
        <f t="shared" si="58"/>
        <v>8828.1226690759286</v>
      </c>
      <c r="R70" s="1066">
        <f t="shared" si="58"/>
        <v>84.534299521607352</v>
      </c>
      <c r="S70" s="1062">
        <f t="shared" si="58"/>
        <v>135.71100994744546</v>
      </c>
      <c r="T70" s="1062">
        <f t="shared" si="58"/>
        <v>198.54490243016087</v>
      </c>
      <c r="U70" s="1034">
        <f t="shared" si="56"/>
        <v>360.98737638678904</v>
      </c>
      <c r="V70" s="1100"/>
      <c r="W70" s="1066">
        <f>SUM(W71:W80)</f>
        <v>7980.9501067193714</v>
      </c>
      <c r="X70" s="1062">
        <f>SUM(X71:X80)</f>
        <v>8144.1386529473002</v>
      </c>
      <c r="Y70" s="1066">
        <f>SUM(Y71:Y80)</f>
        <v>163.18854622792833</v>
      </c>
      <c r="Z70" s="1067">
        <f t="shared" si="42"/>
        <v>0.18234307788349993</v>
      </c>
      <c r="AA70" s="1101"/>
      <c r="AB70" s="952"/>
      <c r="AC70" s="1042"/>
      <c r="AD70" s="1042"/>
      <c r="AE70" s="1042"/>
      <c r="AF70" s="1042"/>
      <c r="AG70" s="1042"/>
      <c r="AH70" s="1042"/>
      <c r="AI70" s="1042"/>
      <c r="AJ70" s="1042"/>
      <c r="AK70" s="1042"/>
      <c r="AL70" s="1042"/>
      <c r="AM70" s="1042"/>
      <c r="AN70" s="1042"/>
      <c r="AO70" s="1042"/>
      <c r="AP70" s="1042"/>
      <c r="AQ70" s="1042"/>
      <c r="AR70" s="1042"/>
      <c r="AS70" s="1042"/>
      <c r="AT70" s="1042"/>
      <c r="AU70" s="1042"/>
      <c r="AV70" s="1042"/>
      <c r="AW70" s="1042"/>
      <c r="AX70" s="1042"/>
      <c r="AY70" s="1042"/>
      <c r="AZ70" s="1042"/>
      <c r="BA70" s="1042"/>
      <c r="BB70" s="1042"/>
      <c r="BC70" s="1042"/>
      <c r="BD70" s="1042"/>
      <c r="BE70" s="1042"/>
      <c r="BF70" s="1042"/>
      <c r="BG70" s="1042"/>
      <c r="BH70" s="1042"/>
      <c r="BI70" s="1042"/>
      <c r="BJ70" s="1042"/>
      <c r="BK70" s="1042"/>
      <c r="BL70" s="1042"/>
      <c r="BM70" s="1042"/>
      <c r="BN70" s="1042"/>
      <c r="BO70" s="1042"/>
      <c r="BP70" s="1042"/>
      <c r="BQ70" s="1042"/>
      <c r="BR70" s="1042"/>
      <c r="BS70" s="1042"/>
      <c r="BT70" s="1042"/>
      <c r="BU70" s="1042"/>
      <c r="BV70" s="1042"/>
      <c r="BW70" s="1042"/>
      <c r="BX70" s="1042"/>
      <c r="BY70" s="1042"/>
      <c r="BZ70" s="1042"/>
      <c r="CA70" s="1042"/>
      <c r="CB70" s="1042"/>
      <c r="CC70" s="1042"/>
      <c r="CD70" s="1042"/>
      <c r="CE70" s="1042"/>
      <c r="CF70" s="1042"/>
      <c r="CG70" s="1042"/>
      <c r="CH70" s="1042"/>
      <c r="CI70" s="1042"/>
      <c r="CJ70" s="1042"/>
      <c r="CK70" s="1042"/>
      <c r="CL70" s="1042"/>
      <c r="CM70" s="1042"/>
      <c r="CN70" s="1042"/>
      <c r="CO70" s="1042"/>
      <c r="CP70" s="1042"/>
      <c r="CQ70" s="1042"/>
      <c r="CR70" s="1042"/>
      <c r="CS70" s="1042"/>
      <c r="CT70" s="1042"/>
      <c r="CU70" s="1042"/>
      <c r="CV70" s="1042"/>
      <c r="CW70" s="1042"/>
      <c r="CX70" s="1042"/>
      <c r="CY70" s="1042"/>
      <c r="CZ70" s="1042"/>
      <c r="DA70" s="1042"/>
      <c r="DB70" s="1042"/>
      <c r="DC70" s="1042"/>
      <c r="DD70" s="1042"/>
      <c r="DE70" s="1042"/>
      <c r="DF70" s="1042"/>
      <c r="DG70" s="1042"/>
      <c r="DH70" s="1042"/>
      <c r="DI70" s="1042"/>
      <c r="DJ70" s="1042"/>
      <c r="DK70" s="1042"/>
      <c r="DL70" s="1042"/>
      <c r="DM70" s="1042"/>
      <c r="DN70" s="1042"/>
      <c r="DO70" s="1042"/>
      <c r="DP70" s="1042"/>
      <c r="DQ70" s="1042"/>
      <c r="DR70" s="1042"/>
      <c r="DS70" s="1042"/>
      <c r="DT70" s="1042"/>
      <c r="DU70" s="1042"/>
      <c r="DV70" s="1042"/>
      <c r="DW70" s="1042"/>
      <c r="DX70" s="1042"/>
      <c r="DY70" s="1042"/>
      <c r="DZ70" s="1042"/>
      <c r="EA70" s="1042"/>
      <c r="EB70" s="1042"/>
      <c r="EC70" s="1042"/>
      <c r="ED70" s="1042"/>
      <c r="EE70" s="1042"/>
      <c r="EF70" s="1042"/>
      <c r="EG70" s="1042"/>
      <c r="EH70" s="1042"/>
      <c r="EI70" s="1042"/>
      <c r="EJ70" s="1042"/>
      <c r="EK70" s="1042"/>
      <c r="EL70" s="1042"/>
      <c r="EM70" s="1042"/>
      <c r="EN70" s="1042"/>
      <c r="EO70" s="1042"/>
      <c r="EP70" s="1042"/>
      <c r="EQ70" s="1042"/>
      <c r="ER70" s="1042"/>
      <c r="ES70" s="1042"/>
      <c r="ET70" s="1042"/>
      <c r="EU70" s="1042"/>
      <c r="EV70" s="1042"/>
      <c r="EW70" s="1042"/>
      <c r="EX70" s="1042"/>
      <c r="EY70" s="1042"/>
      <c r="EZ70" s="1042"/>
      <c r="FA70" s="1042"/>
      <c r="FB70" s="1042"/>
      <c r="FC70" s="1042"/>
      <c r="FD70" s="1042"/>
      <c r="FE70" s="1042"/>
      <c r="FF70" s="1042"/>
      <c r="FG70" s="1042"/>
      <c r="FH70" s="1042"/>
      <c r="FI70" s="1042"/>
      <c r="FJ70" s="1042"/>
      <c r="FK70" s="1042"/>
      <c r="FL70" s="1042"/>
      <c r="FM70" s="1042"/>
      <c r="FN70" s="1042"/>
      <c r="FO70" s="1042"/>
      <c r="FP70" s="1042"/>
      <c r="FQ70" s="1042"/>
      <c r="FR70" s="1042"/>
      <c r="FS70" s="1042"/>
      <c r="FT70" s="1042"/>
      <c r="FU70" s="1042"/>
      <c r="FV70" s="1042"/>
      <c r="FW70" s="1042"/>
      <c r="FX70" s="1042"/>
      <c r="FY70" s="1042"/>
      <c r="FZ70" s="1042"/>
      <c r="GA70" s="1042"/>
      <c r="GB70" s="1042"/>
      <c r="GC70" s="1042"/>
      <c r="GD70" s="1042"/>
      <c r="GE70" s="1042"/>
      <c r="GF70" s="1042"/>
      <c r="GG70" s="1042"/>
      <c r="GH70" s="1042"/>
      <c r="GI70" s="1042"/>
      <c r="GJ70" s="1042"/>
      <c r="GK70" s="1042"/>
      <c r="GL70" s="1042"/>
      <c r="GM70" s="1042"/>
      <c r="GN70" s="1042"/>
      <c r="GO70" s="1042"/>
      <c r="GP70" s="1042"/>
      <c r="GQ70" s="1042"/>
      <c r="GR70" s="1042"/>
      <c r="GS70" s="1042"/>
      <c r="GT70" s="1042"/>
      <c r="GU70" s="1042"/>
      <c r="GV70" s="1042"/>
      <c r="GW70" s="1042"/>
      <c r="GX70" s="1042"/>
      <c r="GY70" s="1042"/>
      <c r="GZ70" s="1042"/>
      <c r="HA70" s="1042"/>
      <c r="HB70" s="1042"/>
      <c r="HC70" s="1042"/>
      <c r="HD70" s="1042"/>
      <c r="HE70" s="1042"/>
      <c r="HF70" s="1042"/>
      <c r="HG70" s="1042"/>
      <c r="HH70" s="1042"/>
      <c r="HI70" s="1042"/>
      <c r="HJ70" s="1042"/>
      <c r="HK70" s="1042"/>
      <c r="HL70" s="1042"/>
      <c r="HM70" s="1042"/>
      <c r="HN70" s="1042"/>
      <c r="HO70" s="1042"/>
      <c r="HP70" s="1042"/>
      <c r="HQ70" s="1042"/>
      <c r="HR70" s="1042"/>
      <c r="HS70" s="1042"/>
      <c r="HT70" s="1042"/>
      <c r="HU70" s="1042"/>
      <c r="HV70" s="1042"/>
      <c r="HW70" s="1042"/>
      <c r="HX70" s="1042"/>
      <c r="HY70" s="1042"/>
      <c r="HZ70" s="1042"/>
      <c r="IA70" s="1042"/>
      <c r="IB70" s="1042"/>
      <c r="IC70" s="1042"/>
      <c r="ID70" s="1042"/>
      <c r="IE70" s="1042"/>
      <c r="IF70" s="1042"/>
      <c r="IG70" s="1042"/>
      <c r="IH70" s="1042"/>
      <c r="II70" s="1042"/>
      <c r="IJ70" s="1042"/>
      <c r="IK70" s="1042"/>
      <c r="IL70" s="1042"/>
      <c r="IM70" s="1042"/>
    </row>
    <row r="71" spans="1:247">
      <c r="A71" s="1052" t="s">
        <v>953</v>
      </c>
      <c r="B71" s="1060"/>
      <c r="C71" s="1050">
        <v>91.380801781642703</v>
      </c>
      <c r="D71" s="1045">
        <v>100.881</v>
      </c>
      <c r="E71" s="1046">
        <v>114.90937</v>
      </c>
      <c r="F71" s="1046">
        <f>299.07574</f>
        <v>299.07574</v>
      </c>
      <c r="G71" s="1047">
        <v>230.84885800000001</v>
      </c>
      <c r="H71" s="1048">
        <v>72.335784551420915</v>
      </c>
      <c r="I71" s="1048">
        <v>75.695922015801315</v>
      </c>
      <c r="J71" s="1048">
        <v>79.35121275580218</v>
      </c>
      <c r="K71" s="1049">
        <v>83.545130960641927</v>
      </c>
      <c r="L71" s="1028"/>
      <c r="M71" s="1045"/>
      <c r="N71" s="1050">
        <f t="shared" ref="N71:N134" si="59">H71+M71</f>
        <v>72.335784551420915</v>
      </c>
      <c r="O71" s="1045">
        <f>I71</f>
        <v>75.695922015801315</v>
      </c>
      <c r="P71" s="1046">
        <f t="shared" ref="P71:Q72" si="60">J71</f>
        <v>79.35121275580218</v>
      </c>
      <c r="Q71" s="1046">
        <f t="shared" si="60"/>
        <v>83.545130960641927</v>
      </c>
      <c r="R71" s="1045">
        <f>I71-O71</f>
        <v>0</v>
      </c>
      <c r="S71" s="1046">
        <f t="shared" ref="S71:T80" si="61">J71-P71</f>
        <v>0</v>
      </c>
      <c r="T71" s="1046">
        <f t="shared" si="61"/>
        <v>0</v>
      </c>
      <c r="U71" s="1050">
        <f t="shared" si="56"/>
        <v>3.3601374643804007</v>
      </c>
      <c r="V71" s="948"/>
      <c r="W71" s="1045">
        <f t="shared" ref="W71:W80" si="62">O71</f>
        <v>75.695922015801315</v>
      </c>
      <c r="X71" s="1046">
        <v>114.90937</v>
      </c>
      <c r="Y71" s="1045">
        <f t="shared" si="7"/>
        <v>39.21344798419868</v>
      </c>
      <c r="Z71" s="1051">
        <f t="shared" si="42"/>
        <v>4.3816192772968034E-2</v>
      </c>
      <c r="AA71" s="1017"/>
      <c r="AB71" s="952"/>
      <c r="AC71" s="1017"/>
      <c r="AD71" s="1017"/>
      <c r="AE71" s="1017"/>
      <c r="AF71" s="1017"/>
      <c r="AG71" s="1017"/>
      <c r="AH71" s="1017"/>
      <c r="AI71" s="1017"/>
      <c r="AJ71" s="1017"/>
      <c r="AK71" s="1017"/>
      <c r="AL71" s="1017"/>
      <c r="AM71" s="1017"/>
      <c r="AN71" s="1017"/>
      <c r="AO71" s="1017"/>
      <c r="AP71" s="1017"/>
      <c r="AQ71" s="1017"/>
      <c r="AR71" s="1017"/>
      <c r="AS71" s="1017"/>
      <c r="AT71" s="1017"/>
      <c r="AU71" s="1017"/>
      <c r="AV71" s="1017"/>
      <c r="AW71" s="1017"/>
      <c r="AX71" s="1017"/>
      <c r="AY71" s="1017"/>
      <c r="AZ71" s="1017"/>
      <c r="BA71" s="1017"/>
      <c r="BB71" s="1017"/>
      <c r="BC71" s="1017"/>
      <c r="BD71" s="1017"/>
      <c r="BE71" s="1017"/>
      <c r="BF71" s="1017"/>
      <c r="BG71" s="1017"/>
      <c r="BH71" s="1017"/>
      <c r="BI71" s="1017"/>
      <c r="BJ71" s="1017"/>
      <c r="BK71" s="1017"/>
      <c r="BL71" s="1017"/>
      <c r="BM71" s="1017"/>
      <c r="BN71" s="1017"/>
      <c r="BO71" s="1017"/>
      <c r="BP71" s="1017"/>
      <c r="BQ71" s="1017"/>
      <c r="BR71" s="1017"/>
      <c r="BS71" s="1017"/>
      <c r="BT71" s="1017"/>
      <c r="BU71" s="1017"/>
      <c r="BV71" s="1017"/>
      <c r="BW71" s="1017"/>
      <c r="BX71" s="1017"/>
      <c r="BY71" s="1017"/>
      <c r="BZ71" s="1017"/>
      <c r="CA71" s="1017"/>
      <c r="CB71" s="1017"/>
      <c r="CC71" s="1017"/>
      <c r="CD71" s="1017"/>
      <c r="CE71" s="1017"/>
      <c r="CF71" s="1017"/>
      <c r="CG71" s="1017"/>
      <c r="CH71" s="1017"/>
      <c r="CI71" s="1017"/>
      <c r="CJ71" s="1017"/>
      <c r="CK71" s="1017"/>
      <c r="CL71" s="1017"/>
      <c r="CM71" s="1017"/>
      <c r="CN71" s="1017"/>
      <c r="CO71" s="1017"/>
      <c r="CP71" s="1017"/>
      <c r="CQ71" s="1017"/>
      <c r="CR71" s="1017"/>
      <c r="CS71" s="1017"/>
      <c r="CT71" s="1017"/>
      <c r="CU71" s="1017"/>
      <c r="CV71" s="1017"/>
      <c r="CW71" s="1017"/>
      <c r="CX71" s="1017"/>
      <c r="CY71" s="1017"/>
      <c r="CZ71" s="1017"/>
      <c r="DA71" s="1017"/>
      <c r="DB71" s="1017"/>
      <c r="DC71" s="1017"/>
      <c r="DD71" s="1017"/>
      <c r="DE71" s="1017"/>
      <c r="DF71" s="1017"/>
      <c r="DG71" s="1017"/>
      <c r="DH71" s="1017"/>
      <c r="DI71" s="1017"/>
      <c r="DJ71" s="1017"/>
      <c r="DK71" s="1017"/>
      <c r="DL71" s="1017"/>
      <c r="DM71" s="1017"/>
      <c r="DN71" s="1017"/>
      <c r="DO71" s="1017"/>
      <c r="DP71" s="1017"/>
      <c r="DQ71" s="1017"/>
      <c r="DR71" s="1017"/>
      <c r="DS71" s="1017"/>
      <c r="DT71" s="1017"/>
      <c r="DU71" s="1017"/>
      <c r="DV71" s="1017"/>
      <c r="DW71" s="1017"/>
      <c r="DX71" s="1017"/>
      <c r="DY71" s="1017"/>
      <c r="DZ71" s="1017"/>
      <c r="EA71" s="1017"/>
      <c r="EB71" s="1017"/>
      <c r="EC71" s="1017"/>
      <c r="ED71" s="1017"/>
      <c r="EE71" s="1017"/>
      <c r="EF71" s="1017"/>
      <c r="EG71" s="1017"/>
      <c r="EH71" s="1017"/>
      <c r="EI71" s="1017"/>
      <c r="EJ71" s="1017"/>
      <c r="EK71" s="1017"/>
      <c r="EL71" s="1017"/>
      <c r="EM71" s="1017"/>
      <c r="EN71" s="1017"/>
      <c r="EO71" s="1017"/>
      <c r="EP71" s="1017"/>
      <c r="EQ71" s="1017"/>
      <c r="ER71" s="1017"/>
      <c r="ES71" s="1017"/>
      <c r="ET71" s="1017"/>
      <c r="EU71" s="1017"/>
      <c r="EV71" s="1017"/>
      <c r="EW71" s="1017"/>
      <c r="EX71" s="1017"/>
      <c r="EY71" s="1017"/>
      <c r="EZ71" s="1017"/>
      <c r="FA71" s="1017"/>
      <c r="FB71" s="1017"/>
      <c r="FC71" s="1017"/>
      <c r="FD71" s="1017"/>
      <c r="FE71" s="1017"/>
      <c r="FF71" s="1017"/>
      <c r="FG71" s="1017"/>
      <c r="FH71" s="1017"/>
      <c r="FI71" s="1017"/>
      <c r="FJ71" s="1017"/>
      <c r="FK71" s="1017"/>
      <c r="FL71" s="1017"/>
      <c r="FM71" s="1017"/>
      <c r="FN71" s="1017"/>
      <c r="FO71" s="1017"/>
      <c r="FP71" s="1017"/>
      <c r="FQ71" s="1017"/>
      <c r="FR71" s="1017"/>
      <c r="FS71" s="1017"/>
      <c r="FT71" s="1017"/>
      <c r="FU71" s="1017"/>
      <c r="FV71" s="1017"/>
      <c r="FW71" s="1017"/>
      <c r="FX71" s="1017"/>
      <c r="FY71" s="1017"/>
      <c r="FZ71" s="1017"/>
      <c r="GA71" s="1017"/>
      <c r="GB71" s="1017"/>
      <c r="GC71" s="1017"/>
      <c r="GD71" s="1017"/>
      <c r="GE71" s="1017"/>
      <c r="GF71" s="1017"/>
      <c r="GG71" s="1017"/>
      <c r="GH71" s="1017"/>
      <c r="GI71" s="1017"/>
      <c r="GJ71" s="1017"/>
      <c r="GK71" s="1017"/>
      <c r="GL71" s="1017"/>
      <c r="GM71" s="1017"/>
      <c r="GN71" s="1017"/>
      <c r="GO71" s="1017"/>
      <c r="GP71" s="1017"/>
      <c r="GQ71" s="1017"/>
      <c r="GR71" s="1017"/>
      <c r="GS71" s="1017"/>
      <c r="GT71" s="1017"/>
      <c r="GU71" s="1017"/>
      <c r="GV71" s="1017"/>
      <c r="GW71" s="1017"/>
      <c r="GX71" s="1017"/>
      <c r="GY71" s="1017"/>
      <c r="GZ71" s="1017"/>
      <c r="HA71" s="1017"/>
      <c r="HB71" s="1017"/>
      <c r="HC71" s="1017"/>
      <c r="HD71" s="1017"/>
      <c r="HE71" s="1017"/>
      <c r="HF71" s="1017"/>
      <c r="HG71" s="1017"/>
      <c r="HH71" s="1017"/>
      <c r="HI71" s="1017"/>
      <c r="HJ71" s="1017"/>
      <c r="HK71" s="1017"/>
      <c r="HL71" s="1017"/>
      <c r="HM71" s="1017"/>
      <c r="HN71" s="1017"/>
      <c r="HO71" s="1017"/>
      <c r="HP71" s="1017"/>
      <c r="HQ71" s="1017"/>
      <c r="HR71" s="1017"/>
      <c r="HS71" s="1017"/>
      <c r="HT71" s="1017"/>
      <c r="HU71" s="1017"/>
      <c r="HV71" s="1017"/>
      <c r="HW71" s="1017"/>
      <c r="HX71" s="1017"/>
      <c r="HY71" s="1017"/>
      <c r="HZ71" s="1017"/>
      <c r="IA71" s="1017"/>
      <c r="IB71" s="1017"/>
      <c r="IC71" s="1017"/>
      <c r="ID71" s="1017"/>
      <c r="IE71" s="1017"/>
      <c r="IF71" s="1017"/>
      <c r="IG71" s="1017"/>
      <c r="IH71" s="1017"/>
      <c r="II71" s="1017"/>
      <c r="IJ71" s="1017"/>
      <c r="IK71" s="1017"/>
      <c r="IL71" s="1017"/>
      <c r="IM71" s="1017"/>
    </row>
    <row r="72" spans="1:247">
      <c r="A72" s="1052" t="s">
        <v>960</v>
      </c>
      <c r="B72" s="1060"/>
      <c r="C72" s="1050">
        <v>10.768297759999999</v>
      </c>
      <c r="D72" s="1045">
        <v>21.689</v>
      </c>
      <c r="E72" s="1046">
        <f>4.133135+2.9565</f>
        <v>7.0896350000000004</v>
      </c>
      <c r="F72" s="1046">
        <f>13.57497768+6.372</f>
        <v>19.94697768</v>
      </c>
      <c r="G72" s="1047">
        <f>7.253+10.06185</f>
        <v>17.31485</v>
      </c>
      <c r="H72" s="1048">
        <v>16.548915428558058</v>
      </c>
      <c r="I72" s="1048">
        <v>17.317644641508419</v>
      </c>
      <c r="J72" s="1048">
        <v>18.153898754160849</v>
      </c>
      <c r="K72" s="1049">
        <v>19.113379571526501</v>
      </c>
      <c r="L72" s="1028"/>
      <c r="M72" s="1045"/>
      <c r="N72" s="1050">
        <f t="shared" si="59"/>
        <v>16.548915428558058</v>
      </c>
      <c r="O72" s="1045">
        <f>I72</f>
        <v>17.317644641508419</v>
      </c>
      <c r="P72" s="1046">
        <f t="shared" si="60"/>
        <v>18.153898754160849</v>
      </c>
      <c r="Q72" s="1046">
        <f t="shared" si="60"/>
        <v>19.113379571526501</v>
      </c>
      <c r="R72" s="1045">
        <f t="shared" ref="R72:R80" si="63">I72-O72</f>
        <v>0</v>
      </c>
      <c r="S72" s="1046">
        <f t="shared" si="61"/>
        <v>0</v>
      </c>
      <c r="T72" s="1046">
        <f t="shared" si="61"/>
        <v>0</v>
      </c>
      <c r="U72" s="1050">
        <f t="shared" si="56"/>
        <v>0.76872921295036178</v>
      </c>
      <c r="V72" s="948"/>
      <c r="W72" s="1045">
        <f t="shared" si="62"/>
        <v>17.317644641508419</v>
      </c>
      <c r="X72" s="1046">
        <v>7.0896350000000004</v>
      </c>
      <c r="Y72" s="1045">
        <f t="shared" si="7"/>
        <v>-10.228009641508418</v>
      </c>
      <c r="Z72" s="1051">
        <f t="shared" si="42"/>
        <v>-1.1428539574400459E-2</v>
      </c>
      <c r="AA72" s="1017"/>
      <c r="AB72" s="952"/>
      <c r="AC72" s="1017"/>
      <c r="AD72" s="1017"/>
      <c r="AE72" s="1017"/>
      <c r="AF72" s="1017"/>
      <c r="AG72" s="1017"/>
      <c r="AH72" s="1017"/>
      <c r="AI72" s="1017"/>
      <c r="AJ72" s="1017"/>
      <c r="AK72" s="1017"/>
      <c r="AL72" s="1017"/>
      <c r="AM72" s="1017"/>
      <c r="AN72" s="1017"/>
      <c r="AO72" s="1017"/>
      <c r="AP72" s="1017"/>
      <c r="AQ72" s="1017"/>
      <c r="AR72" s="1017"/>
      <c r="AS72" s="1017"/>
      <c r="AT72" s="1017"/>
      <c r="AU72" s="1017"/>
      <c r="AV72" s="1017"/>
      <c r="AW72" s="1017"/>
      <c r="AX72" s="1017"/>
      <c r="AY72" s="1017"/>
      <c r="AZ72" s="1017"/>
      <c r="BA72" s="1017"/>
      <c r="BB72" s="1017"/>
      <c r="BC72" s="1017"/>
      <c r="BD72" s="1017"/>
      <c r="BE72" s="1017"/>
      <c r="BF72" s="1017"/>
      <c r="BG72" s="1017"/>
      <c r="BH72" s="1017"/>
      <c r="BI72" s="1017"/>
      <c r="BJ72" s="1017"/>
      <c r="BK72" s="1017"/>
      <c r="BL72" s="1017"/>
      <c r="BM72" s="1017"/>
      <c r="BN72" s="1017"/>
      <c r="BO72" s="1017"/>
      <c r="BP72" s="1017"/>
      <c r="BQ72" s="1017"/>
      <c r="BR72" s="1017"/>
      <c r="BS72" s="1017"/>
      <c r="BT72" s="1017"/>
      <c r="BU72" s="1017"/>
      <c r="BV72" s="1017"/>
      <c r="BW72" s="1017"/>
      <c r="BX72" s="1017"/>
      <c r="BY72" s="1017"/>
      <c r="BZ72" s="1017"/>
      <c r="CA72" s="1017"/>
      <c r="CB72" s="1017"/>
      <c r="CC72" s="1017"/>
      <c r="CD72" s="1017"/>
      <c r="CE72" s="1017"/>
      <c r="CF72" s="1017"/>
      <c r="CG72" s="1017"/>
      <c r="CH72" s="1017"/>
      <c r="CI72" s="1017"/>
      <c r="CJ72" s="1017"/>
      <c r="CK72" s="1017"/>
      <c r="CL72" s="1017"/>
      <c r="CM72" s="1017"/>
      <c r="CN72" s="1017"/>
      <c r="CO72" s="1017"/>
      <c r="CP72" s="1017"/>
      <c r="CQ72" s="1017"/>
      <c r="CR72" s="1017"/>
      <c r="CS72" s="1017"/>
      <c r="CT72" s="1017"/>
      <c r="CU72" s="1017"/>
      <c r="CV72" s="1017"/>
      <c r="CW72" s="1017"/>
      <c r="CX72" s="1017"/>
      <c r="CY72" s="1017"/>
      <c r="CZ72" s="1017"/>
      <c r="DA72" s="1017"/>
      <c r="DB72" s="1017"/>
      <c r="DC72" s="1017"/>
      <c r="DD72" s="1017"/>
      <c r="DE72" s="1017"/>
      <c r="DF72" s="1017"/>
      <c r="DG72" s="1017"/>
      <c r="DH72" s="1017"/>
      <c r="DI72" s="1017"/>
      <c r="DJ72" s="1017"/>
      <c r="DK72" s="1017"/>
      <c r="DL72" s="1017"/>
      <c r="DM72" s="1017"/>
      <c r="DN72" s="1017"/>
      <c r="DO72" s="1017"/>
      <c r="DP72" s="1017"/>
      <c r="DQ72" s="1017"/>
      <c r="DR72" s="1017"/>
      <c r="DS72" s="1017"/>
      <c r="DT72" s="1017"/>
      <c r="DU72" s="1017"/>
      <c r="DV72" s="1017"/>
      <c r="DW72" s="1017"/>
      <c r="DX72" s="1017"/>
      <c r="DY72" s="1017"/>
      <c r="DZ72" s="1017"/>
      <c r="EA72" s="1017"/>
      <c r="EB72" s="1017"/>
      <c r="EC72" s="1017"/>
      <c r="ED72" s="1017"/>
      <c r="EE72" s="1017"/>
      <c r="EF72" s="1017"/>
      <c r="EG72" s="1017"/>
      <c r="EH72" s="1017"/>
      <c r="EI72" s="1017"/>
      <c r="EJ72" s="1017"/>
      <c r="EK72" s="1017"/>
      <c r="EL72" s="1017"/>
      <c r="EM72" s="1017"/>
      <c r="EN72" s="1017"/>
      <c r="EO72" s="1017"/>
      <c r="EP72" s="1017"/>
      <c r="EQ72" s="1017"/>
      <c r="ER72" s="1017"/>
      <c r="ES72" s="1017"/>
      <c r="ET72" s="1017"/>
      <c r="EU72" s="1017"/>
      <c r="EV72" s="1017"/>
      <c r="EW72" s="1017"/>
      <c r="EX72" s="1017"/>
      <c r="EY72" s="1017"/>
      <c r="EZ72" s="1017"/>
      <c r="FA72" s="1017"/>
      <c r="FB72" s="1017"/>
      <c r="FC72" s="1017"/>
      <c r="FD72" s="1017"/>
      <c r="FE72" s="1017"/>
      <c r="FF72" s="1017"/>
      <c r="FG72" s="1017"/>
      <c r="FH72" s="1017"/>
      <c r="FI72" s="1017"/>
      <c r="FJ72" s="1017"/>
      <c r="FK72" s="1017"/>
      <c r="FL72" s="1017"/>
      <c r="FM72" s="1017"/>
      <c r="FN72" s="1017"/>
      <c r="FO72" s="1017"/>
      <c r="FP72" s="1017"/>
      <c r="FQ72" s="1017"/>
      <c r="FR72" s="1017"/>
      <c r="FS72" s="1017"/>
      <c r="FT72" s="1017"/>
      <c r="FU72" s="1017"/>
      <c r="FV72" s="1017"/>
      <c r="FW72" s="1017"/>
      <c r="FX72" s="1017"/>
      <c r="FY72" s="1017"/>
      <c r="FZ72" s="1017"/>
      <c r="GA72" s="1017"/>
      <c r="GB72" s="1017"/>
      <c r="GC72" s="1017"/>
      <c r="GD72" s="1017"/>
      <c r="GE72" s="1017"/>
      <c r="GF72" s="1017"/>
      <c r="GG72" s="1017"/>
      <c r="GH72" s="1017"/>
      <c r="GI72" s="1017"/>
      <c r="GJ72" s="1017"/>
      <c r="GK72" s="1017"/>
      <c r="GL72" s="1017"/>
      <c r="GM72" s="1017"/>
      <c r="GN72" s="1017"/>
      <c r="GO72" s="1017"/>
      <c r="GP72" s="1017"/>
      <c r="GQ72" s="1017"/>
      <c r="GR72" s="1017"/>
      <c r="GS72" s="1017"/>
      <c r="GT72" s="1017"/>
      <c r="GU72" s="1017"/>
      <c r="GV72" s="1017"/>
      <c r="GW72" s="1017"/>
      <c r="GX72" s="1017"/>
      <c r="GY72" s="1017"/>
      <c r="GZ72" s="1017"/>
      <c r="HA72" s="1017"/>
      <c r="HB72" s="1017"/>
      <c r="HC72" s="1017"/>
      <c r="HD72" s="1017"/>
      <c r="HE72" s="1017"/>
      <c r="HF72" s="1017"/>
      <c r="HG72" s="1017"/>
      <c r="HH72" s="1017"/>
      <c r="HI72" s="1017"/>
      <c r="HJ72" s="1017"/>
      <c r="HK72" s="1017"/>
      <c r="HL72" s="1017"/>
      <c r="HM72" s="1017"/>
      <c r="HN72" s="1017"/>
      <c r="HO72" s="1017"/>
      <c r="HP72" s="1017"/>
      <c r="HQ72" s="1017"/>
      <c r="HR72" s="1017"/>
      <c r="HS72" s="1017"/>
      <c r="HT72" s="1017"/>
      <c r="HU72" s="1017"/>
      <c r="HV72" s="1017"/>
      <c r="HW72" s="1017"/>
      <c r="HX72" s="1017"/>
      <c r="HY72" s="1017"/>
      <c r="HZ72" s="1017"/>
      <c r="IA72" s="1017"/>
      <c r="IB72" s="1017"/>
      <c r="IC72" s="1017"/>
      <c r="ID72" s="1017"/>
      <c r="IE72" s="1017"/>
      <c r="IF72" s="1017"/>
      <c r="IG72" s="1017"/>
      <c r="IH72" s="1017"/>
      <c r="II72" s="1017"/>
      <c r="IJ72" s="1017"/>
      <c r="IK72" s="1017"/>
      <c r="IL72" s="1017"/>
      <c r="IM72" s="1017"/>
    </row>
    <row r="73" spans="1:247">
      <c r="A73" s="1052" t="s">
        <v>417</v>
      </c>
      <c r="B73" s="1053"/>
      <c r="C73" s="1050">
        <v>180.63499999999999</v>
      </c>
      <c r="D73" s="1045">
        <v>176.696</v>
      </c>
      <c r="E73" s="1046">
        <v>166.386</v>
      </c>
      <c r="F73" s="1046">
        <v>166.80699999999999</v>
      </c>
      <c r="G73" s="1047">
        <v>170.61099999999999</v>
      </c>
      <c r="H73" s="1048">
        <v>176.696</v>
      </c>
      <c r="I73" s="1048">
        <v>166.386</v>
      </c>
      <c r="J73" s="1048">
        <v>166.80699999999999</v>
      </c>
      <c r="K73" s="1049">
        <v>170.61099999999999</v>
      </c>
      <c r="L73" s="1028"/>
      <c r="M73" s="1045"/>
      <c r="N73" s="1050">
        <f t="shared" si="59"/>
        <v>176.696</v>
      </c>
      <c r="O73" s="1045">
        <f>O113</f>
        <v>180.21356856766809</v>
      </c>
      <c r="P73" s="1046">
        <f>P113</f>
        <v>183.37722935910614</v>
      </c>
      <c r="Q73" s="1046">
        <f>Q113</f>
        <v>187.17014183090706</v>
      </c>
      <c r="R73" s="1045">
        <f t="shared" si="63"/>
        <v>-13.827568567668095</v>
      </c>
      <c r="S73" s="1046">
        <f t="shared" si="61"/>
        <v>-16.57022935910615</v>
      </c>
      <c r="T73" s="1046">
        <f t="shared" si="61"/>
        <v>-16.559141830907066</v>
      </c>
      <c r="U73" s="1050">
        <f t="shared" si="56"/>
        <v>3.5175685676680928</v>
      </c>
      <c r="V73" s="948"/>
      <c r="W73" s="1045">
        <f>O73</f>
        <v>180.21356856766809</v>
      </c>
      <c r="X73" s="1046">
        <v>166.386</v>
      </c>
      <c r="Y73" s="1045">
        <f>X73-W73</f>
        <v>-13.827568567668095</v>
      </c>
      <c r="Z73" s="1051">
        <f t="shared" si="42"/>
        <v>-1.5450602818362687E-2</v>
      </c>
      <c r="AA73" s="1017"/>
      <c r="AB73" s="952"/>
      <c r="AC73" s="1017"/>
      <c r="AD73" s="1017"/>
      <c r="AE73" s="1017"/>
      <c r="AF73" s="1017"/>
      <c r="AG73" s="1017"/>
      <c r="AH73" s="1017"/>
      <c r="AI73" s="1017"/>
      <c r="AJ73" s="1017"/>
      <c r="AK73" s="1017"/>
      <c r="AL73" s="1017"/>
      <c r="AM73" s="1017"/>
      <c r="AN73" s="1017"/>
      <c r="AO73" s="1017"/>
      <c r="AP73" s="1017"/>
      <c r="AQ73" s="1017"/>
      <c r="AR73" s="1017"/>
      <c r="AS73" s="1017"/>
      <c r="AT73" s="1017"/>
      <c r="AU73" s="1017"/>
      <c r="AV73" s="1017"/>
      <c r="AW73" s="1017"/>
      <c r="AX73" s="1017"/>
      <c r="AY73" s="1017"/>
      <c r="AZ73" s="1017"/>
      <c r="BA73" s="1017"/>
      <c r="BB73" s="1017"/>
      <c r="BC73" s="1017"/>
      <c r="BD73" s="1017"/>
      <c r="BE73" s="1017"/>
      <c r="BF73" s="1017"/>
      <c r="BG73" s="1017"/>
      <c r="BH73" s="1017"/>
      <c r="BI73" s="1017"/>
      <c r="BJ73" s="1017"/>
      <c r="BK73" s="1017"/>
      <c r="BL73" s="1017"/>
      <c r="BM73" s="1017"/>
      <c r="BN73" s="1017"/>
      <c r="BO73" s="1017"/>
      <c r="BP73" s="1017"/>
      <c r="BQ73" s="1017"/>
      <c r="BR73" s="1017"/>
      <c r="BS73" s="1017"/>
      <c r="BT73" s="1017"/>
      <c r="BU73" s="1017"/>
      <c r="BV73" s="1017"/>
      <c r="BW73" s="1017"/>
      <c r="BX73" s="1017"/>
      <c r="BY73" s="1017"/>
      <c r="BZ73" s="1017"/>
      <c r="CA73" s="1017"/>
      <c r="CB73" s="1017"/>
      <c r="CC73" s="1017"/>
      <c r="CD73" s="1017"/>
      <c r="CE73" s="1017"/>
      <c r="CF73" s="1017"/>
      <c r="CG73" s="1017"/>
      <c r="CH73" s="1017"/>
      <c r="CI73" s="1017"/>
      <c r="CJ73" s="1017"/>
      <c r="CK73" s="1017"/>
      <c r="CL73" s="1017"/>
      <c r="CM73" s="1017"/>
      <c r="CN73" s="1017"/>
      <c r="CO73" s="1017"/>
      <c r="CP73" s="1017"/>
      <c r="CQ73" s="1017"/>
      <c r="CR73" s="1017"/>
      <c r="CS73" s="1017"/>
      <c r="CT73" s="1017"/>
      <c r="CU73" s="1017"/>
      <c r="CV73" s="1017"/>
      <c r="CW73" s="1017"/>
      <c r="CX73" s="1017"/>
      <c r="CY73" s="1017"/>
      <c r="CZ73" s="1017"/>
      <c r="DA73" s="1017"/>
      <c r="DB73" s="1017"/>
      <c r="DC73" s="1017"/>
      <c r="DD73" s="1017"/>
      <c r="DE73" s="1017"/>
      <c r="DF73" s="1017"/>
      <c r="DG73" s="1017"/>
      <c r="DH73" s="1017"/>
      <c r="DI73" s="1017"/>
      <c r="DJ73" s="1017"/>
      <c r="DK73" s="1017"/>
      <c r="DL73" s="1017"/>
      <c r="DM73" s="1017"/>
      <c r="DN73" s="1017"/>
      <c r="DO73" s="1017"/>
      <c r="DP73" s="1017"/>
      <c r="DQ73" s="1017"/>
      <c r="DR73" s="1017"/>
      <c r="DS73" s="1017"/>
      <c r="DT73" s="1017"/>
      <c r="DU73" s="1017"/>
      <c r="DV73" s="1017"/>
      <c r="DW73" s="1017"/>
      <c r="DX73" s="1017"/>
      <c r="DY73" s="1017"/>
      <c r="DZ73" s="1017"/>
      <c r="EA73" s="1017"/>
      <c r="EB73" s="1017"/>
      <c r="EC73" s="1017"/>
      <c r="ED73" s="1017"/>
      <c r="EE73" s="1017"/>
      <c r="EF73" s="1017"/>
      <c r="EG73" s="1017"/>
      <c r="EH73" s="1017"/>
      <c r="EI73" s="1017"/>
      <c r="EJ73" s="1017"/>
      <c r="EK73" s="1017"/>
      <c r="EL73" s="1017"/>
      <c r="EM73" s="1017"/>
      <c r="EN73" s="1017"/>
      <c r="EO73" s="1017"/>
      <c r="EP73" s="1017"/>
      <c r="EQ73" s="1017"/>
      <c r="ER73" s="1017"/>
      <c r="ES73" s="1017"/>
      <c r="ET73" s="1017"/>
      <c r="EU73" s="1017"/>
      <c r="EV73" s="1017"/>
      <c r="EW73" s="1017"/>
      <c r="EX73" s="1017"/>
      <c r="EY73" s="1017"/>
      <c r="EZ73" s="1017"/>
      <c r="FA73" s="1017"/>
      <c r="FB73" s="1017"/>
      <c r="FC73" s="1017"/>
      <c r="FD73" s="1017"/>
      <c r="FE73" s="1017"/>
      <c r="FF73" s="1017"/>
      <c r="FG73" s="1017"/>
      <c r="FH73" s="1017"/>
      <c r="FI73" s="1017"/>
      <c r="FJ73" s="1017"/>
      <c r="FK73" s="1017"/>
      <c r="FL73" s="1017"/>
      <c r="FM73" s="1017"/>
      <c r="FN73" s="1017"/>
      <c r="FO73" s="1017"/>
      <c r="FP73" s="1017"/>
      <c r="FQ73" s="1017"/>
      <c r="FR73" s="1017"/>
      <c r="FS73" s="1017"/>
      <c r="FT73" s="1017"/>
      <c r="FU73" s="1017"/>
      <c r="FV73" s="1017"/>
      <c r="FW73" s="1017"/>
      <c r="FX73" s="1017"/>
      <c r="FY73" s="1017"/>
      <c r="FZ73" s="1017"/>
      <c r="GA73" s="1017"/>
      <c r="GB73" s="1017"/>
      <c r="GC73" s="1017"/>
      <c r="GD73" s="1017"/>
      <c r="GE73" s="1017"/>
      <c r="GF73" s="1017"/>
      <c r="GG73" s="1017"/>
      <c r="GH73" s="1017"/>
      <c r="GI73" s="1017"/>
      <c r="GJ73" s="1017"/>
      <c r="GK73" s="1017"/>
      <c r="GL73" s="1017"/>
      <c r="GM73" s="1017"/>
      <c r="GN73" s="1017"/>
      <c r="GO73" s="1017"/>
      <c r="GP73" s="1017"/>
      <c r="GQ73" s="1017"/>
      <c r="GR73" s="1017"/>
      <c r="GS73" s="1017"/>
      <c r="GT73" s="1017"/>
      <c r="GU73" s="1017"/>
      <c r="GV73" s="1017"/>
      <c r="GW73" s="1017"/>
      <c r="GX73" s="1017"/>
      <c r="GY73" s="1017"/>
      <c r="GZ73" s="1017"/>
      <c r="HA73" s="1017"/>
      <c r="HB73" s="1017"/>
      <c r="HC73" s="1017"/>
      <c r="HD73" s="1017"/>
      <c r="HE73" s="1017"/>
      <c r="HF73" s="1017"/>
      <c r="HG73" s="1017"/>
      <c r="HH73" s="1017"/>
      <c r="HI73" s="1017"/>
      <c r="HJ73" s="1017"/>
      <c r="HK73" s="1017"/>
      <c r="HL73" s="1017"/>
      <c r="HM73" s="1017"/>
      <c r="HN73" s="1017"/>
      <c r="HO73" s="1017"/>
      <c r="HP73" s="1017"/>
      <c r="HQ73" s="1017"/>
      <c r="HR73" s="1017"/>
      <c r="HS73" s="1017"/>
      <c r="HT73" s="1017"/>
      <c r="HU73" s="1017"/>
      <c r="HV73" s="1017"/>
      <c r="HW73" s="1017"/>
      <c r="HX73" s="1017"/>
      <c r="HY73" s="1017"/>
      <c r="HZ73" s="1017"/>
      <c r="IA73" s="1017"/>
      <c r="IB73" s="1017"/>
      <c r="IC73" s="1017"/>
      <c r="ID73" s="1017"/>
      <c r="IE73" s="1017"/>
      <c r="IF73" s="1017"/>
      <c r="IG73" s="1017"/>
      <c r="IH73" s="1017"/>
      <c r="II73" s="1017"/>
      <c r="IJ73" s="1017"/>
      <c r="IK73" s="1017"/>
      <c r="IL73" s="1017"/>
      <c r="IM73" s="1017"/>
    </row>
    <row r="74" spans="1:247">
      <c r="A74" s="1052" t="s">
        <v>547</v>
      </c>
      <c r="B74" s="1053"/>
      <c r="C74" s="1050">
        <v>0</v>
      </c>
      <c r="D74" s="1045">
        <v>4.7569999999999997</v>
      </c>
      <c r="E74" s="1046">
        <v>128.13049699999999</v>
      </c>
      <c r="F74" s="1046">
        <v>174.87643499999999</v>
      </c>
      <c r="G74" s="1047">
        <v>234.15554800000001</v>
      </c>
      <c r="H74" s="1048">
        <v>0</v>
      </c>
      <c r="I74" s="1048">
        <v>0</v>
      </c>
      <c r="J74" s="1048">
        <v>0</v>
      </c>
      <c r="K74" s="1049">
        <v>0</v>
      </c>
      <c r="L74" s="1028"/>
      <c r="M74" s="1074"/>
      <c r="N74" s="1050">
        <f t="shared" si="59"/>
        <v>0</v>
      </c>
      <c r="O74" s="1045">
        <v>0</v>
      </c>
      <c r="P74" s="1046">
        <v>0</v>
      </c>
      <c r="Q74" s="1046">
        <v>0</v>
      </c>
      <c r="R74" s="1045">
        <f t="shared" si="63"/>
        <v>0</v>
      </c>
      <c r="S74" s="1046">
        <f t="shared" si="61"/>
        <v>0</v>
      </c>
      <c r="T74" s="1046">
        <f t="shared" si="61"/>
        <v>0</v>
      </c>
      <c r="U74" s="1050">
        <f t="shared" si="56"/>
        <v>0</v>
      </c>
      <c r="V74" s="948"/>
      <c r="W74" s="1045">
        <f>O74</f>
        <v>0</v>
      </c>
      <c r="X74" s="1046">
        <v>128.13049699999999</v>
      </c>
      <c r="Y74" s="1045">
        <f>X74-W74</f>
        <v>128.13049699999999</v>
      </c>
      <c r="Z74" s="1051">
        <f t="shared" si="42"/>
        <v>0.14317003082489654</v>
      </c>
      <c r="AA74" s="1017"/>
      <c r="AB74" s="952"/>
      <c r="AC74" s="1017"/>
      <c r="AD74" s="1017"/>
      <c r="AE74" s="1017"/>
      <c r="AF74" s="1017"/>
      <c r="AG74" s="1017"/>
      <c r="AH74" s="1017"/>
      <c r="AI74" s="1017"/>
      <c r="AJ74" s="1017"/>
      <c r="AK74" s="1017"/>
      <c r="AL74" s="1017"/>
      <c r="AM74" s="1017"/>
      <c r="AN74" s="1017"/>
      <c r="AO74" s="1017"/>
      <c r="AP74" s="1017"/>
      <c r="AQ74" s="1017"/>
      <c r="AR74" s="1017"/>
      <c r="AS74" s="1017"/>
      <c r="AT74" s="1017"/>
      <c r="AU74" s="1017"/>
      <c r="AV74" s="1017"/>
      <c r="AW74" s="1017"/>
      <c r="AX74" s="1017"/>
      <c r="AY74" s="1017"/>
      <c r="AZ74" s="1017"/>
      <c r="BA74" s="1017"/>
      <c r="BB74" s="1017"/>
      <c r="BC74" s="1017"/>
      <c r="BD74" s="1017"/>
      <c r="BE74" s="1017"/>
      <c r="BF74" s="1017"/>
      <c r="BG74" s="1017"/>
      <c r="BH74" s="1017"/>
      <c r="BI74" s="1017"/>
      <c r="BJ74" s="1017"/>
      <c r="BK74" s="1017"/>
      <c r="BL74" s="1017"/>
      <c r="BM74" s="1017"/>
      <c r="BN74" s="1017"/>
      <c r="BO74" s="1017"/>
      <c r="BP74" s="1017"/>
      <c r="BQ74" s="1017"/>
      <c r="BR74" s="1017"/>
      <c r="BS74" s="1017"/>
      <c r="BT74" s="1017"/>
      <c r="BU74" s="1017"/>
      <c r="BV74" s="1017"/>
      <c r="BW74" s="1017"/>
      <c r="BX74" s="1017"/>
      <c r="BY74" s="1017"/>
      <c r="BZ74" s="1017"/>
      <c r="CA74" s="1017"/>
      <c r="CB74" s="1017"/>
      <c r="CC74" s="1017"/>
      <c r="CD74" s="1017"/>
      <c r="CE74" s="1017"/>
      <c r="CF74" s="1017"/>
      <c r="CG74" s="1017"/>
      <c r="CH74" s="1017"/>
      <c r="CI74" s="1017"/>
      <c r="CJ74" s="1017"/>
      <c r="CK74" s="1017"/>
      <c r="CL74" s="1017"/>
      <c r="CM74" s="1017"/>
      <c r="CN74" s="1017"/>
      <c r="CO74" s="1017"/>
      <c r="CP74" s="1017"/>
      <c r="CQ74" s="1017"/>
      <c r="CR74" s="1017"/>
      <c r="CS74" s="1017"/>
      <c r="CT74" s="1017"/>
      <c r="CU74" s="1017"/>
      <c r="CV74" s="1017"/>
      <c r="CW74" s="1017"/>
      <c r="CX74" s="1017"/>
      <c r="CY74" s="1017"/>
      <c r="CZ74" s="1017"/>
      <c r="DA74" s="1017"/>
      <c r="DB74" s="1017"/>
      <c r="DC74" s="1017"/>
      <c r="DD74" s="1017"/>
      <c r="DE74" s="1017"/>
      <c r="DF74" s="1017"/>
      <c r="DG74" s="1017"/>
      <c r="DH74" s="1017"/>
      <c r="DI74" s="1017"/>
      <c r="DJ74" s="1017"/>
      <c r="DK74" s="1017"/>
      <c r="DL74" s="1017"/>
      <c r="DM74" s="1017"/>
      <c r="DN74" s="1017"/>
      <c r="DO74" s="1017"/>
      <c r="DP74" s="1017"/>
      <c r="DQ74" s="1017"/>
      <c r="DR74" s="1017"/>
      <c r="DS74" s="1017"/>
      <c r="DT74" s="1017"/>
      <c r="DU74" s="1017"/>
      <c r="DV74" s="1017"/>
      <c r="DW74" s="1017"/>
      <c r="DX74" s="1017"/>
      <c r="DY74" s="1017"/>
      <c r="DZ74" s="1017"/>
      <c r="EA74" s="1017"/>
      <c r="EB74" s="1017"/>
      <c r="EC74" s="1017"/>
      <c r="ED74" s="1017"/>
      <c r="EE74" s="1017"/>
      <c r="EF74" s="1017"/>
      <c r="EG74" s="1017"/>
      <c r="EH74" s="1017"/>
      <c r="EI74" s="1017"/>
      <c r="EJ74" s="1017"/>
      <c r="EK74" s="1017"/>
      <c r="EL74" s="1017"/>
      <c r="EM74" s="1017"/>
      <c r="EN74" s="1017"/>
      <c r="EO74" s="1017"/>
      <c r="EP74" s="1017"/>
      <c r="EQ74" s="1017"/>
      <c r="ER74" s="1017"/>
      <c r="ES74" s="1017"/>
      <c r="ET74" s="1017"/>
      <c r="EU74" s="1017"/>
      <c r="EV74" s="1017"/>
      <c r="EW74" s="1017"/>
      <c r="EX74" s="1017"/>
      <c r="EY74" s="1017"/>
      <c r="EZ74" s="1017"/>
      <c r="FA74" s="1017"/>
      <c r="FB74" s="1017"/>
      <c r="FC74" s="1017"/>
      <c r="FD74" s="1017"/>
      <c r="FE74" s="1017"/>
      <c r="FF74" s="1017"/>
      <c r="FG74" s="1017"/>
      <c r="FH74" s="1017"/>
      <c r="FI74" s="1017"/>
      <c r="FJ74" s="1017"/>
      <c r="FK74" s="1017"/>
      <c r="FL74" s="1017"/>
      <c r="FM74" s="1017"/>
      <c r="FN74" s="1017"/>
      <c r="FO74" s="1017"/>
      <c r="FP74" s="1017"/>
      <c r="FQ74" s="1017"/>
      <c r="FR74" s="1017"/>
      <c r="FS74" s="1017"/>
      <c r="FT74" s="1017"/>
      <c r="FU74" s="1017"/>
      <c r="FV74" s="1017"/>
      <c r="FW74" s="1017"/>
      <c r="FX74" s="1017"/>
      <c r="FY74" s="1017"/>
      <c r="FZ74" s="1017"/>
      <c r="GA74" s="1017"/>
      <c r="GB74" s="1017"/>
      <c r="GC74" s="1017"/>
      <c r="GD74" s="1017"/>
      <c r="GE74" s="1017"/>
      <c r="GF74" s="1017"/>
      <c r="GG74" s="1017"/>
      <c r="GH74" s="1017"/>
      <c r="GI74" s="1017"/>
      <c r="GJ74" s="1017"/>
      <c r="GK74" s="1017"/>
      <c r="GL74" s="1017"/>
      <c r="GM74" s="1017"/>
      <c r="GN74" s="1017"/>
      <c r="GO74" s="1017"/>
      <c r="GP74" s="1017"/>
      <c r="GQ74" s="1017"/>
      <c r="GR74" s="1017"/>
      <c r="GS74" s="1017"/>
      <c r="GT74" s="1017"/>
      <c r="GU74" s="1017"/>
      <c r="GV74" s="1017"/>
      <c r="GW74" s="1017"/>
      <c r="GX74" s="1017"/>
      <c r="GY74" s="1017"/>
      <c r="GZ74" s="1017"/>
      <c r="HA74" s="1017"/>
      <c r="HB74" s="1017"/>
      <c r="HC74" s="1017"/>
      <c r="HD74" s="1017"/>
      <c r="HE74" s="1017"/>
      <c r="HF74" s="1017"/>
      <c r="HG74" s="1017"/>
      <c r="HH74" s="1017"/>
      <c r="HI74" s="1017"/>
      <c r="HJ74" s="1017"/>
      <c r="HK74" s="1017"/>
      <c r="HL74" s="1017"/>
      <c r="HM74" s="1017"/>
      <c r="HN74" s="1017"/>
      <c r="HO74" s="1017"/>
      <c r="HP74" s="1017"/>
      <c r="HQ74" s="1017"/>
      <c r="HR74" s="1017"/>
      <c r="HS74" s="1017"/>
      <c r="HT74" s="1017"/>
      <c r="HU74" s="1017"/>
      <c r="HV74" s="1017"/>
      <c r="HW74" s="1017"/>
      <c r="HX74" s="1017"/>
      <c r="HY74" s="1017"/>
      <c r="HZ74" s="1017"/>
      <c r="IA74" s="1017"/>
      <c r="IB74" s="1017"/>
      <c r="IC74" s="1017"/>
      <c r="ID74" s="1017"/>
      <c r="IE74" s="1017"/>
      <c r="IF74" s="1017"/>
      <c r="IG74" s="1017"/>
      <c r="IH74" s="1017"/>
      <c r="II74" s="1017"/>
      <c r="IJ74" s="1017"/>
      <c r="IK74" s="1017"/>
      <c r="IL74" s="1017"/>
      <c r="IM74" s="1017"/>
    </row>
    <row r="75" spans="1:247">
      <c r="A75" s="1052" t="s">
        <v>961</v>
      </c>
      <c r="B75" s="1053"/>
      <c r="C75" s="1050">
        <v>0</v>
      </c>
      <c r="D75" s="1046">
        <v>0</v>
      </c>
      <c r="E75" s="1046">
        <v>83.786000000000001</v>
      </c>
      <c r="F75" s="1046">
        <v>236.41399999999999</v>
      </c>
      <c r="G75" s="1047">
        <v>332.58499999999998</v>
      </c>
      <c r="H75" s="1048">
        <v>0</v>
      </c>
      <c r="I75" s="1048">
        <v>0</v>
      </c>
      <c r="J75" s="1048">
        <v>0</v>
      </c>
      <c r="K75" s="1049">
        <v>0</v>
      </c>
      <c r="L75" s="1028"/>
      <c r="M75" s="1074"/>
      <c r="N75" s="1050">
        <f t="shared" si="59"/>
        <v>0</v>
      </c>
      <c r="O75" s="1045">
        <v>0</v>
      </c>
      <c r="P75" s="1046">
        <v>0</v>
      </c>
      <c r="Q75" s="1046">
        <v>0</v>
      </c>
      <c r="R75" s="1045">
        <f t="shared" si="63"/>
        <v>0</v>
      </c>
      <c r="S75" s="1046">
        <f t="shared" si="61"/>
        <v>0</v>
      </c>
      <c r="T75" s="1046">
        <f t="shared" si="61"/>
        <v>0</v>
      </c>
      <c r="U75" s="1050">
        <f t="shared" si="56"/>
        <v>0</v>
      </c>
      <c r="V75" s="948"/>
      <c r="W75" s="1045">
        <f>O75</f>
        <v>0</v>
      </c>
      <c r="X75" s="1046">
        <v>83.786000000000001</v>
      </c>
      <c r="Y75" s="1045">
        <f>X75-W75</f>
        <v>83.786000000000001</v>
      </c>
      <c r="Z75" s="1051">
        <f t="shared" si="42"/>
        <v>9.3620523478456355E-2</v>
      </c>
      <c r="AA75" s="1017"/>
      <c r="AB75" s="952"/>
      <c r="AC75" s="1017"/>
      <c r="AD75" s="1017"/>
      <c r="AE75" s="1017"/>
      <c r="AF75" s="1017"/>
      <c r="AG75" s="1017"/>
      <c r="AH75" s="1017"/>
      <c r="AI75" s="1017"/>
      <c r="AJ75" s="1017"/>
      <c r="AK75" s="1017"/>
      <c r="AL75" s="1017"/>
      <c r="AM75" s="1017"/>
      <c r="AN75" s="1017"/>
      <c r="AO75" s="1017"/>
      <c r="AP75" s="1017"/>
      <c r="AQ75" s="1017"/>
      <c r="AR75" s="1017"/>
      <c r="AS75" s="1017"/>
      <c r="AT75" s="1017"/>
      <c r="AU75" s="1017"/>
      <c r="AV75" s="1017"/>
      <c r="AW75" s="1017"/>
      <c r="AX75" s="1017"/>
      <c r="AY75" s="1017"/>
      <c r="AZ75" s="1017"/>
      <c r="BA75" s="1017"/>
      <c r="BB75" s="1017"/>
      <c r="BC75" s="1017"/>
      <c r="BD75" s="1017"/>
      <c r="BE75" s="1017"/>
      <c r="BF75" s="1017"/>
      <c r="BG75" s="1017"/>
      <c r="BH75" s="1017"/>
      <c r="BI75" s="1017"/>
      <c r="BJ75" s="1017"/>
      <c r="BK75" s="1017"/>
      <c r="BL75" s="1017"/>
      <c r="BM75" s="1017"/>
      <c r="BN75" s="1017"/>
      <c r="BO75" s="1017"/>
      <c r="BP75" s="1017"/>
      <c r="BQ75" s="1017"/>
      <c r="BR75" s="1017"/>
      <c r="BS75" s="1017"/>
      <c r="BT75" s="1017"/>
      <c r="BU75" s="1017"/>
      <c r="BV75" s="1017"/>
      <c r="BW75" s="1017"/>
      <c r="BX75" s="1017"/>
      <c r="BY75" s="1017"/>
      <c r="BZ75" s="1017"/>
      <c r="CA75" s="1017"/>
      <c r="CB75" s="1017"/>
      <c r="CC75" s="1017"/>
      <c r="CD75" s="1017"/>
      <c r="CE75" s="1017"/>
      <c r="CF75" s="1017"/>
      <c r="CG75" s="1017"/>
      <c r="CH75" s="1017"/>
      <c r="CI75" s="1017"/>
      <c r="CJ75" s="1017"/>
      <c r="CK75" s="1017"/>
      <c r="CL75" s="1017"/>
      <c r="CM75" s="1017"/>
      <c r="CN75" s="1017"/>
      <c r="CO75" s="1017"/>
      <c r="CP75" s="1017"/>
      <c r="CQ75" s="1017"/>
      <c r="CR75" s="1017"/>
      <c r="CS75" s="1017"/>
      <c r="CT75" s="1017"/>
      <c r="CU75" s="1017"/>
      <c r="CV75" s="1017"/>
      <c r="CW75" s="1017"/>
      <c r="CX75" s="1017"/>
      <c r="CY75" s="1017"/>
      <c r="CZ75" s="1017"/>
      <c r="DA75" s="1017"/>
      <c r="DB75" s="1017"/>
      <c r="DC75" s="1017"/>
      <c r="DD75" s="1017"/>
      <c r="DE75" s="1017"/>
      <c r="DF75" s="1017"/>
      <c r="DG75" s="1017"/>
      <c r="DH75" s="1017"/>
      <c r="DI75" s="1017"/>
      <c r="DJ75" s="1017"/>
      <c r="DK75" s="1017"/>
      <c r="DL75" s="1017"/>
      <c r="DM75" s="1017"/>
      <c r="DN75" s="1017"/>
      <c r="DO75" s="1017"/>
      <c r="DP75" s="1017"/>
      <c r="DQ75" s="1017"/>
      <c r="DR75" s="1017"/>
      <c r="DS75" s="1017"/>
      <c r="DT75" s="1017"/>
      <c r="DU75" s="1017"/>
      <c r="DV75" s="1017"/>
      <c r="DW75" s="1017"/>
      <c r="DX75" s="1017"/>
      <c r="DY75" s="1017"/>
      <c r="DZ75" s="1017"/>
      <c r="EA75" s="1017"/>
      <c r="EB75" s="1017"/>
      <c r="EC75" s="1017"/>
      <c r="ED75" s="1017"/>
      <c r="EE75" s="1017"/>
      <c r="EF75" s="1017"/>
      <c r="EG75" s="1017"/>
      <c r="EH75" s="1017"/>
      <c r="EI75" s="1017"/>
      <c r="EJ75" s="1017"/>
      <c r="EK75" s="1017"/>
      <c r="EL75" s="1017"/>
      <c r="EM75" s="1017"/>
      <c r="EN75" s="1017"/>
      <c r="EO75" s="1017"/>
      <c r="EP75" s="1017"/>
      <c r="EQ75" s="1017"/>
      <c r="ER75" s="1017"/>
      <c r="ES75" s="1017"/>
      <c r="ET75" s="1017"/>
      <c r="EU75" s="1017"/>
      <c r="EV75" s="1017"/>
      <c r="EW75" s="1017"/>
      <c r="EX75" s="1017"/>
      <c r="EY75" s="1017"/>
      <c r="EZ75" s="1017"/>
      <c r="FA75" s="1017"/>
      <c r="FB75" s="1017"/>
      <c r="FC75" s="1017"/>
      <c r="FD75" s="1017"/>
      <c r="FE75" s="1017"/>
      <c r="FF75" s="1017"/>
      <c r="FG75" s="1017"/>
      <c r="FH75" s="1017"/>
      <c r="FI75" s="1017"/>
      <c r="FJ75" s="1017"/>
      <c r="FK75" s="1017"/>
      <c r="FL75" s="1017"/>
      <c r="FM75" s="1017"/>
      <c r="FN75" s="1017"/>
      <c r="FO75" s="1017"/>
      <c r="FP75" s="1017"/>
      <c r="FQ75" s="1017"/>
      <c r="FR75" s="1017"/>
      <c r="FS75" s="1017"/>
      <c r="FT75" s="1017"/>
      <c r="FU75" s="1017"/>
      <c r="FV75" s="1017"/>
      <c r="FW75" s="1017"/>
      <c r="FX75" s="1017"/>
      <c r="FY75" s="1017"/>
      <c r="FZ75" s="1017"/>
      <c r="GA75" s="1017"/>
      <c r="GB75" s="1017"/>
      <c r="GC75" s="1017"/>
      <c r="GD75" s="1017"/>
      <c r="GE75" s="1017"/>
      <c r="GF75" s="1017"/>
      <c r="GG75" s="1017"/>
      <c r="GH75" s="1017"/>
      <c r="GI75" s="1017"/>
      <c r="GJ75" s="1017"/>
      <c r="GK75" s="1017"/>
      <c r="GL75" s="1017"/>
      <c r="GM75" s="1017"/>
      <c r="GN75" s="1017"/>
      <c r="GO75" s="1017"/>
      <c r="GP75" s="1017"/>
      <c r="GQ75" s="1017"/>
      <c r="GR75" s="1017"/>
      <c r="GS75" s="1017"/>
      <c r="GT75" s="1017"/>
      <c r="GU75" s="1017"/>
      <c r="GV75" s="1017"/>
      <c r="GW75" s="1017"/>
      <c r="GX75" s="1017"/>
      <c r="GY75" s="1017"/>
      <c r="GZ75" s="1017"/>
      <c r="HA75" s="1017"/>
      <c r="HB75" s="1017"/>
      <c r="HC75" s="1017"/>
      <c r="HD75" s="1017"/>
      <c r="HE75" s="1017"/>
      <c r="HF75" s="1017"/>
      <c r="HG75" s="1017"/>
      <c r="HH75" s="1017"/>
      <c r="HI75" s="1017"/>
      <c r="HJ75" s="1017"/>
      <c r="HK75" s="1017"/>
      <c r="HL75" s="1017"/>
      <c r="HM75" s="1017"/>
      <c r="HN75" s="1017"/>
      <c r="HO75" s="1017"/>
      <c r="HP75" s="1017"/>
      <c r="HQ75" s="1017"/>
      <c r="HR75" s="1017"/>
      <c r="HS75" s="1017"/>
      <c r="HT75" s="1017"/>
      <c r="HU75" s="1017"/>
      <c r="HV75" s="1017"/>
      <c r="HW75" s="1017"/>
      <c r="HX75" s="1017"/>
      <c r="HY75" s="1017"/>
      <c r="HZ75" s="1017"/>
      <c r="IA75" s="1017"/>
      <c r="IB75" s="1017"/>
      <c r="IC75" s="1017"/>
      <c r="ID75" s="1017"/>
      <c r="IE75" s="1017"/>
      <c r="IF75" s="1017"/>
      <c r="IG75" s="1017"/>
      <c r="IH75" s="1017"/>
      <c r="II75" s="1017"/>
      <c r="IJ75" s="1017"/>
      <c r="IK75" s="1017"/>
      <c r="IL75" s="1017"/>
      <c r="IM75" s="1017"/>
    </row>
    <row r="76" spans="1:247">
      <c r="A76" s="1052" t="s">
        <v>940</v>
      </c>
      <c r="B76" s="1053"/>
      <c r="C76" s="1050">
        <f>843.088634</f>
        <v>843.08863399999996</v>
      </c>
      <c r="D76" s="1046">
        <f>838.25+0.598538*0.33</f>
        <v>838.44751754000004</v>
      </c>
      <c r="E76" s="1046">
        <f>875.003755+0.644914*0.33</f>
        <v>875.21657661999996</v>
      </c>
      <c r="F76" s="1046">
        <f>894.872+0.33*0.6625</f>
        <v>895.09062499999993</v>
      </c>
      <c r="G76" s="1047">
        <f>914.803+0.682*0.33</f>
        <v>915.02805999999998</v>
      </c>
      <c r="H76" s="1048">
        <v>868.44751754000004</v>
      </c>
      <c r="I76" s="1048">
        <v>905.21657661999996</v>
      </c>
      <c r="J76" s="1048">
        <v>925.09062499999993</v>
      </c>
      <c r="K76" s="1049">
        <v>945.02805999999998</v>
      </c>
      <c r="L76" s="1028"/>
      <c r="M76" s="1045"/>
      <c r="N76" s="1050">
        <f t="shared" si="59"/>
        <v>868.44751754000004</v>
      </c>
      <c r="O76" s="1045">
        <v>920.50422317969014</v>
      </c>
      <c r="P76" s="1046">
        <v>981.63448402515053</v>
      </c>
      <c r="Q76" s="1046">
        <v>1047.2817655098311</v>
      </c>
      <c r="R76" s="1045">
        <f t="shared" si="63"/>
        <v>-15.287646559690188</v>
      </c>
      <c r="S76" s="1046">
        <f t="shared" si="61"/>
        <v>-56.543859025150596</v>
      </c>
      <c r="T76" s="1046">
        <f t="shared" si="61"/>
        <v>-102.25370550983109</v>
      </c>
      <c r="U76" s="1050">
        <f t="shared" si="56"/>
        <v>52.056705639690108</v>
      </c>
      <c r="V76" s="948"/>
      <c r="W76" s="1045">
        <f t="shared" ref="W76" si="64">O76</f>
        <v>920.50422317969014</v>
      </c>
      <c r="X76" s="1046">
        <v>875.21657661999996</v>
      </c>
      <c r="Y76" s="1045">
        <f t="shared" ref="Y76:Y78" si="65">X76-W76</f>
        <v>-45.287646559690188</v>
      </c>
      <c r="Z76" s="1051">
        <f t="shared" si="42"/>
        <v>-5.0603360681086437E-2</v>
      </c>
      <c r="AA76" s="958"/>
      <c r="AB76" s="952"/>
      <c r="AC76" s="1017"/>
      <c r="AD76" s="1017"/>
      <c r="AE76" s="1017"/>
      <c r="AF76" s="1017"/>
      <c r="AG76" s="1017"/>
      <c r="AH76" s="1017"/>
      <c r="AI76" s="1017"/>
      <c r="AJ76" s="1017"/>
      <c r="AK76" s="1017"/>
      <c r="AL76" s="1017"/>
      <c r="AM76" s="1017"/>
      <c r="AN76" s="1017"/>
      <c r="AO76" s="1017"/>
      <c r="AP76" s="1017"/>
      <c r="AQ76" s="1017"/>
      <c r="AR76" s="1017"/>
      <c r="AS76" s="1017"/>
      <c r="AT76" s="1017"/>
      <c r="AU76" s="1017"/>
      <c r="AV76" s="1017"/>
      <c r="AW76" s="1017"/>
      <c r="AX76" s="1017"/>
      <c r="AY76" s="1017"/>
      <c r="AZ76" s="1017"/>
      <c r="BA76" s="1017"/>
      <c r="BB76" s="1017"/>
      <c r="BC76" s="1017"/>
      <c r="BD76" s="1017"/>
      <c r="BE76" s="1017"/>
      <c r="BF76" s="1017"/>
      <c r="BG76" s="1017"/>
      <c r="BH76" s="1017"/>
      <c r="BI76" s="1017"/>
      <c r="BJ76" s="1017"/>
      <c r="BK76" s="1017"/>
      <c r="BL76" s="1017"/>
      <c r="BM76" s="1017"/>
      <c r="BN76" s="1017"/>
      <c r="BO76" s="1017"/>
      <c r="BP76" s="1017"/>
      <c r="BQ76" s="1017"/>
      <c r="BR76" s="1017"/>
      <c r="BS76" s="1017"/>
      <c r="BT76" s="1017"/>
      <c r="BU76" s="1017"/>
      <c r="BV76" s="1017"/>
      <c r="BW76" s="1017"/>
      <c r="BX76" s="1017"/>
      <c r="BY76" s="1017"/>
      <c r="BZ76" s="1017"/>
      <c r="CA76" s="1017"/>
      <c r="CB76" s="1017"/>
      <c r="CC76" s="1017"/>
      <c r="CD76" s="1017"/>
      <c r="CE76" s="1017"/>
      <c r="CF76" s="1017"/>
      <c r="CG76" s="1017"/>
      <c r="CH76" s="1017"/>
      <c r="CI76" s="1017"/>
      <c r="CJ76" s="1017"/>
      <c r="CK76" s="1017"/>
      <c r="CL76" s="1017"/>
      <c r="CM76" s="1017"/>
      <c r="CN76" s="1017"/>
      <c r="CO76" s="1017"/>
      <c r="CP76" s="1017"/>
      <c r="CQ76" s="1017"/>
      <c r="CR76" s="1017"/>
      <c r="CS76" s="1017"/>
      <c r="CT76" s="1017"/>
      <c r="CU76" s="1017"/>
      <c r="CV76" s="1017"/>
      <c r="CW76" s="1017"/>
      <c r="CX76" s="1017"/>
      <c r="CY76" s="1017"/>
      <c r="CZ76" s="1017"/>
      <c r="DA76" s="1017"/>
      <c r="DB76" s="1017"/>
      <c r="DC76" s="1017"/>
      <c r="DD76" s="1017"/>
      <c r="DE76" s="1017"/>
      <c r="DF76" s="1017"/>
      <c r="DG76" s="1017"/>
      <c r="DH76" s="1017"/>
      <c r="DI76" s="1017"/>
      <c r="DJ76" s="1017"/>
      <c r="DK76" s="1017"/>
      <c r="DL76" s="1017"/>
      <c r="DM76" s="1017"/>
      <c r="DN76" s="1017"/>
      <c r="DO76" s="1017"/>
      <c r="DP76" s="1017"/>
      <c r="DQ76" s="1017"/>
      <c r="DR76" s="1017"/>
      <c r="DS76" s="1017"/>
      <c r="DT76" s="1017"/>
      <c r="DU76" s="1017"/>
      <c r="DV76" s="1017"/>
      <c r="DW76" s="1017"/>
      <c r="DX76" s="1017"/>
      <c r="DY76" s="1017"/>
      <c r="DZ76" s="1017"/>
      <c r="EA76" s="1017"/>
      <c r="EB76" s="1017"/>
      <c r="EC76" s="1017"/>
      <c r="ED76" s="1017"/>
      <c r="EE76" s="1017"/>
      <c r="EF76" s="1017"/>
      <c r="EG76" s="1017"/>
      <c r="EH76" s="1017"/>
      <c r="EI76" s="1017"/>
      <c r="EJ76" s="1017"/>
      <c r="EK76" s="1017"/>
      <c r="EL76" s="1017"/>
      <c r="EM76" s="1017"/>
      <c r="EN76" s="1017"/>
      <c r="EO76" s="1017"/>
      <c r="EP76" s="1017"/>
      <c r="EQ76" s="1017"/>
      <c r="ER76" s="1017"/>
      <c r="ES76" s="1017"/>
      <c r="ET76" s="1017"/>
      <c r="EU76" s="1017"/>
      <c r="EV76" s="1017"/>
      <c r="EW76" s="1017"/>
      <c r="EX76" s="1017"/>
      <c r="EY76" s="1017"/>
      <c r="EZ76" s="1017"/>
      <c r="FA76" s="1017"/>
      <c r="FB76" s="1017"/>
      <c r="FC76" s="1017"/>
      <c r="FD76" s="1017"/>
      <c r="FE76" s="1017"/>
      <c r="FF76" s="1017"/>
      <c r="FG76" s="1017"/>
      <c r="FH76" s="1017"/>
      <c r="FI76" s="1017"/>
      <c r="FJ76" s="1017"/>
      <c r="FK76" s="1017"/>
      <c r="FL76" s="1017"/>
      <c r="FM76" s="1017"/>
      <c r="FN76" s="1017"/>
      <c r="FO76" s="1017"/>
      <c r="FP76" s="1017"/>
      <c r="FQ76" s="1017"/>
      <c r="FR76" s="1017"/>
      <c r="FS76" s="1017"/>
      <c r="FT76" s="1017"/>
      <c r="FU76" s="1017"/>
      <c r="FV76" s="1017"/>
      <c r="FW76" s="1017"/>
      <c r="FX76" s="1017"/>
      <c r="FY76" s="1017"/>
      <c r="FZ76" s="1017"/>
      <c r="GA76" s="1017"/>
      <c r="GB76" s="1017"/>
      <c r="GC76" s="1017"/>
      <c r="GD76" s="1017"/>
      <c r="GE76" s="1017"/>
      <c r="GF76" s="1017"/>
      <c r="GG76" s="1017"/>
      <c r="GH76" s="1017"/>
      <c r="GI76" s="1017"/>
      <c r="GJ76" s="1017"/>
      <c r="GK76" s="1017"/>
      <c r="GL76" s="1017"/>
      <c r="GM76" s="1017"/>
      <c r="GN76" s="1017"/>
      <c r="GO76" s="1017"/>
      <c r="GP76" s="1017"/>
      <c r="GQ76" s="1017"/>
      <c r="GR76" s="1017"/>
      <c r="GS76" s="1017"/>
      <c r="GT76" s="1017"/>
      <c r="GU76" s="1017"/>
      <c r="GV76" s="1017"/>
      <c r="GW76" s="1017"/>
      <c r="GX76" s="1017"/>
      <c r="GY76" s="1017"/>
      <c r="GZ76" s="1017"/>
      <c r="HA76" s="1017"/>
      <c r="HB76" s="1017"/>
      <c r="HC76" s="1017"/>
      <c r="HD76" s="1017"/>
      <c r="HE76" s="1017"/>
      <c r="HF76" s="1017"/>
      <c r="HG76" s="1017"/>
      <c r="HH76" s="1017"/>
      <c r="HI76" s="1017"/>
      <c r="HJ76" s="1017"/>
      <c r="HK76" s="1017"/>
      <c r="HL76" s="1017"/>
      <c r="HM76" s="1017"/>
      <c r="HN76" s="1017"/>
      <c r="HO76" s="1017"/>
      <c r="HP76" s="1017"/>
      <c r="HQ76" s="1017"/>
      <c r="HR76" s="1017"/>
      <c r="HS76" s="1017"/>
      <c r="HT76" s="1017"/>
      <c r="HU76" s="1017"/>
      <c r="HV76" s="1017"/>
      <c r="HW76" s="1017"/>
      <c r="HX76" s="1017"/>
      <c r="HY76" s="1017"/>
      <c r="HZ76" s="1017"/>
      <c r="IA76" s="1017"/>
      <c r="IB76" s="1017"/>
      <c r="IC76" s="1017"/>
      <c r="ID76" s="1017"/>
      <c r="IE76" s="1017"/>
      <c r="IF76" s="1017"/>
      <c r="IG76" s="1017"/>
      <c r="IH76" s="1017"/>
      <c r="II76" s="1017"/>
      <c r="IJ76" s="1017"/>
      <c r="IK76" s="1017"/>
      <c r="IL76" s="1017"/>
      <c r="IM76" s="1017"/>
    </row>
    <row r="77" spans="1:247" s="1077" customFormat="1">
      <c r="A77" s="1052" t="s">
        <v>941</v>
      </c>
      <c r="B77" s="1053"/>
      <c r="C77" s="1071">
        <v>14.41014146</v>
      </c>
      <c r="D77" s="1068">
        <v>0</v>
      </c>
      <c r="E77" s="1069">
        <v>0</v>
      </c>
      <c r="F77" s="1069">
        <v>0</v>
      </c>
      <c r="G77" s="1070">
        <v>0</v>
      </c>
      <c r="H77" s="1072">
        <v>14.41014146</v>
      </c>
      <c r="I77" s="1072">
        <v>14.41014146</v>
      </c>
      <c r="J77" s="1072">
        <v>14.41014146</v>
      </c>
      <c r="K77" s="1073">
        <v>14.41014146</v>
      </c>
      <c r="L77" s="1028"/>
      <c r="M77" s="1045"/>
      <c r="N77" s="1050">
        <f t="shared" si="59"/>
        <v>14.41014146</v>
      </c>
      <c r="O77" s="1068">
        <v>15.07952047464727</v>
      </c>
      <c r="P77" s="1046">
        <v>15.80769750303627</v>
      </c>
      <c r="Q77" s="1046">
        <v>16.643175475359207</v>
      </c>
      <c r="R77" s="1045">
        <f t="shared" si="63"/>
        <v>-0.66937901464726934</v>
      </c>
      <c r="S77" s="1046">
        <f t="shared" si="61"/>
        <v>-1.3975560430362695</v>
      </c>
      <c r="T77" s="1046">
        <f t="shared" si="61"/>
        <v>-2.2330340153592072</v>
      </c>
      <c r="U77" s="1050">
        <f t="shared" si="56"/>
        <v>0.66937901464726934</v>
      </c>
      <c r="V77" s="948"/>
      <c r="W77" s="1075">
        <f>O77</f>
        <v>15.07952047464727</v>
      </c>
      <c r="X77" s="1048">
        <v>14.41014146</v>
      </c>
      <c r="Y77" s="1075">
        <f t="shared" si="65"/>
        <v>-0.66937901464726934</v>
      </c>
      <c r="Z77" s="1076">
        <f t="shared" si="42"/>
        <v>-7.4794850878154664E-4</v>
      </c>
      <c r="AA77" s="1017"/>
      <c r="AB77" s="952"/>
      <c r="AC77" s="1017"/>
      <c r="AD77" s="1017"/>
      <c r="AE77" s="1017"/>
      <c r="AF77" s="1017"/>
      <c r="AG77" s="1017"/>
      <c r="AH77" s="1017"/>
      <c r="AI77" s="1017"/>
      <c r="AJ77" s="1017"/>
      <c r="AK77" s="1017"/>
      <c r="AL77" s="1017"/>
      <c r="AM77" s="1017"/>
      <c r="AN77" s="1017"/>
      <c r="AO77" s="1017"/>
      <c r="AP77" s="1017"/>
      <c r="AQ77" s="1017"/>
      <c r="AR77" s="1017"/>
      <c r="AS77" s="1017"/>
      <c r="AT77" s="1017"/>
      <c r="AU77" s="1017"/>
      <c r="AV77" s="1017"/>
      <c r="AW77" s="1017"/>
      <c r="AX77" s="1017"/>
      <c r="AY77" s="1017"/>
      <c r="AZ77" s="1017"/>
      <c r="BA77" s="1017"/>
      <c r="BB77" s="1017"/>
      <c r="BC77" s="1017"/>
      <c r="BD77" s="1017"/>
      <c r="BE77" s="1017"/>
      <c r="BF77" s="1017"/>
      <c r="BG77" s="1017"/>
      <c r="BH77" s="1017"/>
      <c r="BI77" s="1017"/>
      <c r="BJ77" s="1017"/>
      <c r="BK77" s="1017"/>
      <c r="BL77" s="1017"/>
      <c r="BM77" s="1017"/>
      <c r="BN77" s="1017"/>
      <c r="BO77" s="1017"/>
      <c r="BP77" s="1017"/>
      <c r="BQ77" s="1017"/>
      <c r="BR77" s="1017"/>
      <c r="BS77" s="1017"/>
      <c r="BT77" s="1017"/>
      <c r="BU77" s="1017"/>
      <c r="BV77" s="1017"/>
      <c r="BW77" s="1017"/>
      <c r="BX77" s="1017"/>
      <c r="BY77" s="1017"/>
      <c r="BZ77" s="1017"/>
      <c r="CA77" s="1017"/>
      <c r="CB77" s="1017"/>
      <c r="CC77" s="1017"/>
      <c r="CD77" s="1017"/>
      <c r="CE77" s="1017"/>
      <c r="CF77" s="1017"/>
      <c r="CG77" s="1017"/>
      <c r="CH77" s="1017"/>
      <c r="CI77" s="1017"/>
      <c r="CJ77" s="1017"/>
      <c r="CK77" s="1017"/>
      <c r="CL77" s="1017"/>
      <c r="CM77" s="1017"/>
      <c r="CN77" s="1017"/>
      <c r="CO77" s="1017"/>
      <c r="CP77" s="1017"/>
      <c r="CQ77" s="1017"/>
      <c r="CR77" s="1017"/>
      <c r="CS77" s="1017"/>
      <c r="CT77" s="1017"/>
      <c r="CU77" s="1017"/>
      <c r="CV77" s="1017"/>
      <c r="CW77" s="1017"/>
      <c r="CX77" s="1017"/>
      <c r="CY77" s="1017"/>
      <c r="CZ77" s="1017"/>
      <c r="DA77" s="1017"/>
      <c r="DB77" s="1017"/>
      <c r="DC77" s="1017"/>
      <c r="DD77" s="1017"/>
      <c r="DE77" s="1017"/>
      <c r="DF77" s="1017"/>
      <c r="DG77" s="1017"/>
      <c r="DH77" s="1017"/>
      <c r="DI77" s="1017"/>
      <c r="DJ77" s="1017"/>
      <c r="DK77" s="1017"/>
      <c r="DL77" s="1017"/>
      <c r="DM77" s="1017"/>
      <c r="DN77" s="1017"/>
      <c r="DO77" s="1017"/>
      <c r="DP77" s="1017"/>
      <c r="DQ77" s="1017"/>
      <c r="DR77" s="1017"/>
      <c r="DS77" s="1017"/>
      <c r="DT77" s="1017"/>
      <c r="DU77" s="1017"/>
      <c r="DV77" s="1017"/>
      <c r="DW77" s="1017"/>
      <c r="DX77" s="1017"/>
      <c r="DY77" s="1017"/>
      <c r="DZ77" s="1017"/>
      <c r="EA77" s="1017"/>
      <c r="EB77" s="1017"/>
      <c r="EC77" s="1017"/>
      <c r="ED77" s="1017"/>
      <c r="EE77" s="1017"/>
      <c r="EF77" s="1017"/>
      <c r="EG77" s="1017"/>
      <c r="EH77" s="1017"/>
      <c r="EI77" s="1017"/>
      <c r="EJ77" s="1017"/>
      <c r="EK77" s="1017"/>
      <c r="EL77" s="1017"/>
      <c r="EM77" s="1017"/>
      <c r="EN77" s="1017"/>
      <c r="EO77" s="1017"/>
      <c r="EP77" s="1017"/>
      <c r="EQ77" s="1017"/>
      <c r="ER77" s="1017"/>
      <c r="ES77" s="1017"/>
      <c r="ET77" s="1017"/>
      <c r="EU77" s="1017"/>
      <c r="EV77" s="1017"/>
      <c r="EW77" s="1017"/>
      <c r="EX77" s="1017"/>
      <c r="EY77" s="1017"/>
      <c r="EZ77" s="1017"/>
      <c r="FA77" s="1017"/>
      <c r="FB77" s="1017"/>
      <c r="FC77" s="1017"/>
      <c r="FD77" s="1017"/>
      <c r="FE77" s="1017"/>
      <c r="FF77" s="1017"/>
      <c r="FG77" s="1017"/>
      <c r="FH77" s="1017"/>
      <c r="FI77" s="1017"/>
      <c r="FJ77" s="1017"/>
      <c r="FK77" s="1017"/>
      <c r="FL77" s="1017"/>
      <c r="FM77" s="1017"/>
      <c r="FN77" s="1017"/>
      <c r="FO77" s="1017"/>
      <c r="FP77" s="1017"/>
      <c r="FQ77" s="1017"/>
      <c r="FR77" s="1017"/>
      <c r="FS77" s="1017"/>
      <c r="FT77" s="1017"/>
      <c r="FU77" s="1017"/>
      <c r="FV77" s="1017"/>
      <c r="FW77" s="1017"/>
      <c r="FX77" s="1017"/>
      <c r="FY77" s="1017"/>
      <c r="FZ77" s="1017"/>
      <c r="GA77" s="1017"/>
      <c r="GB77" s="1017"/>
      <c r="GC77" s="1017"/>
      <c r="GD77" s="1017"/>
      <c r="GE77" s="1017"/>
      <c r="GF77" s="1017"/>
      <c r="GG77" s="1017"/>
      <c r="GH77" s="1017"/>
      <c r="GI77" s="1017"/>
      <c r="GJ77" s="1017"/>
      <c r="GK77" s="1017"/>
      <c r="GL77" s="1017"/>
      <c r="GM77" s="1017"/>
      <c r="GN77" s="1017"/>
      <c r="GO77" s="1017"/>
      <c r="GP77" s="1017"/>
      <c r="GQ77" s="1017"/>
      <c r="GR77" s="1017"/>
      <c r="GS77" s="1017"/>
      <c r="GT77" s="1017"/>
      <c r="GU77" s="1017"/>
      <c r="GV77" s="1017"/>
      <c r="GW77" s="1017"/>
      <c r="GX77" s="1017"/>
      <c r="GY77" s="1017"/>
      <c r="GZ77" s="1017"/>
      <c r="HA77" s="1017"/>
      <c r="HB77" s="1017"/>
      <c r="HC77" s="1017"/>
      <c r="HD77" s="1017"/>
      <c r="HE77" s="1017"/>
      <c r="HF77" s="1017"/>
      <c r="HG77" s="1017"/>
      <c r="HH77" s="1017"/>
      <c r="HI77" s="1017"/>
      <c r="HJ77" s="1017"/>
      <c r="HK77" s="1017"/>
      <c r="HL77" s="1017"/>
      <c r="HM77" s="1017"/>
      <c r="HN77" s="1017"/>
      <c r="HO77" s="1017"/>
      <c r="HP77" s="1017"/>
      <c r="HQ77" s="1017"/>
      <c r="HR77" s="1017"/>
      <c r="HS77" s="1017"/>
      <c r="HT77" s="1017"/>
      <c r="HU77" s="1017"/>
      <c r="HV77" s="1017"/>
      <c r="HW77" s="1017"/>
      <c r="HX77" s="1017"/>
      <c r="HY77" s="1017"/>
      <c r="HZ77" s="1017"/>
      <c r="IA77" s="1017"/>
      <c r="IB77" s="1017"/>
      <c r="IC77" s="1017"/>
      <c r="ID77" s="1017"/>
      <c r="IE77" s="1017"/>
      <c r="IF77" s="1017"/>
      <c r="IG77" s="1017"/>
      <c r="IH77" s="1017"/>
      <c r="II77" s="1017"/>
      <c r="IJ77" s="1017"/>
      <c r="IK77" s="1017"/>
      <c r="IL77" s="1017"/>
      <c r="IM77" s="1017"/>
    </row>
    <row r="78" spans="1:247">
      <c r="A78" s="1052" t="s">
        <v>942</v>
      </c>
      <c r="B78" s="1053"/>
      <c r="C78" s="1071">
        <v>21.298511487300001</v>
      </c>
      <c r="D78" s="1068">
        <v>11.6</v>
      </c>
      <c r="E78" s="1069">
        <v>0</v>
      </c>
      <c r="F78" s="1069">
        <v>0</v>
      </c>
      <c r="G78" s="1070">
        <v>0</v>
      </c>
      <c r="H78" s="1072">
        <v>24.500511487300002</v>
      </c>
      <c r="I78" s="1072">
        <v>24.500511487300002</v>
      </c>
      <c r="J78" s="1072">
        <v>24.500511487300002</v>
      </c>
      <c r="K78" s="1073">
        <v>24.500511487300002</v>
      </c>
      <c r="L78" s="1028"/>
      <c r="M78" s="1068"/>
      <c r="N78" s="1050">
        <f t="shared" si="59"/>
        <v>24.500511487300002</v>
      </c>
      <c r="O78" s="1068">
        <v>25.638607756739606</v>
      </c>
      <c r="P78" s="1069">
        <v>26.876673996294251</v>
      </c>
      <c r="Q78" s="1069">
        <v>28.297176197129986</v>
      </c>
      <c r="R78" s="1068">
        <f t="shared" si="63"/>
        <v>-1.138096269439604</v>
      </c>
      <c r="S78" s="1069">
        <f t="shared" si="61"/>
        <v>-2.3761625089942484</v>
      </c>
      <c r="T78" s="1069">
        <f t="shared" si="61"/>
        <v>-3.7966647098299831</v>
      </c>
      <c r="U78" s="1071">
        <f t="shared" si="56"/>
        <v>1.138096269439604</v>
      </c>
      <c r="V78" s="948"/>
      <c r="W78" s="1045">
        <f>O78</f>
        <v>25.638607756739606</v>
      </c>
      <c r="X78" s="1046">
        <v>24.500511487300002</v>
      </c>
      <c r="Y78" s="1045">
        <f t="shared" si="65"/>
        <v>-1.138096269439604</v>
      </c>
      <c r="Z78" s="1051">
        <f t="shared" si="42"/>
        <v>-1.2716822442151916E-3</v>
      </c>
      <c r="AA78" s="1017"/>
      <c r="AB78" s="952"/>
      <c r="AC78" s="1017"/>
      <c r="AD78" s="1017"/>
      <c r="AE78" s="1017"/>
      <c r="AF78" s="1017"/>
      <c r="AG78" s="1017"/>
      <c r="AH78" s="1017"/>
      <c r="AI78" s="1017"/>
      <c r="AJ78" s="1017"/>
      <c r="AK78" s="1017"/>
      <c r="AL78" s="1017"/>
      <c r="AM78" s="1017"/>
      <c r="AN78" s="1017"/>
      <c r="AO78" s="1017"/>
      <c r="AP78" s="1017"/>
      <c r="AQ78" s="1017"/>
      <c r="AR78" s="1017"/>
      <c r="AS78" s="1017"/>
      <c r="AT78" s="1017"/>
      <c r="AU78" s="1017"/>
      <c r="AV78" s="1017"/>
      <c r="AW78" s="1017"/>
      <c r="AX78" s="1017"/>
      <c r="AY78" s="1017"/>
      <c r="AZ78" s="1017"/>
      <c r="BA78" s="1017"/>
      <c r="BB78" s="1017"/>
      <c r="BC78" s="1017"/>
      <c r="BD78" s="1017"/>
      <c r="BE78" s="1017"/>
      <c r="BF78" s="1017"/>
      <c r="BG78" s="1017"/>
      <c r="BH78" s="1017"/>
      <c r="BI78" s="1017"/>
      <c r="BJ78" s="1017"/>
      <c r="BK78" s="1017"/>
      <c r="BL78" s="1017"/>
      <c r="BM78" s="1017"/>
      <c r="BN78" s="1017"/>
      <c r="BO78" s="1017"/>
      <c r="BP78" s="1017"/>
      <c r="BQ78" s="1017"/>
      <c r="BR78" s="1017"/>
      <c r="BS78" s="1017"/>
      <c r="BT78" s="1017"/>
      <c r="BU78" s="1017"/>
      <c r="BV78" s="1017"/>
      <c r="BW78" s="1017"/>
      <c r="BX78" s="1017"/>
      <c r="BY78" s="1017"/>
      <c r="BZ78" s="1017"/>
      <c r="CA78" s="1017"/>
      <c r="CB78" s="1017"/>
      <c r="CC78" s="1017"/>
      <c r="CD78" s="1017"/>
      <c r="CE78" s="1017"/>
      <c r="CF78" s="1017"/>
      <c r="CG78" s="1017"/>
      <c r="CH78" s="1017"/>
      <c r="CI78" s="1017"/>
      <c r="CJ78" s="1017"/>
      <c r="CK78" s="1017"/>
      <c r="CL78" s="1017"/>
      <c r="CM78" s="1017"/>
      <c r="CN78" s="1017"/>
      <c r="CO78" s="1017"/>
      <c r="CP78" s="1017"/>
      <c r="CQ78" s="1017"/>
      <c r="CR78" s="1017"/>
      <c r="CS78" s="1017"/>
      <c r="CT78" s="1017"/>
      <c r="CU78" s="1017"/>
      <c r="CV78" s="1017"/>
      <c r="CW78" s="1017"/>
      <c r="CX78" s="1017"/>
      <c r="CY78" s="1017"/>
      <c r="CZ78" s="1017"/>
      <c r="DA78" s="1017"/>
      <c r="DB78" s="1017"/>
      <c r="DC78" s="1017"/>
      <c r="DD78" s="1017"/>
      <c r="DE78" s="1017"/>
      <c r="DF78" s="1017"/>
      <c r="DG78" s="1017"/>
      <c r="DH78" s="1017"/>
      <c r="DI78" s="1017"/>
      <c r="DJ78" s="1017"/>
      <c r="DK78" s="1017"/>
      <c r="DL78" s="1017"/>
      <c r="DM78" s="1017"/>
      <c r="DN78" s="1017"/>
      <c r="DO78" s="1017"/>
      <c r="DP78" s="1017"/>
      <c r="DQ78" s="1017"/>
      <c r="DR78" s="1017"/>
      <c r="DS78" s="1017"/>
      <c r="DT78" s="1017"/>
      <c r="DU78" s="1017"/>
      <c r="DV78" s="1017"/>
      <c r="DW78" s="1017"/>
      <c r="DX78" s="1017"/>
      <c r="DY78" s="1017"/>
      <c r="DZ78" s="1017"/>
      <c r="EA78" s="1017"/>
      <c r="EB78" s="1017"/>
      <c r="EC78" s="1017"/>
      <c r="ED78" s="1017"/>
      <c r="EE78" s="1017"/>
      <c r="EF78" s="1017"/>
      <c r="EG78" s="1017"/>
      <c r="EH78" s="1017"/>
      <c r="EI78" s="1017"/>
      <c r="EJ78" s="1017"/>
      <c r="EK78" s="1017"/>
      <c r="EL78" s="1017"/>
      <c r="EM78" s="1017"/>
      <c r="EN78" s="1017"/>
      <c r="EO78" s="1017"/>
      <c r="EP78" s="1017"/>
      <c r="EQ78" s="1017"/>
      <c r="ER78" s="1017"/>
      <c r="ES78" s="1017"/>
      <c r="ET78" s="1017"/>
      <c r="EU78" s="1017"/>
      <c r="EV78" s="1017"/>
      <c r="EW78" s="1017"/>
      <c r="EX78" s="1017"/>
      <c r="EY78" s="1017"/>
      <c r="EZ78" s="1017"/>
      <c r="FA78" s="1017"/>
      <c r="FB78" s="1017"/>
      <c r="FC78" s="1017"/>
      <c r="FD78" s="1017"/>
      <c r="FE78" s="1017"/>
      <c r="FF78" s="1017"/>
      <c r="FG78" s="1017"/>
      <c r="FH78" s="1017"/>
      <c r="FI78" s="1017"/>
      <c r="FJ78" s="1017"/>
      <c r="FK78" s="1017"/>
      <c r="FL78" s="1017"/>
      <c r="FM78" s="1017"/>
      <c r="FN78" s="1017"/>
      <c r="FO78" s="1017"/>
      <c r="FP78" s="1017"/>
      <c r="FQ78" s="1017"/>
      <c r="FR78" s="1017"/>
      <c r="FS78" s="1017"/>
      <c r="FT78" s="1017"/>
      <c r="FU78" s="1017"/>
      <c r="FV78" s="1017"/>
      <c r="FW78" s="1017"/>
      <c r="FX78" s="1017"/>
      <c r="FY78" s="1017"/>
      <c r="FZ78" s="1017"/>
      <c r="GA78" s="1017"/>
      <c r="GB78" s="1017"/>
      <c r="GC78" s="1017"/>
      <c r="GD78" s="1017"/>
      <c r="GE78" s="1017"/>
      <c r="GF78" s="1017"/>
      <c r="GG78" s="1017"/>
      <c r="GH78" s="1017"/>
      <c r="GI78" s="1017"/>
      <c r="GJ78" s="1017"/>
      <c r="GK78" s="1017"/>
      <c r="GL78" s="1017"/>
      <c r="GM78" s="1017"/>
      <c r="GN78" s="1017"/>
      <c r="GO78" s="1017"/>
      <c r="GP78" s="1017"/>
      <c r="GQ78" s="1017"/>
      <c r="GR78" s="1017"/>
      <c r="GS78" s="1017"/>
      <c r="GT78" s="1017"/>
      <c r="GU78" s="1017"/>
      <c r="GV78" s="1017"/>
      <c r="GW78" s="1017"/>
      <c r="GX78" s="1017"/>
      <c r="GY78" s="1017"/>
      <c r="GZ78" s="1017"/>
      <c r="HA78" s="1017"/>
      <c r="HB78" s="1017"/>
      <c r="HC78" s="1017"/>
      <c r="HD78" s="1017"/>
      <c r="HE78" s="1017"/>
      <c r="HF78" s="1017"/>
      <c r="HG78" s="1017"/>
      <c r="HH78" s="1017"/>
      <c r="HI78" s="1017"/>
      <c r="HJ78" s="1017"/>
      <c r="HK78" s="1017"/>
      <c r="HL78" s="1017"/>
      <c r="HM78" s="1017"/>
      <c r="HN78" s="1017"/>
      <c r="HO78" s="1017"/>
      <c r="HP78" s="1017"/>
      <c r="HQ78" s="1017"/>
      <c r="HR78" s="1017"/>
      <c r="HS78" s="1017"/>
      <c r="HT78" s="1017"/>
      <c r="HU78" s="1017"/>
      <c r="HV78" s="1017"/>
      <c r="HW78" s="1017"/>
      <c r="HX78" s="1017"/>
      <c r="HY78" s="1017"/>
      <c r="HZ78" s="1017"/>
      <c r="IA78" s="1017"/>
      <c r="IB78" s="1017"/>
      <c r="IC78" s="1017"/>
      <c r="ID78" s="1017"/>
      <c r="IE78" s="1017"/>
      <c r="IF78" s="1017"/>
      <c r="IG78" s="1017"/>
      <c r="IH78" s="1017"/>
      <c r="II78" s="1017"/>
      <c r="IJ78" s="1017"/>
      <c r="IK78" s="1017"/>
      <c r="IL78" s="1017"/>
      <c r="IM78" s="1017"/>
    </row>
    <row r="79" spans="1:247">
      <c r="A79" s="1052" t="s">
        <v>950</v>
      </c>
      <c r="B79" s="1053"/>
      <c r="C79" s="1071">
        <v>29.438257</v>
      </c>
      <c r="D79" s="1068">
        <f>16.248+0.33*0.0692</f>
        <v>16.270836000000003</v>
      </c>
      <c r="E79" s="1069">
        <f>25.5505+1.614*0.33</f>
        <v>26.083120000000001</v>
      </c>
      <c r="F79" s="1069">
        <f>24.799+1.62*0.33</f>
        <v>25.333600000000001</v>
      </c>
      <c r="G79" s="1070">
        <f>24.783+1.607*0.33</f>
        <v>25.313310000000001</v>
      </c>
      <c r="H79" s="1072">
        <v>26.270836000000003</v>
      </c>
      <c r="I79" s="1072">
        <v>26.083120000000001</v>
      </c>
      <c r="J79" s="1072">
        <v>25.333600000000001</v>
      </c>
      <c r="K79" s="1073">
        <v>25.313310000000001</v>
      </c>
      <c r="L79" s="1028"/>
      <c r="M79" s="1068"/>
      <c r="N79" s="1050">
        <f t="shared" si="59"/>
        <v>26.270836000000003</v>
      </c>
      <c r="O79" s="1068">
        <v>27.491167276028989</v>
      </c>
      <c r="P79" s="1069">
        <v>28.818692015801723</v>
      </c>
      <c r="Q79" s="1069">
        <v>30.341834925497245</v>
      </c>
      <c r="R79" s="1068">
        <f t="shared" si="63"/>
        <v>-1.4080472760289879</v>
      </c>
      <c r="S79" s="1069">
        <f t="shared" si="61"/>
        <v>-3.4850920158017225</v>
      </c>
      <c r="T79" s="1069">
        <f t="shared" si="61"/>
        <v>-5.0285249254972442</v>
      </c>
      <c r="U79" s="1071">
        <f t="shared" si="56"/>
        <v>1.2203312760289862</v>
      </c>
      <c r="V79" s="948"/>
      <c r="W79" s="1045">
        <f t="shared" si="62"/>
        <v>27.491167276028989</v>
      </c>
      <c r="X79" s="1046">
        <v>26.083120000000001</v>
      </c>
      <c r="Y79" s="1045">
        <f t="shared" si="7"/>
        <v>-1.4080472760289879</v>
      </c>
      <c r="Z79" s="1051">
        <f t="shared" si="42"/>
        <v>-1.5733192068394289E-3</v>
      </c>
      <c r="AA79" s="1017"/>
      <c r="AB79" s="952"/>
      <c r="AC79" s="1017"/>
      <c r="AD79" s="1017"/>
      <c r="AE79" s="1017"/>
      <c r="AF79" s="1017"/>
      <c r="AG79" s="1017"/>
      <c r="AH79" s="1017"/>
      <c r="AI79" s="1017"/>
      <c r="AJ79" s="1017"/>
      <c r="AK79" s="1017"/>
      <c r="AL79" s="1017"/>
      <c r="AM79" s="1017"/>
      <c r="AN79" s="1017"/>
      <c r="AO79" s="1017"/>
      <c r="AP79" s="1017"/>
      <c r="AQ79" s="1017"/>
      <c r="AR79" s="1017"/>
      <c r="AS79" s="1017"/>
      <c r="AT79" s="1017"/>
      <c r="AU79" s="1017"/>
      <c r="AV79" s="1017"/>
      <c r="AW79" s="1017"/>
      <c r="AX79" s="1017"/>
      <c r="AY79" s="1017"/>
      <c r="AZ79" s="1017"/>
      <c r="BA79" s="1017"/>
      <c r="BB79" s="1017"/>
      <c r="BC79" s="1017"/>
      <c r="BD79" s="1017"/>
      <c r="BE79" s="1017"/>
      <c r="BF79" s="1017"/>
      <c r="BG79" s="1017"/>
      <c r="BH79" s="1017"/>
      <c r="BI79" s="1017"/>
      <c r="BJ79" s="1017"/>
      <c r="BK79" s="1017"/>
      <c r="BL79" s="1017"/>
      <c r="BM79" s="1017"/>
      <c r="BN79" s="1017"/>
      <c r="BO79" s="1017"/>
      <c r="BP79" s="1017"/>
      <c r="BQ79" s="1017"/>
      <c r="BR79" s="1017"/>
      <c r="BS79" s="1017"/>
      <c r="BT79" s="1017"/>
      <c r="BU79" s="1017"/>
      <c r="BV79" s="1017"/>
      <c r="BW79" s="1017"/>
      <c r="BX79" s="1017"/>
      <c r="BY79" s="1017"/>
      <c r="BZ79" s="1017"/>
      <c r="CA79" s="1017"/>
      <c r="CB79" s="1017"/>
      <c r="CC79" s="1017"/>
      <c r="CD79" s="1017"/>
      <c r="CE79" s="1017"/>
      <c r="CF79" s="1017"/>
      <c r="CG79" s="1017"/>
      <c r="CH79" s="1017"/>
      <c r="CI79" s="1017"/>
      <c r="CJ79" s="1017"/>
      <c r="CK79" s="1017"/>
      <c r="CL79" s="1017"/>
      <c r="CM79" s="1017"/>
      <c r="CN79" s="1017"/>
      <c r="CO79" s="1017"/>
      <c r="CP79" s="1017"/>
      <c r="CQ79" s="1017"/>
      <c r="CR79" s="1017"/>
      <c r="CS79" s="1017"/>
      <c r="CT79" s="1017"/>
      <c r="CU79" s="1017"/>
      <c r="CV79" s="1017"/>
      <c r="CW79" s="1017"/>
      <c r="CX79" s="1017"/>
      <c r="CY79" s="1017"/>
      <c r="CZ79" s="1017"/>
      <c r="DA79" s="1017"/>
      <c r="DB79" s="1017"/>
      <c r="DC79" s="1017"/>
      <c r="DD79" s="1017"/>
      <c r="DE79" s="1017"/>
      <c r="DF79" s="1017"/>
      <c r="DG79" s="1017"/>
      <c r="DH79" s="1017"/>
      <c r="DI79" s="1017"/>
      <c r="DJ79" s="1017"/>
      <c r="DK79" s="1017"/>
      <c r="DL79" s="1017"/>
      <c r="DM79" s="1017"/>
      <c r="DN79" s="1017"/>
      <c r="DO79" s="1017"/>
      <c r="DP79" s="1017"/>
      <c r="DQ79" s="1017"/>
      <c r="DR79" s="1017"/>
      <c r="DS79" s="1017"/>
      <c r="DT79" s="1017"/>
      <c r="DU79" s="1017"/>
      <c r="DV79" s="1017"/>
      <c r="DW79" s="1017"/>
      <c r="DX79" s="1017"/>
      <c r="DY79" s="1017"/>
      <c r="DZ79" s="1017"/>
      <c r="EA79" s="1017"/>
      <c r="EB79" s="1017"/>
      <c r="EC79" s="1017"/>
      <c r="ED79" s="1017"/>
      <c r="EE79" s="1017"/>
      <c r="EF79" s="1017"/>
      <c r="EG79" s="1017"/>
      <c r="EH79" s="1017"/>
      <c r="EI79" s="1017"/>
      <c r="EJ79" s="1017"/>
      <c r="EK79" s="1017"/>
      <c r="EL79" s="1017"/>
      <c r="EM79" s="1017"/>
      <c r="EN79" s="1017"/>
      <c r="EO79" s="1017"/>
      <c r="EP79" s="1017"/>
      <c r="EQ79" s="1017"/>
      <c r="ER79" s="1017"/>
      <c r="ES79" s="1017"/>
      <c r="ET79" s="1017"/>
      <c r="EU79" s="1017"/>
      <c r="EV79" s="1017"/>
      <c r="EW79" s="1017"/>
      <c r="EX79" s="1017"/>
      <c r="EY79" s="1017"/>
      <c r="EZ79" s="1017"/>
      <c r="FA79" s="1017"/>
      <c r="FB79" s="1017"/>
      <c r="FC79" s="1017"/>
      <c r="FD79" s="1017"/>
      <c r="FE79" s="1017"/>
      <c r="FF79" s="1017"/>
      <c r="FG79" s="1017"/>
      <c r="FH79" s="1017"/>
      <c r="FI79" s="1017"/>
      <c r="FJ79" s="1017"/>
      <c r="FK79" s="1017"/>
      <c r="FL79" s="1017"/>
      <c r="FM79" s="1017"/>
      <c r="FN79" s="1017"/>
      <c r="FO79" s="1017"/>
      <c r="FP79" s="1017"/>
      <c r="FQ79" s="1017"/>
      <c r="FR79" s="1017"/>
      <c r="FS79" s="1017"/>
      <c r="FT79" s="1017"/>
      <c r="FU79" s="1017"/>
      <c r="FV79" s="1017"/>
      <c r="FW79" s="1017"/>
      <c r="FX79" s="1017"/>
      <c r="FY79" s="1017"/>
      <c r="FZ79" s="1017"/>
      <c r="GA79" s="1017"/>
      <c r="GB79" s="1017"/>
      <c r="GC79" s="1017"/>
      <c r="GD79" s="1017"/>
      <c r="GE79" s="1017"/>
      <c r="GF79" s="1017"/>
      <c r="GG79" s="1017"/>
      <c r="GH79" s="1017"/>
      <c r="GI79" s="1017"/>
      <c r="GJ79" s="1017"/>
      <c r="GK79" s="1017"/>
      <c r="GL79" s="1017"/>
      <c r="GM79" s="1017"/>
      <c r="GN79" s="1017"/>
      <c r="GO79" s="1017"/>
      <c r="GP79" s="1017"/>
      <c r="GQ79" s="1017"/>
      <c r="GR79" s="1017"/>
      <c r="GS79" s="1017"/>
      <c r="GT79" s="1017"/>
      <c r="GU79" s="1017"/>
      <c r="GV79" s="1017"/>
      <c r="GW79" s="1017"/>
      <c r="GX79" s="1017"/>
      <c r="GY79" s="1017"/>
      <c r="GZ79" s="1017"/>
      <c r="HA79" s="1017"/>
      <c r="HB79" s="1017"/>
      <c r="HC79" s="1017"/>
      <c r="HD79" s="1017"/>
      <c r="HE79" s="1017"/>
      <c r="HF79" s="1017"/>
      <c r="HG79" s="1017"/>
      <c r="HH79" s="1017"/>
      <c r="HI79" s="1017"/>
      <c r="HJ79" s="1017"/>
      <c r="HK79" s="1017"/>
      <c r="HL79" s="1017"/>
      <c r="HM79" s="1017"/>
      <c r="HN79" s="1017"/>
      <c r="HO79" s="1017"/>
      <c r="HP79" s="1017"/>
      <c r="HQ79" s="1017"/>
      <c r="HR79" s="1017"/>
      <c r="HS79" s="1017"/>
      <c r="HT79" s="1017"/>
      <c r="HU79" s="1017"/>
      <c r="HV79" s="1017"/>
      <c r="HW79" s="1017"/>
      <c r="HX79" s="1017"/>
      <c r="HY79" s="1017"/>
      <c r="HZ79" s="1017"/>
      <c r="IA79" s="1017"/>
      <c r="IB79" s="1017"/>
      <c r="IC79" s="1017"/>
      <c r="ID79" s="1017"/>
      <c r="IE79" s="1017"/>
      <c r="IF79" s="1017"/>
      <c r="IG79" s="1017"/>
      <c r="IH79" s="1017"/>
      <c r="II79" s="1017"/>
      <c r="IJ79" s="1017"/>
      <c r="IK79" s="1017"/>
      <c r="IL79" s="1017"/>
      <c r="IM79" s="1017"/>
    </row>
    <row r="80" spans="1:247">
      <c r="A80" s="1052" t="s">
        <v>432</v>
      </c>
      <c r="B80" s="1053"/>
      <c r="C80" s="1050">
        <f>C70-SUM(C71:C79)</f>
        <v>6209.1233565110579</v>
      </c>
      <c r="D80" s="1045">
        <f>D70-SUM(D71:D79)</f>
        <v>6427.5846464600008</v>
      </c>
      <c r="E80" s="1046">
        <f>E70-SUM(E71:E79)</f>
        <v>6703.62680138</v>
      </c>
      <c r="F80" s="1046">
        <f>F70-SUM(F71:F79)</f>
        <v>6947.8416223200002</v>
      </c>
      <c r="G80" s="1047">
        <f>G70-SUM(G71:G79)</f>
        <v>7135.6153739999991</v>
      </c>
      <c r="H80" s="1048">
        <v>6434.7530238653035</v>
      </c>
      <c r="I80" s="1048">
        <v>6835.8744900163692</v>
      </c>
      <c r="J80" s="1048">
        <v>7259.548528917785</v>
      </c>
      <c r="K80" s="1049">
        <v>7744.1460380266208</v>
      </c>
      <c r="L80" s="1028"/>
      <c r="M80" s="1045">
        <v>-14</v>
      </c>
      <c r="N80" s="1050">
        <f t="shared" si="59"/>
        <v>6420.7530238653035</v>
      </c>
      <c r="O80" s="1045">
        <v>6719.0094528072877</v>
      </c>
      <c r="P80" s="1046">
        <v>7043.4646200182506</v>
      </c>
      <c r="Q80" s="1046">
        <v>7415.7300646050353</v>
      </c>
      <c r="R80" s="1045">
        <f t="shared" si="63"/>
        <v>116.86503720908149</v>
      </c>
      <c r="S80" s="1046">
        <f t="shared" si="61"/>
        <v>216.08390889953444</v>
      </c>
      <c r="T80" s="1046">
        <f t="shared" si="61"/>
        <v>328.41597342158548</v>
      </c>
      <c r="U80" s="1050">
        <f t="shared" si="56"/>
        <v>298.25642894198427</v>
      </c>
      <c r="V80" s="948"/>
      <c r="W80" s="1045">
        <f t="shared" si="62"/>
        <v>6719.0094528072877</v>
      </c>
      <c r="X80" s="1046">
        <v>6703.62680138</v>
      </c>
      <c r="Y80" s="1045">
        <f>X80-W80</f>
        <v>-15.382651427287783</v>
      </c>
      <c r="Z80" s="1051">
        <f t="shared" si="42"/>
        <v>-1.7188216159135253E-2</v>
      </c>
      <c r="AA80" s="958"/>
      <c r="AB80" s="952"/>
      <c r="AC80" s="1017"/>
      <c r="AD80" s="1017"/>
      <c r="AE80" s="1017"/>
      <c r="AF80" s="1017"/>
      <c r="AG80" s="1017"/>
      <c r="AH80" s="1017"/>
      <c r="AI80" s="1017"/>
      <c r="AJ80" s="1017"/>
      <c r="AK80" s="1017"/>
      <c r="AL80" s="1017"/>
      <c r="AM80" s="1017"/>
      <c r="AN80" s="1017"/>
      <c r="AO80" s="1017"/>
      <c r="AP80" s="1017"/>
      <c r="AQ80" s="1017"/>
      <c r="AR80" s="1017"/>
      <c r="AS80" s="1017"/>
      <c r="AT80" s="1017"/>
      <c r="AU80" s="1017"/>
      <c r="AV80" s="1017"/>
      <c r="AW80" s="1017"/>
      <c r="AX80" s="1017"/>
      <c r="AY80" s="1017"/>
      <c r="AZ80" s="1017"/>
      <c r="BA80" s="1017"/>
      <c r="BB80" s="1017"/>
      <c r="BC80" s="1017"/>
      <c r="BD80" s="1017"/>
      <c r="BE80" s="1017"/>
      <c r="BF80" s="1017"/>
      <c r="BG80" s="1017"/>
      <c r="BH80" s="1017"/>
      <c r="BI80" s="1017"/>
      <c r="BJ80" s="1017"/>
      <c r="BK80" s="1017"/>
      <c r="BL80" s="1017"/>
      <c r="BM80" s="1017"/>
      <c r="BN80" s="1017"/>
      <c r="BO80" s="1017"/>
      <c r="BP80" s="1017"/>
      <c r="BQ80" s="1017"/>
      <c r="BR80" s="1017"/>
      <c r="BS80" s="1017"/>
      <c r="BT80" s="1017"/>
      <c r="BU80" s="1017"/>
      <c r="BV80" s="1017"/>
      <c r="BW80" s="1017"/>
      <c r="BX80" s="1017"/>
      <c r="BY80" s="1017"/>
      <c r="BZ80" s="1017"/>
      <c r="CA80" s="1017"/>
      <c r="CB80" s="1017"/>
      <c r="CC80" s="1017"/>
      <c r="CD80" s="1017"/>
      <c r="CE80" s="1017"/>
      <c r="CF80" s="1017"/>
      <c r="CG80" s="1017"/>
      <c r="CH80" s="1017"/>
      <c r="CI80" s="1017"/>
      <c r="CJ80" s="1017"/>
      <c r="CK80" s="1017"/>
      <c r="CL80" s="1017"/>
      <c r="CM80" s="1017"/>
      <c r="CN80" s="1017"/>
      <c r="CO80" s="1017"/>
      <c r="CP80" s="1017"/>
      <c r="CQ80" s="1017"/>
      <c r="CR80" s="1017"/>
      <c r="CS80" s="1017"/>
      <c r="CT80" s="1017"/>
      <c r="CU80" s="1017"/>
      <c r="CV80" s="1017"/>
      <c r="CW80" s="1017"/>
      <c r="CX80" s="1017"/>
      <c r="CY80" s="1017"/>
      <c r="CZ80" s="1017"/>
      <c r="DA80" s="1017"/>
      <c r="DB80" s="1017"/>
      <c r="DC80" s="1017"/>
      <c r="DD80" s="1017"/>
      <c r="DE80" s="1017"/>
      <c r="DF80" s="1017"/>
      <c r="DG80" s="1017"/>
      <c r="DH80" s="1017"/>
      <c r="DI80" s="1017"/>
      <c r="DJ80" s="1017"/>
      <c r="DK80" s="1017"/>
      <c r="DL80" s="1017"/>
      <c r="DM80" s="1017"/>
      <c r="DN80" s="1017"/>
      <c r="DO80" s="1017"/>
      <c r="DP80" s="1017"/>
      <c r="DQ80" s="1017"/>
      <c r="DR80" s="1017"/>
      <c r="DS80" s="1017"/>
      <c r="DT80" s="1017"/>
      <c r="DU80" s="1017"/>
      <c r="DV80" s="1017"/>
      <c r="DW80" s="1017"/>
      <c r="DX80" s="1017"/>
      <c r="DY80" s="1017"/>
      <c r="DZ80" s="1017"/>
      <c r="EA80" s="1017"/>
      <c r="EB80" s="1017"/>
      <c r="EC80" s="1017"/>
      <c r="ED80" s="1017"/>
      <c r="EE80" s="1017"/>
      <c r="EF80" s="1017"/>
      <c r="EG80" s="1017"/>
      <c r="EH80" s="1017"/>
      <c r="EI80" s="1017"/>
      <c r="EJ80" s="1017"/>
      <c r="EK80" s="1017"/>
      <c r="EL80" s="1017"/>
      <c r="EM80" s="1017"/>
      <c r="EN80" s="1017"/>
      <c r="EO80" s="1017"/>
      <c r="EP80" s="1017"/>
      <c r="EQ80" s="1017"/>
      <c r="ER80" s="1017"/>
      <c r="ES80" s="1017"/>
      <c r="ET80" s="1017"/>
      <c r="EU80" s="1017"/>
      <c r="EV80" s="1017"/>
      <c r="EW80" s="1017"/>
      <c r="EX80" s="1017"/>
      <c r="EY80" s="1017"/>
      <c r="EZ80" s="1017"/>
      <c r="FA80" s="1017"/>
      <c r="FB80" s="1017"/>
      <c r="FC80" s="1017"/>
      <c r="FD80" s="1017"/>
      <c r="FE80" s="1017"/>
      <c r="FF80" s="1017"/>
      <c r="FG80" s="1017"/>
      <c r="FH80" s="1017"/>
      <c r="FI80" s="1017"/>
      <c r="FJ80" s="1017"/>
      <c r="FK80" s="1017"/>
      <c r="FL80" s="1017"/>
      <c r="FM80" s="1017"/>
      <c r="FN80" s="1017"/>
      <c r="FO80" s="1017"/>
      <c r="FP80" s="1017"/>
      <c r="FQ80" s="1017"/>
      <c r="FR80" s="1017"/>
      <c r="FS80" s="1017"/>
      <c r="FT80" s="1017"/>
      <c r="FU80" s="1017"/>
      <c r="FV80" s="1017"/>
      <c r="FW80" s="1017"/>
      <c r="FX80" s="1017"/>
      <c r="FY80" s="1017"/>
      <c r="FZ80" s="1017"/>
      <c r="GA80" s="1017"/>
      <c r="GB80" s="1017"/>
      <c r="GC80" s="1017"/>
      <c r="GD80" s="1017"/>
      <c r="GE80" s="1017"/>
      <c r="GF80" s="1017"/>
      <c r="GG80" s="1017"/>
      <c r="GH80" s="1017"/>
      <c r="GI80" s="1017"/>
      <c r="GJ80" s="1017"/>
      <c r="GK80" s="1017"/>
      <c r="GL80" s="1017"/>
      <c r="GM80" s="1017"/>
      <c r="GN80" s="1017"/>
      <c r="GO80" s="1017"/>
      <c r="GP80" s="1017"/>
      <c r="GQ80" s="1017"/>
      <c r="GR80" s="1017"/>
      <c r="GS80" s="1017"/>
      <c r="GT80" s="1017"/>
      <c r="GU80" s="1017"/>
      <c r="GV80" s="1017"/>
      <c r="GW80" s="1017"/>
      <c r="GX80" s="1017"/>
      <c r="GY80" s="1017"/>
      <c r="GZ80" s="1017"/>
      <c r="HA80" s="1017"/>
      <c r="HB80" s="1017"/>
      <c r="HC80" s="1017"/>
      <c r="HD80" s="1017"/>
      <c r="HE80" s="1017"/>
      <c r="HF80" s="1017"/>
      <c r="HG80" s="1017"/>
      <c r="HH80" s="1017"/>
      <c r="HI80" s="1017"/>
      <c r="HJ80" s="1017"/>
      <c r="HK80" s="1017"/>
      <c r="HL80" s="1017"/>
      <c r="HM80" s="1017"/>
      <c r="HN80" s="1017"/>
      <c r="HO80" s="1017"/>
      <c r="HP80" s="1017"/>
      <c r="HQ80" s="1017"/>
      <c r="HR80" s="1017"/>
      <c r="HS80" s="1017"/>
      <c r="HT80" s="1017"/>
      <c r="HU80" s="1017"/>
      <c r="HV80" s="1017"/>
      <c r="HW80" s="1017"/>
      <c r="HX80" s="1017"/>
      <c r="HY80" s="1017"/>
      <c r="HZ80" s="1017"/>
      <c r="IA80" s="1017"/>
      <c r="IB80" s="1017"/>
      <c r="IC80" s="1017"/>
      <c r="ID80" s="1017"/>
      <c r="IE80" s="1017"/>
      <c r="IF80" s="1017"/>
      <c r="IG80" s="1017"/>
      <c r="IH80" s="1017"/>
      <c r="II80" s="1017"/>
      <c r="IJ80" s="1017"/>
      <c r="IK80" s="1017"/>
      <c r="IL80" s="1017"/>
      <c r="IM80" s="1017"/>
    </row>
    <row r="81" spans="1:247" s="957" customFormat="1">
      <c r="A81" s="790" t="s">
        <v>42</v>
      </c>
      <c r="B81" s="1060" t="s">
        <v>721</v>
      </c>
      <c r="C81" s="1034">
        <v>4459.0209999999997</v>
      </c>
      <c r="D81" s="1061">
        <v>5034.107</v>
      </c>
      <c r="E81" s="1062">
        <v>4887.9690000000001</v>
      </c>
      <c r="F81" s="1062">
        <v>4919.6350000000002</v>
      </c>
      <c r="G81" s="1063">
        <v>5203.3280000000004</v>
      </c>
      <c r="H81" s="1064">
        <f t="shared" ref="H81" si="66">SUM(H82:H101)</f>
        <v>4817.5402195796933</v>
      </c>
      <c r="I81" s="1064">
        <f t="shared" ref="I81:K81" si="67">SUM(I82:I101)</f>
        <v>4894.315604176636</v>
      </c>
      <c r="J81" s="1064">
        <f t="shared" si="67"/>
        <v>4999.6524090221956</v>
      </c>
      <c r="K81" s="1065">
        <f t="shared" si="67"/>
        <v>5221.4795987743637</v>
      </c>
      <c r="L81" s="1028"/>
      <c r="M81" s="1066">
        <f>SUM(M82:M101)</f>
        <v>0</v>
      </c>
      <c r="N81" s="1034">
        <f t="shared" si="59"/>
        <v>4817.5402195796933</v>
      </c>
      <c r="O81" s="1066">
        <f t="shared" ref="O81:T81" si="68">SUM(O82:O101)</f>
        <v>4932.5558600160812</v>
      </c>
      <c r="P81" s="1062">
        <f t="shared" si="68"/>
        <v>5045.5760515186139</v>
      </c>
      <c r="Q81" s="1062">
        <f t="shared" si="68"/>
        <v>5198.765324936312</v>
      </c>
      <c r="R81" s="1066">
        <f t="shared" si="68"/>
        <v>-38.240255839445553</v>
      </c>
      <c r="S81" s="1062">
        <f t="shared" si="68"/>
        <v>-45.923642496418097</v>
      </c>
      <c r="T81" s="1062">
        <f t="shared" si="68"/>
        <v>22.714273838052478</v>
      </c>
      <c r="U81" s="1034">
        <f t="shared" si="56"/>
        <v>115.01564043638791</v>
      </c>
      <c r="V81" s="1100"/>
      <c r="W81" s="1066">
        <f>SUM(W82:W101)</f>
        <v>4932.5558600160812</v>
      </c>
      <c r="X81" s="1062">
        <f>SUM(X82:X101)</f>
        <v>4987.0109105074025</v>
      </c>
      <c r="Y81" s="1066">
        <f>SUM(Y82:Y101)</f>
        <v>54.45505049132089</v>
      </c>
      <c r="Z81" s="1067">
        <f t="shared" si="42"/>
        <v>6.0846804156341562E-2</v>
      </c>
      <c r="AA81" s="1042"/>
      <c r="AB81" s="952"/>
      <c r="AC81" s="1042"/>
      <c r="AD81" s="1042"/>
      <c r="AE81" s="1042"/>
      <c r="AF81" s="1042"/>
      <c r="AG81" s="1042"/>
      <c r="AH81" s="1042"/>
      <c r="AI81" s="1042"/>
      <c r="AJ81" s="1042"/>
      <c r="AK81" s="1042"/>
      <c r="AL81" s="1042"/>
      <c r="AM81" s="1042"/>
      <c r="AN81" s="1042"/>
      <c r="AO81" s="1042"/>
      <c r="AP81" s="1042"/>
      <c r="AQ81" s="1042"/>
      <c r="AR81" s="1042"/>
      <c r="AS81" s="1042"/>
      <c r="AT81" s="1042"/>
      <c r="AU81" s="1042"/>
      <c r="AV81" s="1042"/>
      <c r="AW81" s="1042"/>
      <c r="AX81" s="1042"/>
      <c r="AY81" s="1042"/>
      <c r="AZ81" s="1042"/>
      <c r="BA81" s="1042"/>
      <c r="BB81" s="1042"/>
      <c r="BC81" s="1042"/>
      <c r="BD81" s="1042"/>
      <c r="BE81" s="1042"/>
      <c r="BF81" s="1042"/>
      <c r="BG81" s="1042"/>
      <c r="BH81" s="1042"/>
      <c r="BI81" s="1042"/>
      <c r="BJ81" s="1042"/>
      <c r="BK81" s="1042"/>
      <c r="BL81" s="1042"/>
      <c r="BM81" s="1042"/>
      <c r="BN81" s="1042"/>
      <c r="BO81" s="1042"/>
      <c r="BP81" s="1042"/>
      <c r="BQ81" s="1042"/>
      <c r="BR81" s="1042"/>
      <c r="BS81" s="1042"/>
      <c r="BT81" s="1042"/>
      <c r="BU81" s="1042"/>
      <c r="BV81" s="1042"/>
      <c r="BW81" s="1042"/>
      <c r="BX81" s="1042"/>
      <c r="BY81" s="1042"/>
      <c r="BZ81" s="1042"/>
      <c r="CA81" s="1042"/>
      <c r="CB81" s="1042"/>
      <c r="CC81" s="1042"/>
      <c r="CD81" s="1042"/>
      <c r="CE81" s="1042"/>
      <c r="CF81" s="1042"/>
      <c r="CG81" s="1042"/>
      <c r="CH81" s="1042"/>
      <c r="CI81" s="1042"/>
      <c r="CJ81" s="1042"/>
      <c r="CK81" s="1042"/>
      <c r="CL81" s="1042"/>
      <c r="CM81" s="1042"/>
      <c r="CN81" s="1042"/>
      <c r="CO81" s="1042"/>
      <c r="CP81" s="1042"/>
      <c r="CQ81" s="1042"/>
      <c r="CR81" s="1042"/>
      <c r="CS81" s="1042"/>
      <c r="CT81" s="1042"/>
      <c r="CU81" s="1042"/>
      <c r="CV81" s="1042"/>
      <c r="CW81" s="1042"/>
      <c r="CX81" s="1042"/>
      <c r="CY81" s="1042"/>
      <c r="CZ81" s="1042"/>
      <c r="DA81" s="1042"/>
      <c r="DB81" s="1042"/>
      <c r="DC81" s="1042"/>
      <c r="DD81" s="1042"/>
      <c r="DE81" s="1042"/>
      <c r="DF81" s="1042"/>
      <c r="DG81" s="1042"/>
      <c r="DH81" s="1042"/>
      <c r="DI81" s="1042"/>
      <c r="DJ81" s="1042"/>
      <c r="DK81" s="1042"/>
      <c r="DL81" s="1042"/>
      <c r="DM81" s="1042"/>
      <c r="DN81" s="1042"/>
      <c r="DO81" s="1042"/>
      <c r="DP81" s="1042"/>
      <c r="DQ81" s="1042"/>
      <c r="DR81" s="1042"/>
      <c r="DS81" s="1042"/>
      <c r="DT81" s="1042"/>
      <c r="DU81" s="1042"/>
      <c r="DV81" s="1042"/>
      <c r="DW81" s="1042"/>
      <c r="DX81" s="1042"/>
      <c r="DY81" s="1042"/>
      <c r="DZ81" s="1042"/>
      <c r="EA81" s="1042"/>
      <c r="EB81" s="1042"/>
      <c r="EC81" s="1042"/>
      <c r="ED81" s="1042"/>
      <c r="EE81" s="1042"/>
      <c r="EF81" s="1042"/>
      <c r="EG81" s="1042"/>
      <c r="EH81" s="1042"/>
      <c r="EI81" s="1042"/>
      <c r="EJ81" s="1042"/>
      <c r="EK81" s="1042"/>
      <c r="EL81" s="1042"/>
      <c r="EM81" s="1042"/>
      <c r="EN81" s="1042"/>
      <c r="EO81" s="1042"/>
      <c r="EP81" s="1042"/>
      <c r="EQ81" s="1042"/>
      <c r="ER81" s="1042"/>
      <c r="ES81" s="1042"/>
      <c r="ET81" s="1042"/>
      <c r="EU81" s="1042"/>
      <c r="EV81" s="1042"/>
      <c r="EW81" s="1042"/>
      <c r="EX81" s="1042"/>
      <c r="EY81" s="1042"/>
      <c r="EZ81" s="1042"/>
      <c r="FA81" s="1042"/>
      <c r="FB81" s="1042"/>
      <c r="FC81" s="1042"/>
      <c r="FD81" s="1042"/>
      <c r="FE81" s="1042"/>
      <c r="FF81" s="1042"/>
      <c r="FG81" s="1042"/>
      <c r="FH81" s="1042"/>
      <c r="FI81" s="1042"/>
      <c r="FJ81" s="1042"/>
      <c r="FK81" s="1042"/>
      <c r="FL81" s="1042"/>
      <c r="FM81" s="1042"/>
      <c r="FN81" s="1042"/>
      <c r="FO81" s="1042"/>
      <c r="FP81" s="1042"/>
      <c r="FQ81" s="1042"/>
      <c r="FR81" s="1042"/>
      <c r="FS81" s="1042"/>
      <c r="FT81" s="1042"/>
      <c r="FU81" s="1042"/>
      <c r="FV81" s="1042"/>
      <c r="FW81" s="1042"/>
      <c r="FX81" s="1042"/>
      <c r="FY81" s="1042"/>
      <c r="FZ81" s="1042"/>
      <c r="GA81" s="1042"/>
      <c r="GB81" s="1042"/>
      <c r="GC81" s="1042"/>
      <c r="GD81" s="1042"/>
      <c r="GE81" s="1042"/>
      <c r="GF81" s="1042"/>
      <c r="GG81" s="1042"/>
      <c r="GH81" s="1042"/>
      <c r="GI81" s="1042"/>
      <c r="GJ81" s="1042"/>
      <c r="GK81" s="1042"/>
      <c r="GL81" s="1042"/>
      <c r="GM81" s="1042"/>
      <c r="GN81" s="1042"/>
      <c r="GO81" s="1042"/>
      <c r="GP81" s="1042"/>
      <c r="GQ81" s="1042"/>
      <c r="GR81" s="1042"/>
      <c r="GS81" s="1042"/>
      <c r="GT81" s="1042"/>
      <c r="GU81" s="1042"/>
      <c r="GV81" s="1042"/>
      <c r="GW81" s="1042"/>
      <c r="GX81" s="1042"/>
      <c r="GY81" s="1042"/>
      <c r="GZ81" s="1042"/>
      <c r="HA81" s="1042"/>
      <c r="HB81" s="1042"/>
      <c r="HC81" s="1042"/>
      <c r="HD81" s="1042"/>
      <c r="HE81" s="1042"/>
      <c r="HF81" s="1042"/>
      <c r="HG81" s="1042"/>
      <c r="HH81" s="1042"/>
      <c r="HI81" s="1042"/>
      <c r="HJ81" s="1042"/>
      <c r="HK81" s="1042"/>
      <c r="HL81" s="1042"/>
      <c r="HM81" s="1042"/>
      <c r="HN81" s="1042"/>
      <c r="HO81" s="1042"/>
      <c r="HP81" s="1042"/>
      <c r="HQ81" s="1042"/>
      <c r="HR81" s="1042"/>
      <c r="HS81" s="1042"/>
      <c r="HT81" s="1042"/>
      <c r="HU81" s="1042"/>
      <c r="HV81" s="1042"/>
      <c r="HW81" s="1042"/>
      <c r="HX81" s="1042"/>
      <c r="HY81" s="1042"/>
      <c r="HZ81" s="1042"/>
      <c r="IA81" s="1042"/>
      <c r="IB81" s="1042"/>
      <c r="IC81" s="1042"/>
      <c r="ID81" s="1042"/>
      <c r="IE81" s="1042"/>
      <c r="IF81" s="1042"/>
      <c r="IG81" s="1042"/>
      <c r="IH81" s="1042"/>
      <c r="II81" s="1042"/>
      <c r="IJ81" s="1042"/>
      <c r="IK81" s="1042"/>
      <c r="IL81" s="1042"/>
      <c r="IM81" s="1042"/>
    </row>
    <row r="82" spans="1:247">
      <c r="A82" s="1052" t="s">
        <v>953</v>
      </c>
      <c r="B82" s="1060"/>
      <c r="C82" s="1050">
        <v>195.057231468357</v>
      </c>
      <c r="D82" s="1045">
        <v>220.61799999999999</v>
      </c>
      <c r="E82" s="1046">
        <f>2.639393+59.55399</f>
        <v>62.193382999999997</v>
      </c>
      <c r="F82" s="1046">
        <f>16.307105+176.684304</f>
        <v>192.991409</v>
      </c>
      <c r="G82" s="1047">
        <f>20.415747+153.674509</f>
        <v>174.09025600000001</v>
      </c>
      <c r="H82" s="1048">
        <v>37.530673517372861</v>
      </c>
      <c r="I82" s="1048">
        <v>38.27781390248699</v>
      </c>
      <c r="J82" s="1048">
        <v>38.949783388401642</v>
      </c>
      <c r="K82" s="1049">
        <v>39.755407509259669</v>
      </c>
      <c r="L82" s="1028"/>
      <c r="M82" s="1045"/>
      <c r="N82" s="1050">
        <f t="shared" si="59"/>
        <v>37.530673517372861</v>
      </c>
      <c r="O82" s="1045">
        <f>I82</f>
        <v>38.27781390248699</v>
      </c>
      <c r="P82" s="1046">
        <f t="shared" ref="P82:Q83" si="69">J82</f>
        <v>38.949783388401642</v>
      </c>
      <c r="Q82" s="1046">
        <f t="shared" si="69"/>
        <v>39.755407509259669</v>
      </c>
      <c r="R82" s="1045">
        <f>I82-O82</f>
        <v>0</v>
      </c>
      <c r="S82" s="1046">
        <f t="shared" ref="S82:T97" si="70">J82-P82</f>
        <v>0</v>
      </c>
      <c r="T82" s="1046">
        <f t="shared" si="70"/>
        <v>0</v>
      </c>
      <c r="U82" s="1050">
        <f t="shared" si="56"/>
        <v>0.74714038511412895</v>
      </c>
      <c r="V82" s="948"/>
      <c r="W82" s="1045">
        <f>O82</f>
        <v>38.27781390248699</v>
      </c>
      <c r="X82" s="1046">
        <v>62.193382999999997</v>
      </c>
      <c r="Y82" s="1045">
        <f t="shared" si="7"/>
        <v>23.915569097513007</v>
      </c>
      <c r="Z82" s="1051">
        <f t="shared" si="42"/>
        <v>2.6722699474785311E-2</v>
      </c>
      <c r="AA82" s="1017"/>
      <c r="AB82" s="952"/>
      <c r="AC82" s="1017"/>
      <c r="AD82" s="1017"/>
      <c r="AE82" s="1017"/>
      <c r="AF82" s="1017"/>
      <c r="AG82" s="1017"/>
      <c r="AH82" s="1017"/>
      <c r="AI82" s="1017"/>
      <c r="AJ82" s="1017"/>
      <c r="AK82" s="1017"/>
      <c r="AL82" s="1017"/>
      <c r="AM82" s="1017"/>
      <c r="AN82" s="1017"/>
      <c r="AO82" s="1017"/>
      <c r="AP82" s="1017"/>
      <c r="AQ82" s="1017"/>
      <c r="AR82" s="1017"/>
      <c r="AS82" s="1017"/>
      <c r="AT82" s="1017"/>
      <c r="AU82" s="1017"/>
      <c r="AV82" s="1017"/>
      <c r="AW82" s="1017"/>
      <c r="AX82" s="1017"/>
      <c r="AY82" s="1017"/>
      <c r="AZ82" s="1017"/>
      <c r="BA82" s="1017"/>
      <c r="BB82" s="1017"/>
      <c r="BC82" s="1017"/>
      <c r="BD82" s="1017"/>
      <c r="BE82" s="1017"/>
      <c r="BF82" s="1017"/>
      <c r="BG82" s="1017"/>
      <c r="BH82" s="1017"/>
      <c r="BI82" s="1017"/>
      <c r="BJ82" s="1017"/>
      <c r="BK82" s="1017"/>
      <c r="BL82" s="1017"/>
      <c r="BM82" s="1017"/>
      <c r="BN82" s="1017"/>
      <c r="BO82" s="1017"/>
      <c r="BP82" s="1017"/>
      <c r="BQ82" s="1017"/>
      <c r="BR82" s="1017"/>
      <c r="BS82" s="1017"/>
      <c r="BT82" s="1017"/>
      <c r="BU82" s="1017"/>
      <c r="BV82" s="1017"/>
      <c r="BW82" s="1017"/>
      <c r="BX82" s="1017"/>
      <c r="BY82" s="1017"/>
      <c r="BZ82" s="1017"/>
      <c r="CA82" s="1017"/>
      <c r="CB82" s="1017"/>
      <c r="CC82" s="1017"/>
      <c r="CD82" s="1017"/>
      <c r="CE82" s="1017"/>
      <c r="CF82" s="1017"/>
      <c r="CG82" s="1017"/>
      <c r="CH82" s="1017"/>
      <c r="CI82" s="1017"/>
      <c r="CJ82" s="1017"/>
      <c r="CK82" s="1017"/>
      <c r="CL82" s="1017"/>
      <c r="CM82" s="1017"/>
      <c r="CN82" s="1017"/>
      <c r="CO82" s="1017"/>
      <c r="CP82" s="1017"/>
      <c r="CQ82" s="1017"/>
      <c r="CR82" s="1017"/>
      <c r="CS82" s="1017"/>
      <c r="CT82" s="1017"/>
      <c r="CU82" s="1017"/>
      <c r="CV82" s="1017"/>
      <c r="CW82" s="1017"/>
      <c r="CX82" s="1017"/>
      <c r="CY82" s="1017"/>
      <c r="CZ82" s="1017"/>
      <c r="DA82" s="1017"/>
      <c r="DB82" s="1017"/>
      <c r="DC82" s="1017"/>
      <c r="DD82" s="1017"/>
      <c r="DE82" s="1017"/>
      <c r="DF82" s="1017"/>
      <c r="DG82" s="1017"/>
      <c r="DH82" s="1017"/>
      <c r="DI82" s="1017"/>
      <c r="DJ82" s="1017"/>
      <c r="DK82" s="1017"/>
      <c r="DL82" s="1017"/>
      <c r="DM82" s="1017"/>
      <c r="DN82" s="1017"/>
      <c r="DO82" s="1017"/>
      <c r="DP82" s="1017"/>
      <c r="DQ82" s="1017"/>
      <c r="DR82" s="1017"/>
      <c r="DS82" s="1017"/>
      <c r="DT82" s="1017"/>
      <c r="DU82" s="1017"/>
      <c r="DV82" s="1017"/>
      <c r="DW82" s="1017"/>
      <c r="DX82" s="1017"/>
      <c r="DY82" s="1017"/>
      <c r="DZ82" s="1017"/>
      <c r="EA82" s="1017"/>
      <c r="EB82" s="1017"/>
      <c r="EC82" s="1017"/>
      <c r="ED82" s="1017"/>
      <c r="EE82" s="1017"/>
      <c r="EF82" s="1017"/>
      <c r="EG82" s="1017"/>
      <c r="EH82" s="1017"/>
      <c r="EI82" s="1017"/>
      <c r="EJ82" s="1017"/>
      <c r="EK82" s="1017"/>
      <c r="EL82" s="1017"/>
      <c r="EM82" s="1017"/>
      <c r="EN82" s="1017"/>
      <c r="EO82" s="1017"/>
      <c r="EP82" s="1017"/>
      <c r="EQ82" s="1017"/>
      <c r="ER82" s="1017"/>
      <c r="ES82" s="1017"/>
      <c r="ET82" s="1017"/>
      <c r="EU82" s="1017"/>
      <c r="EV82" s="1017"/>
      <c r="EW82" s="1017"/>
      <c r="EX82" s="1017"/>
      <c r="EY82" s="1017"/>
      <c r="EZ82" s="1017"/>
      <c r="FA82" s="1017"/>
      <c r="FB82" s="1017"/>
      <c r="FC82" s="1017"/>
      <c r="FD82" s="1017"/>
      <c r="FE82" s="1017"/>
      <c r="FF82" s="1017"/>
      <c r="FG82" s="1017"/>
      <c r="FH82" s="1017"/>
      <c r="FI82" s="1017"/>
      <c r="FJ82" s="1017"/>
      <c r="FK82" s="1017"/>
      <c r="FL82" s="1017"/>
      <c r="FM82" s="1017"/>
      <c r="FN82" s="1017"/>
      <c r="FO82" s="1017"/>
      <c r="FP82" s="1017"/>
      <c r="FQ82" s="1017"/>
      <c r="FR82" s="1017"/>
      <c r="FS82" s="1017"/>
      <c r="FT82" s="1017"/>
      <c r="FU82" s="1017"/>
      <c r="FV82" s="1017"/>
      <c r="FW82" s="1017"/>
      <c r="FX82" s="1017"/>
      <c r="FY82" s="1017"/>
      <c r="FZ82" s="1017"/>
      <c r="GA82" s="1017"/>
      <c r="GB82" s="1017"/>
      <c r="GC82" s="1017"/>
      <c r="GD82" s="1017"/>
      <c r="GE82" s="1017"/>
      <c r="GF82" s="1017"/>
      <c r="GG82" s="1017"/>
      <c r="GH82" s="1017"/>
      <c r="GI82" s="1017"/>
      <c r="GJ82" s="1017"/>
      <c r="GK82" s="1017"/>
      <c r="GL82" s="1017"/>
      <c r="GM82" s="1017"/>
      <c r="GN82" s="1017"/>
      <c r="GO82" s="1017"/>
      <c r="GP82" s="1017"/>
      <c r="GQ82" s="1017"/>
      <c r="GR82" s="1017"/>
      <c r="GS82" s="1017"/>
      <c r="GT82" s="1017"/>
      <c r="GU82" s="1017"/>
      <c r="GV82" s="1017"/>
      <c r="GW82" s="1017"/>
      <c r="GX82" s="1017"/>
      <c r="GY82" s="1017"/>
      <c r="GZ82" s="1017"/>
      <c r="HA82" s="1017"/>
      <c r="HB82" s="1017"/>
      <c r="HC82" s="1017"/>
      <c r="HD82" s="1017"/>
      <c r="HE82" s="1017"/>
      <c r="HF82" s="1017"/>
      <c r="HG82" s="1017"/>
      <c r="HH82" s="1017"/>
      <c r="HI82" s="1017"/>
      <c r="HJ82" s="1017"/>
      <c r="HK82" s="1017"/>
      <c r="HL82" s="1017"/>
      <c r="HM82" s="1017"/>
      <c r="HN82" s="1017"/>
      <c r="HO82" s="1017"/>
      <c r="HP82" s="1017"/>
      <c r="HQ82" s="1017"/>
      <c r="HR82" s="1017"/>
      <c r="HS82" s="1017"/>
      <c r="HT82" s="1017"/>
      <c r="HU82" s="1017"/>
      <c r="HV82" s="1017"/>
      <c r="HW82" s="1017"/>
      <c r="HX82" s="1017"/>
      <c r="HY82" s="1017"/>
      <c r="HZ82" s="1017"/>
      <c r="IA82" s="1017"/>
      <c r="IB82" s="1017"/>
      <c r="IC82" s="1017"/>
      <c r="ID82" s="1017"/>
      <c r="IE82" s="1017"/>
      <c r="IF82" s="1017"/>
      <c r="IG82" s="1017"/>
      <c r="IH82" s="1017"/>
      <c r="II82" s="1017"/>
      <c r="IJ82" s="1017"/>
      <c r="IK82" s="1017"/>
      <c r="IL82" s="1017"/>
      <c r="IM82" s="1017"/>
    </row>
    <row r="83" spans="1:247">
      <c r="A83" s="1052" t="s">
        <v>960</v>
      </c>
      <c r="B83" s="1060"/>
      <c r="C83" s="1050">
        <v>24.94344628</v>
      </c>
      <c r="D83" s="1045">
        <v>66.144999999999996</v>
      </c>
      <c r="E83" s="1046">
        <f>8.392516+1.899224+17.738855</f>
        <v>28.030595000000002</v>
      </c>
      <c r="F83" s="1046">
        <f>27.56131832+30.635458+8.699671</f>
        <v>66.896447319999993</v>
      </c>
      <c r="G83" s="1047">
        <f>20.42860552+39.199153+10.050819</f>
        <v>69.678577520000005</v>
      </c>
      <c r="H83" s="1048">
        <v>8.5765250383304945</v>
      </c>
      <c r="I83" s="1048">
        <v>8.7472618682227967</v>
      </c>
      <c r="J83" s="1048">
        <v>8.9008206131324314</v>
      </c>
      <c r="K83" s="1049">
        <v>9.0849221705111844</v>
      </c>
      <c r="L83" s="1028"/>
      <c r="M83" s="1045"/>
      <c r="N83" s="1050">
        <f t="shared" si="59"/>
        <v>8.5765250383304945</v>
      </c>
      <c r="O83" s="1045">
        <f>I83</f>
        <v>8.7472618682227967</v>
      </c>
      <c r="P83" s="1046">
        <f t="shared" si="69"/>
        <v>8.9008206131324314</v>
      </c>
      <c r="Q83" s="1046">
        <f t="shared" si="69"/>
        <v>9.0849221705111844</v>
      </c>
      <c r="R83" s="1045">
        <f t="shared" ref="R83:T101" si="71">I83-O83</f>
        <v>0</v>
      </c>
      <c r="S83" s="1046">
        <f t="shared" si="70"/>
        <v>0</v>
      </c>
      <c r="T83" s="1046">
        <f t="shared" si="70"/>
        <v>0</v>
      </c>
      <c r="U83" s="1050">
        <f t="shared" si="56"/>
        <v>0.17073682989230221</v>
      </c>
      <c r="V83" s="948"/>
      <c r="W83" s="1045">
        <f>O83</f>
        <v>8.7472618682227967</v>
      </c>
      <c r="X83" s="1046">
        <v>28.030595000000002</v>
      </c>
      <c r="Y83" s="1045">
        <f t="shared" si="7"/>
        <v>19.283333131777205</v>
      </c>
      <c r="Z83" s="1051">
        <f t="shared" si="42"/>
        <v>2.1546746976898807E-2</v>
      </c>
      <c r="AA83" s="1017"/>
      <c r="AB83" s="952"/>
      <c r="AC83" s="1017"/>
      <c r="AD83" s="1017"/>
      <c r="AE83" s="1017"/>
      <c r="AF83" s="1017"/>
      <c r="AG83" s="1017"/>
      <c r="AH83" s="1017"/>
      <c r="AI83" s="1017"/>
      <c r="AJ83" s="1017"/>
      <c r="AK83" s="1017"/>
      <c r="AL83" s="1017"/>
      <c r="AM83" s="1017"/>
      <c r="AN83" s="1017"/>
      <c r="AO83" s="1017"/>
      <c r="AP83" s="1017"/>
      <c r="AQ83" s="1017"/>
      <c r="AR83" s="1017"/>
      <c r="AS83" s="1017"/>
      <c r="AT83" s="1017"/>
      <c r="AU83" s="1017"/>
      <c r="AV83" s="1017"/>
      <c r="AW83" s="1017"/>
      <c r="AX83" s="1017"/>
      <c r="AY83" s="1017"/>
      <c r="AZ83" s="1017"/>
      <c r="BA83" s="1017"/>
      <c r="BB83" s="1017"/>
      <c r="BC83" s="1017"/>
      <c r="BD83" s="1017"/>
      <c r="BE83" s="1017"/>
      <c r="BF83" s="1017"/>
      <c r="BG83" s="1017"/>
      <c r="BH83" s="1017"/>
      <c r="BI83" s="1017"/>
      <c r="BJ83" s="1017"/>
      <c r="BK83" s="1017"/>
      <c r="BL83" s="1017"/>
      <c r="BM83" s="1017"/>
      <c r="BN83" s="1017"/>
      <c r="BO83" s="1017"/>
      <c r="BP83" s="1017"/>
      <c r="BQ83" s="1017"/>
      <c r="BR83" s="1017"/>
      <c r="BS83" s="1017"/>
      <c r="BT83" s="1017"/>
      <c r="BU83" s="1017"/>
      <c r="BV83" s="1017"/>
      <c r="BW83" s="1017"/>
      <c r="BX83" s="1017"/>
      <c r="BY83" s="1017"/>
      <c r="BZ83" s="1017"/>
      <c r="CA83" s="1017"/>
      <c r="CB83" s="1017"/>
      <c r="CC83" s="1017"/>
      <c r="CD83" s="1017"/>
      <c r="CE83" s="1017"/>
      <c r="CF83" s="1017"/>
      <c r="CG83" s="1017"/>
      <c r="CH83" s="1017"/>
      <c r="CI83" s="1017"/>
      <c r="CJ83" s="1017"/>
      <c r="CK83" s="1017"/>
      <c r="CL83" s="1017"/>
      <c r="CM83" s="1017"/>
      <c r="CN83" s="1017"/>
      <c r="CO83" s="1017"/>
      <c r="CP83" s="1017"/>
      <c r="CQ83" s="1017"/>
      <c r="CR83" s="1017"/>
      <c r="CS83" s="1017"/>
      <c r="CT83" s="1017"/>
      <c r="CU83" s="1017"/>
      <c r="CV83" s="1017"/>
      <c r="CW83" s="1017"/>
      <c r="CX83" s="1017"/>
      <c r="CY83" s="1017"/>
      <c r="CZ83" s="1017"/>
      <c r="DA83" s="1017"/>
      <c r="DB83" s="1017"/>
      <c r="DC83" s="1017"/>
      <c r="DD83" s="1017"/>
      <c r="DE83" s="1017"/>
      <c r="DF83" s="1017"/>
      <c r="DG83" s="1017"/>
      <c r="DH83" s="1017"/>
      <c r="DI83" s="1017"/>
      <c r="DJ83" s="1017"/>
      <c r="DK83" s="1017"/>
      <c r="DL83" s="1017"/>
      <c r="DM83" s="1017"/>
      <c r="DN83" s="1017"/>
      <c r="DO83" s="1017"/>
      <c r="DP83" s="1017"/>
      <c r="DQ83" s="1017"/>
      <c r="DR83" s="1017"/>
      <c r="DS83" s="1017"/>
      <c r="DT83" s="1017"/>
      <c r="DU83" s="1017"/>
      <c r="DV83" s="1017"/>
      <c r="DW83" s="1017"/>
      <c r="DX83" s="1017"/>
      <c r="DY83" s="1017"/>
      <c r="DZ83" s="1017"/>
      <c r="EA83" s="1017"/>
      <c r="EB83" s="1017"/>
      <c r="EC83" s="1017"/>
      <c r="ED83" s="1017"/>
      <c r="EE83" s="1017"/>
      <c r="EF83" s="1017"/>
      <c r="EG83" s="1017"/>
      <c r="EH83" s="1017"/>
      <c r="EI83" s="1017"/>
      <c r="EJ83" s="1017"/>
      <c r="EK83" s="1017"/>
      <c r="EL83" s="1017"/>
      <c r="EM83" s="1017"/>
      <c r="EN83" s="1017"/>
      <c r="EO83" s="1017"/>
      <c r="EP83" s="1017"/>
      <c r="EQ83" s="1017"/>
      <c r="ER83" s="1017"/>
      <c r="ES83" s="1017"/>
      <c r="ET83" s="1017"/>
      <c r="EU83" s="1017"/>
      <c r="EV83" s="1017"/>
      <c r="EW83" s="1017"/>
      <c r="EX83" s="1017"/>
      <c r="EY83" s="1017"/>
      <c r="EZ83" s="1017"/>
      <c r="FA83" s="1017"/>
      <c r="FB83" s="1017"/>
      <c r="FC83" s="1017"/>
      <c r="FD83" s="1017"/>
      <c r="FE83" s="1017"/>
      <c r="FF83" s="1017"/>
      <c r="FG83" s="1017"/>
      <c r="FH83" s="1017"/>
      <c r="FI83" s="1017"/>
      <c r="FJ83" s="1017"/>
      <c r="FK83" s="1017"/>
      <c r="FL83" s="1017"/>
      <c r="FM83" s="1017"/>
      <c r="FN83" s="1017"/>
      <c r="FO83" s="1017"/>
      <c r="FP83" s="1017"/>
      <c r="FQ83" s="1017"/>
      <c r="FR83" s="1017"/>
      <c r="FS83" s="1017"/>
      <c r="FT83" s="1017"/>
      <c r="FU83" s="1017"/>
      <c r="FV83" s="1017"/>
      <c r="FW83" s="1017"/>
      <c r="FX83" s="1017"/>
      <c r="FY83" s="1017"/>
      <c r="FZ83" s="1017"/>
      <c r="GA83" s="1017"/>
      <c r="GB83" s="1017"/>
      <c r="GC83" s="1017"/>
      <c r="GD83" s="1017"/>
      <c r="GE83" s="1017"/>
      <c r="GF83" s="1017"/>
      <c r="GG83" s="1017"/>
      <c r="GH83" s="1017"/>
      <c r="GI83" s="1017"/>
      <c r="GJ83" s="1017"/>
      <c r="GK83" s="1017"/>
      <c r="GL83" s="1017"/>
      <c r="GM83" s="1017"/>
      <c r="GN83" s="1017"/>
      <c r="GO83" s="1017"/>
      <c r="GP83" s="1017"/>
      <c r="GQ83" s="1017"/>
      <c r="GR83" s="1017"/>
      <c r="GS83" s="1017"/>
      <c r="GT83" s="1017"/>
      <c r="GU83" s="1017"/>
      <c r="GV83" s="1017"/>
      <c r="GW83" s="1017"/>
      <c r="GX83" s="1017"/>
      <c r="GY83" s="1017"/>
      <c r="GZ83" s="1017"/>
      <c r="HA83" s="1017"/>
      <c r="HB83" s="1017"/>
      <c r="HC83" s="1017"/>
      <c r="HD83" s="1017"/>
      <c r="HE83" s="1017"/>
      <c r="HF83" s="1017"/>
      <c r="HG83" s="1017"/>
      <c r="HH83" s="1017"/>
      <c r="HI83" s="1017"/>
      <c r="HJ83" s="1017"/>
      <c r="HK83" s="1017"/>
      <c r="HL83" s="1017"/>
      <c r="HM83" s="1017"/>
      <c r="HN83" s="1017"/>
      <c r="HO83" s="1017"/>
      <c r="HP83" s="1017"/>
      <c r="HQ83" s="1017"/>
      <c r="HR83" s="1017"/>
      <c r="HS83" s="1017"/>
      <c r="HT83" s="1017"/>
      <c r="HU83" s="1017"/>
      <c r="HV83" s="1017"/>
      <c r="HW83" s="1017"/>
      <c r="HX83" s="1017"/>
      <c r="HY83" s="1017"/>
      <c r="HZ83" s="1017"/>
      <c r="IA83" s="1017"/>
      <c r="IB83" s="1017"/>
      <c r="IC83" s="1017"/>
      <c r="ID83" s="1017"/>
      <c r="IE83" s="1017"/>
      <c r="IF83" s="1017"/>
      <c r="IG83" s="1017"/>
      <c r="IH83" s="1017"/>
      <c r="II83" s="1017"/>
      <c r="IJ83" s="1017"/>
      <c r="IK83" s="1017"/>
      <c r="IL83" s="1017"/>
      <c r="IM83" s="1017"/>
    </row>
    <row r="84" spans="1:247">
      <c r="A84" s="1052" t="s">
        <v>962</v>
      </c>
      <c r="B84" s="1053"/>
      <c r="C84" s="1050">
        <v>0.27400000000000002</v>
      </c>
      <c r="D84" s="1045">
        <v>0</v>
      </c>
      <c r="E84" s="1046">
        <v>0</v>
      </c>
      <c r="F84" s="1046">
        <v>0</v>
      </c>
      <c r="G84" s="1047">
        <v>0</v>
      </c>
      <c r="H84" s="1048">
        <v>0</v>
      </c>
      <c r="I84" s="1048">
        <v>0</v>
      </c>
      <c r="J84" s="1048">
        <v>0</v>
      </c>
      <c r="K84" s="1049">
        <v>0</v>
      </c>
      <c r="L84" s="1028"/>
      <c r="M84" s="1074"/>
      <c r="N84" s="1050">
        <f t="shared" si="59"/>
        <v>0</v>
      </c>
      <c r="O84" s="1045">
        <f>N84</f>
        <v>0</v>
      </c>
      <c r="P84" s="1046">
        <f t="shared" ref="P84:Q85" si="72">O84</f>
        <v>0</v>
      </c>
      <c r="Q84" s="1046">
        <f t="shared" si="72"/>
        <v>0</v>
      </c>
      <c r="R84" s="1045">
        <f t="shared" si="71"/>
        <v>0</v>
      </c>
      <c r="S84" s="1046">
        <f t="shared" si="70"/>
        <v>0</v>
      </c>
      <c r="T84" s="1046">
        <f t="shared" si="70"/>
        <v>0</v>
      </c>
      <c r="U84" s="1050">
        <f t="shared" si="56"/>
        <v>0</v>
      </c>
      <c r="V84" s="948"/>
      <c r="W84" s="1045">
        <f t="shared" ref="W84:W101" si="73">O84</f>
        <v>0</v>
      </c>
      <c r="X84" s="1046">
        <v>0</v>
      </c>
      <c r="Y84" s="1045">
        <f t="shared" si="7"/>
        <v>0</v>
      </c>
      <c r="Z84" s="1051">
        <f t="shared" si="42"/>
        <v>0</v>
      </c>
      <c r="AA84" s="1017"/>
      <c r="AB84" s="952"/>
      <c r="AC84" s="1017"/>
      <c r="AD84" s="1017"/>
      <c r="AE84" s="1017"/>
      <c r="AF84" s="1017"/>
      <c r="AG84" s="1017"/>
      <c r="AH84" s="1017"/>
      <c r="AI84" s="1017"/>
      <c r="AJ84" s="1017"/>
      <c r="AK84" s="1017"/>
      <c r="AL84" s="1017"/>
      <c r="AM84" s="1017"/>
      <c r="AN84" s="1017"/>
      <c r="AO84" s="1017"/>
      <c r="AP84" s="1017"/>
      <c r="AQ84" s="1017"/>
      <c r="AR84" s="1017"/>
      <c r="AS84" s="1017"/>
      <c r="AT84" s="1017"/>
      <c r="AU84" s="1017"/>
      <c r="AV84" s="1017"/>
      <c r="AW84" s="1017"/>
      <c r="AX84" s="1017"/>
      <c r="AY84" s="1017"/>
      <c r="AZ84" s="1017"/>
      <c r="BA84" s="1017"/>
      <c r="BB84" s="1017"/>
      <c r="BC84" s="1017"/>
      <c r="BD84" s="1017"/>
      <c r="BE84" s="1017"/>
      <c r="BF84" s="1017"/>
      <c r="BG84" s="1017"/>
      <c r="BH84" s="1017"/>
      <c r="BI84" s="1017"/>
      <c r="BJ84" s="1017"/>
      <c r="BK84" s="1017"/>
      <c r="BL84" s="1017"/>
      <c r="BM84" s="1017"/>
      <c r="BN84" s="1017"/>
      <c r="BO84" s="1017"/>
      <c r="BP84" s="1017"/>
      <c r="BQ84" s="1017"/>
      <c r="BR84" s="1017"/>
      <c r="BS84" s="1017"/>
      <c r="BT84" s="1017"/>
      <c r="BU84" s="1017"/>
      <c r="BV84" s="1017"/>
      <c r="BW84" s="1017"/>
      <c r="BX84" s="1017"/>
      <c r="BY84" s="1017"/>
      <c r="BZ84" s="1017"/>
      <c r="CA84" s="1017"/>
      <c r="CB84" s="1017"/>
      <c r="CC84" s="1017"/>
      <c r="CD84" s="1017"/>
      <c r="CE84" s="1017"/>
      <c r="CF84" s="1017"/>
      <c r="CG84" s="1017"/>
      <c r="CH84" s="1017"/>
      <c r="CI84" s="1017"/>
      <c r="CJ84" s="1017"/>
      <c r="CK84" s="1017"/>
      <c r="CL84" s="1017"/>
      <c r="CM84" s="1017"/>
      <c r="CN84" s="1017"/>
      <c r="CO84" s="1017"/>
      <c r="CP84" s="1017"/>
      <c r="CQ84" s="1017"/>
      <c r="CR84" s="1017"/>
      <c r="CS84" s="1017"/>
      <c r="CT84" s="1017"/>
      <c r="CU84" s="1017"/>
      <c r="CV84" s="1017"/>
      <c r="CW84" s="1017"/>
      <c r="CX84" s="1017"/>
      <c r="CY84" s="1017"/>
      <c r="CZ84" s="1017"/>
      <c r="DA84" s="1017"/>
      <c r="DB84" s="1017"/>
      <c r="DC84" s="1017"/>
      <c r="DD84" s="1017"/>
      <c r="DE84" s="1017"/>
      <c r="DF84" s="1017"/>
      <c r="DG84" s="1017"/>
      <c r="DH84" s="1017"/>
      <c r="DI84" s="1017"/>
      <c r="DJ84" s="1017"/>
      <c r="DK84" s="1017"/>
      <c r="DL84" s="1017"/>
      <c r="DM84" s="1017"/>
      <c r="DN84" s="1017"/>
      <c r="DO84" s="1017"/>
      <c r="DP84" s="1017"/>
      <c r="DQ84" s="1017"/>
      <c r="DR84" s="1017"/>
      <c r="DS84" s="1017"/>
      <c r="DT84" s="1017"/>
      <c r="DU84" s="1017"/>
      <c r="DV84" s="1017"/>
      <c r="DW84" s="1017"/>
      <c r="DX84" s="1017"/>
      <c r="DY84" s="1017"/>
      <c r="DZ84" s="1017"/>
      <c r="EA84" s="1017"/>
      <c r="EB84" s="1017"/>
      <c r="EC84" s="1017"/>
      <c r="ED84" s="1017"/>
      <c r="EE84" s="1017"/>
      <c r="EF84" s="1017"/>
      <c r="EG84" s="1017"/>
      <c r="EH84" s="1017"/>
      <c r="EI84" s="1017"/>
      <c r="EJ84" s="1017"/>
      <c r="EK84" s="1017"/>
      <c r="EL84" s="1017"/>
      <c r="EM84" s="1017"/>
      <c r="EN84" s="1017"/>
      <c r="EO84" s="1017"/>
      <c r="EP84" s="1017"/>
      <c r="EQ84" s="1017"/>
      <c r="ER84" s="1017"/>
      <c r="ES84" s="1017"/>
      <c r="ET84" s="1017"/>
      <c r="EU84" s="1017"/>
      <c r="EV84" s="1017"/>
      <c r="EW84" s="1017"/>
      <c r="EX84" s="1017"/>
      <c r="EY84" s="1017"/>
      <c r="EZ84" s="1017"/>
      <c r="FA84" s="1017"/>
      <c r="FB84" s="1017"/>
      <c r="FC84" s="1017"/>
      <c r="FD84" s="1017"/>
      <c r="FE84" s="1017"/>
      <c r="FF84" s="1017"/>
      <c r="FG84" s="1017"/>
      <c r="FH84" s="1017"/>
      <c r="FI84" s="1017"/>
      <c r="FJ84" s="1017"/>
      <c r="FK84" s="1017"/>
      <c r="FL84" s="1017"/>
      <c r="FM84" s="1017"/>
      <c r="FN84" s="1017"/>
      <c r="FO84" s="1017"/>
      <c r="FP84" s="1017"/>
      <c r="FQ84" s="1017"/>
      <c r="FR84" s="1017"/>
      <c r="FS84" s="1017"/>
      <c r="FT84" s="1017"/>
      <c r="FU84" s="1017"/>
      <c r="FV84" s="1017"/>
      <c r="FW84" s="1017"/>
      <c r="FX84" s="1017"/>
      <c r="FY84" s="1017"/>
      <c r="FZ84" s="1017"/>
      <c r="GA84" s="1017"/>
      <c r="GB84" s="1017"/>
      <c r="GC84" s="1017"/>
      <c r="GD84" s="1017"/>
      <c r="GE84" s="1017"/>
      <c r="GF84" s="1017"/>
      <c r="GG84" s="1017"/>
      <c r="GH84" s="1017"/>
      <c r="GI84" s="1017"/>
      <c r="GJ84" s="1017"/>
      <c r="GK84" s="1017"/>
      <c r="GL84" s="1017"/>
      <c r="GM84" s="1017"/>
      <c r="GN84" s="1017"/>
      <c r="GO84" s="1017"/>
      <c r="GP84" s="1017"/>
      <c r="GQ84" s="1017"/>
      <c r="GR84" s="1017"/>
      <c r="GS84" s="1017"/>
      <c r="GT84" s="1017"/>
      <c r="GU84" s="1017"/>
      <c r="GV84" s="1017"/>
      <c r="GW84" s="1017"/>
      <c r="GX84" s="1017"/>
      <c r="GY84" s="1017"/>
      <c r="GZ84" s="1017"/>
      <c r="HA84" s="1017"/>
      <c r="HB84" s="1017"/>
      <c r="HC84" s="1017"/>
      <c r="HD84" s="1017"/>
      <c r="HE84" s="1017"/>
      <c r="HF84" s="1017"/>
      <c r="HG84" s="1017"/>
      <c r="HH84" s="1017"/>
      <c r="HI84" s="1017"/>
      <c r="HJ84" s="1017"/>
      <c r="HK84" s="1017"/>
      <c r="HL84" s="1017"/>
      <c r="HM84" s="1017"/>
      <c r="HN84" s="1017"/>
      <c r="HO84" s="1017"/>
      <c r="HP84" s="1017"/>
      <c r="HQ84" s="1017"/>
      <c r="HR84" s="1017"/>
      <c r="HS84" s="1017"/>
      <c r="HT84" s="1017"/>
      <c r="HU84" s="1017"/>
      <c r="HV84" s="1017"/>
      <c r="HW84" s="1017"/>
      <c r="HX84" s="1017"/>
      <c r="HY84" s="1017"/>
      <c r="HZ84" s="1017"/>
      <c r="IA84" s="1017"/>
      <c r="IB84" s="1017"/>
      <c r="IC84" s="1017"/>
      <c r="ID84" s="1017"/>
      <c r="IE84" s="1017"/>
      <c r="IF84" s="1017"/>
      <c r="IG84" s="1017"/>
      <c r="IH84" s="1017"/>
      <c r="II84" s="1017"/>
      <c r="IJ84" s="1017"/>
      <c r="IK84" s="1017"/>
      <c r="IL84" s="1017"/>
      <c r="IM84" s="1017"/>
    </row>
    <row r="85" spans="1:247">
      <c r="A85" s="1052" t="s">
        <v>963</v>
      </c>
      <c r="B85" s="1053"/>
      <c r="C85" s="1050">
        <v>56.856000000000002</v>
      </c>
      <c r="D85" s="1045">
        <v>0</v>
      </c>
      <c r="E85" s="1046">
        <v>0</v>
      </c>
      <c r="F85" s="1046">
        <v>0</v>
      </c>
      <c r="G85" s="1047">
        <v>0</v>
      </c>
      <c r="H85" s="1048">
        <v>56.856000000000002</v>
      </c>
      <c r="I85" s="1048">
        <v>56.856000000000002</v>
      </c>
      <c r="J85" s="1048">
        <v>56.856000000000002</v>
      </c>
      <c r="K85" s="1049">
        <v>56.856000000000002</v>
      </c>
      <c r="L85" s="1028"/>
      <c r="M85" s="1074"/>
      <c r="N85" s="1050">
        <f t="shared" si="59"/>
        <v>56.856000000000002</v>
      </c>
      <c r="O85" s="1045">
        <f>N85</f>
        <v>56.856000000000002</v>
      </c>
      <c r="P85" s="1046">
        <f t="shared" si="72"/>
        <v>56.856000000000002</v>
      </c>
      <c r="Q85" s="1046">
        <f t="shared" si="72"/>
        <v>56.856000000000002</v>
      </c>
      <c r="R85" s="1045">
        <f t="shared" si="71"/>
        <v>0</v>
      </c>
      <c r="S85" s="1046">
        <f t="shared" si="70"/>
        <v>0</v>
      </c>
      <c r="T85" s="1046">
        <f t="shared" si="70"/>
        <v>0</v>
      </c>
      <c r="U85" s="1050">
        <f t="shared" si="56"/>
        <v>0</v>
      </c>
      <c r="V85" s="948"/>
      <c r="W85" s="1045">
        <f t="shared" si="73"/>
        <v>56.856000000000002</v>
      </c>
      <c r="X85" s="1046">
        <v>56.856000000000002</v>
      </c>
      <c r="Y85" s="1045">
        <f t="shared" si="7"/>
        <v>0</v>
      </c>
      <c r="Z85" s="1051">
        <f t="shared" si="42"/>
        <v>0</v>
      </c>
      <c r="AA85" s="1017"/>
      <c r="AB85" s="952"/>
      <c r="AC85" s="1017"/>
      <c r="AD85" s="1017"/>
      <c r="AE85" s="1017"/>
      <c r="AF85" s="1017"/>
      <c r="AG85" s="1017"/>
      <c r="AH85" s="1017"/>
      <c r="AI85" s="1017"/>
      <c r="AJ85" s="1017"/>
      <c r="AK85" s="1017"/>
      <c r="AL85" s="1017"/>
      <c r="AM85" s="1017"/>
      <c r="AN85" s="1017"/>
      <c r="AO85" s="1017"/>
      <c r="AP85" s="1017"/>
      <c r="AQ85" s="1017"/>
      <c r="AR85" s="1017"/>
      <c r="AS85" s="1017"/>
      <c r="AT85" s="1017"/>
      <c r="AU85" s="1017"/>
      <c r="AV85" s="1017"/>
      <c r="AW85" s="1017"/>
      <c r="AX85" s="1017"/>
      <c r="AY85" s="1017"/>
      <c r="AZ85" s="1017"/>
      <c r="BA85" s="1017"/>
      <c r="BB85" s="1017"/>
      <c r="BC85" s="1017"/>
      <c r="BD85" s="1017"/>
      <c r="BE85" s="1017"/>
      <c r="BF85" s="1017"/>
      <c r="BG85" s="1017"/>
      <c r="BH85" s="1017"/>
      <c r="BI85" s="1017"/>
      <c r="BJ85" s="1017"/>
      <c r="BK85" s="1017"/>
      <c r="BL85" s="1017"/>
      <c r="BM85" s="1017"/>
      <c r="BN85" s="1017"/>
      <c r="BO85" s="1017"/>
      <c r="BP85" s="1017"/>
      <c r="BQ85" s="1017"/>
      <c r="BR85" s="1017"/>
      <c r="BS85" s="1017"/>
      <c r="BT85" s="1017"/>
      <c r="BU85" s="1017"/>
      <c r="BV85" s="1017"/>
      <c r="BW85" s="1017"/>
      <c r="BX85" s="1017"/>
      <c r="BY85" s="1017"/>
      <c r="BZ85" s="1017"/>
      <c r="CA85" s="1017"/>
      <c r="CB85" s="1017"/>
      <c r="CC85" s="1017"/>
      <c r="CD85" s="1017"/>
      <c r="CE85" s="1017"/>
      <c r="CF85" s="1017"/>
      <c r="CG85" s="1017"/>
      <c r="CH85" s="1017"/>
      <c r="CI85" s="1017"/>
      <c r="CJ85" s="1017"/>
      <c r="CK85" s="1017"/>
      <c r="CL85" s="1017"/>
      <c r="CM85" s="1017"/>
      <c r="CN85" s="1017"/>
      <c r="CO85" s="1017"/>
      <c r="CP85" s="1017"/>
      <c r="CQ85" s="1017"/>
      <c r="CR85" s="1017"/>
      <c r="CS85" s="1017"/>
      <c r="CT85" s="1017"/>
      <c r="CU85" s="1017"/>
      <c r="CV85" s="1017"/>
      <c r="CW85" s="1017"/>
      <c r="CX85" s="1017"/>
      <c r="CY85" s="1017"/>
      <c r="CZ85" s="1017"/>
      <c r="DA85" s="1017"/>
      <c r="DB85" s="1017"/>
      <c r="DC85" s="1017"/>
      <c r="DD85" s="1017"/>
      <c r="DE85" s="1017"/>
      <c r="DF85" s="1017"/>
      <c r="DG85" s="1017"/>
      <c r="DH85" s="1017"/>
      <c r="DI85" s="1017"/>
      <c r="DJ85" s="1017"/>
      <c r="DK85" s="1017"/>
      <c r="DL85" s="1017"/>
      <c r="DM85" s="1017"/>
      <c r="DN85" s="1017"/>
      <c r="DO85" s="1017"/>
      <c r="DP85" s="1017"/>
      <c r="DQ85" s="1017"/>
      <c r="DR85" s="1017"/>
      <c r="DS85" s="1017"/>
      <c r="DT85" s="1017"/>
      <c r="DU85" s="1017"/>
      <c r="DV85" s="1017"/>
      <c r="DW85" s="1017"/>
      <c r="DX85" s="1017"/>
      <c r="DY85" s="1017"/>
      <c r="DZ85" s="1017"/>
      <c r="EA85" s="1017"/>
      <c r="EB85" s="1017"/>
      <c r="EC85" s="1017"/>
      <c r="ED85" s="1017"/>
      <c r="EE85" s="1017"/>
      <c r="EF85" s="1017"/>
      <c r="EG85" s="1017"/>
      <c r="EH85" s="1017"/>
      <c r="EI85" s="1017"/>
      <c r="EJ85" s="1017"/>
      <c r="EK85" s="1017"/>
      <c r="EL85" s="1017"/>
      <c r="EM85" s="1017"/>
      <c r="EN85" s="1017"/>
      <c r="EO85" s="1017"/>
      <c r="EP85" s="1017"/>
      <c r="EQ85" s="1017"/>
      <c r="ER85" s="1017"/>
      <c r="ES85" s="1017"/>
      <c r="ET85" s="1017"/>
      <c r="EU85" s="1017"/>
      <c r="EV85" s="1017"/>
      <c r="EW85" s="1017"/>
      <c r="EX85" s="1017"/>
      <c r="EY85" s="1017"/>
      <c r="EZ85" s="1017"/>
      <c r="FA85" s="1017"/>
      <c r="FB85" s="1017"/>
      <c r="FC85" s="1017"/>
      <c r="FD85" s="1017"/>
      <c r="FE85" s="1017"/>
      <c r="FF85" s="1017"/>
      <c r="FG85" s="1017"/>
      <c r="FH85" s="1017"/>
      <c r="FI85" s="1017"/>
      <c r="FJ85" s="1017"/>
      <c r="FK85" s="1017"/>
      <c r="FL85" s="1017"/>
      <c r="FM85" s="1017"/>
      <c r="FN85" s="1017"/>
      <c r="FO85" s="1017"/>
      <c r="FP85" s="1017"/>
      <c r="FQ85" s="1017"/>
      <c r="FR85" s="1017"/>
      <c r="FS85" s="1017"/>
      <c r="FT85" s="1017"/>
      <c r="FU85" s="1017"/>
      <c r="FV85" s="1017"/>
      <c r="FW85" s="1017"/>
      <c r="FX85" s="1017"/>
      <c r="FY85" s="1017"/>
      <c r="FZ85" s="1017"/>
      <c r="GA85" s="1017"/>
      <c r="GB85" s="1017"/>
      <c r="GC85" s="1017"/>
      <c r="GD85" s="1017"/>
      <c r="GE85" s="1017"/>
      <c r="GF85" s="1017"/>
      <c r="GG85" s="1017"/>
      <c r="GH85" s="1017"/>
      <c r="GI85" s="1017"/>
      <c r="GJ85" s="1017"/>
      <c r="GK85" s="1017"/>
      <c r="GL85" s="1017"/>
      <c r="GM85" s="1017"/>
      <c r="GN85" s="1017"/>
      <c r="GO85" s="1017"/>
      <c r="GP85" s="1017"/>
      <c r="GQ85" s="1017"/>
      <c r="GR85" s="1017"/>
      <c r="GS85" s="1017"/>
      <c r="GT85" s="1017"/>
      <c r="GU85" s="1017"/>
      <c r="GV85" s="1017"/>
      <c r="GW85" s="1017"/>
      <c r="GX85" s="1017"/>
      <c r="GY85" s="1017"/>
      <c r="GZ85" s="1017"/>
      <c r="HA85" s="1017"/>
      <c r="HB85" s="1017"/>
      <c r="HC85" s="1017"/>
      <c r="HD85" s="1017"/>
      <c r="HE85" s="1017"/>
      <c r="HF85" s="1017"/>
      <c r="HG85" s="1017"/>
      <c r="HH85" s="1017"/>
      <c r="HI85" s="1017"/>
      <c r="HJ85" s="1017"/>
      <c r="HK85" s="1017"/>
      <c r="HL85" s="1017"/>
      <c r="HM85" s="1017"/>
      <c r="HN85" s="1017"/>
      <c r="HO85" s="1017"/>
      <c r="HP85" s="1017"/>
      <c r="HQ85" s="1017"/>
      <c r="HR85" s="1017"/>
      <c r="HS85" s="1017"/>
      <c r="HT85" s="1017"/>
      <c r="HU85" s="1017"/>
      <c r="HV85" s="1017"/>
      <c r="HW85" s="1017"/>
      <c r="HX85" s="1017"/>
      <c r="HY85" s="1017"/>
      <c r="HZ85" s="1017"/>
      <c r="IA85" s="1017"/>
      <c r="IB85" s="1017"/>
      <c r="IC85" s="1017"/>
      <c r="ID85" s="1017"/>
      <c r="IE85" s="1017"/>
      <c r="IF85" s="1017"/>
      <c r="IG85" s="1017"/>
      <c r="IH85" s="1017"/>
      <c r="II85" s="1017"/>
      <c r="IJ85" s="1017"/>
      <c r="IK85" s="1017"/>
      <c r="IL85" s="1017"/>
      <c r="IM85" s="1017"/>
    </row>
    <row r="86" spans="1:247">
      <c r="A86" s="1052" t="s">
        <v>964</v>
      </c>
      <c r="B86" s="1053"/>
      <c r="C86" s="1050">
        <v>-84.195999999999998</v>
      </c>
      <c r="D86" s="1045">
        <v>0</v>
      </c>
      <c r="E86" s="1046">
        <v>0</v>
      </c>
      <c r="F86" s="1046">
        <v>0</v>
      </c>
      <c r="G86" s="1047">
        <v>0</v>
      </c>
      <c r="H86" s="1048">
        <v>-87.983249605968524</v>
      </c>
      <c r="I86" s="1048">
        <v>-93.074758254897603</v>
      </c>
      <c r="J86" s="1048">
        <v>-99.070959465401799</v>
      </c>
      <c r="K86" s="1049">
        <v>-105.04729675140196</v>
      </c>
      <c r="L86" s="1028"/>
      <c r="M86" s="1074"/>
      <c r="N86" s="1050">
        <f t="shared" si="59"/>
        <v>-87.983249605968524</v>
      </c>
      <c r="O86" s="1045">
        <v>-93.151175201895143</v>
      </c>
      <c r="P86" s="1046">
        <v>-99.264197176150546</v>
      </c>
      <c r="Q86" s="1046">
        <v>-105.35053714515402</v>
      </c>
      <c r="R86" s="1045">
        <f t="shared" si="71"/>
        <v>7.6416946997539981E-2</v>
      </c>
      <c r="S86" s="1046">
        <f t="shared" si="70"/>
        <v>0.19323771074874685</v>
      </c>
      <c r="T86" s="1046">
        <f t="shared" si="70"/>
        <v>0.30324039375206269</v>
      </c>
      <c r="U86" s="1050">
        <f t="shared" si="56"/>
        <v>-5.1679255959266186</v>
      </c>
      <c r="V86" s="948"/>
      <c r="W86" s="1045">
        <f t="shared" si="73"/>
        <v>-93.151175201895143</v>
      </c>
      <c r="X86" s="1046">
        <v>-93.074758254897603</v>
      </c>
      <c r="Y86" s="1045">
        <f t="shared" si="7"/>
        <v>7.6416946997539981E-2</v>
      </c>
      <c r="Z86" s="1051">
        <f t="shared" si="42"/>
        <v>8.5386515414689171E-5</v>
      </c>
      <c r="AA86" s="1017"/>
      <c r="AB86" s="952"/>
      <c r="AC86" s="1017"/>
      <c r="AD86" s="1017"/>
      <c r="AE86" s="1017"/>
      <c r="AF86" s="1017"/>
      <c r="AG86" s="1017"/>
      <c r="AH86" s="1017"/>
      <c r="AI86" s="1017"/>
      <c r="AJ86" s="1017"/>
      <c r="AK86" s="1017"/>
      <c r="AL86" s="1017"/>
      <c r="AM86" s="1017"/>
      <c r="AN86" s="1017"/>
      <c r="AO86" s="1017"/>
      <c r="AP86" s="1017"/>
      <c r="AQ86" s="1017"/>
      <c r="AR86" s="1017"/>
      <c r="AS86" s="1017"/>
      <c r="AT86" s="1017"/>
      <c r="AU86" s="1017"/>
      <c r="AV86" s="1017"/>
      <c r="AW86" s="1017"/>
      <c r="AX86" s="1017"/>
      <c r="AY86" s="1017"/>
      <c r="AZ86" s="1017"/>
      <c r="BA86" s="1017"/>
      <c r="BB86" s="1017"/>
      <c r="BC86" s="1017"/>
      <c r="BD86" s="1017"/>
      <c r="BE86" s="1017"/>
      <c r="BF86" s="1017"/>
      <c r="BG86" s="1017"/>
      <c r="BH86" s="1017"/>
      <c r="BI86" s="1017"/>
      <c r="BJ86" s="1017"/>
      <c r="BK86" s="1017"/>
      <c r="BL86" s="1017"/>
      <c r="BM86" s="1017"/>
      <c r="BN86" s="1017"/>
      <c r="BO86" s="1017"/>
      <c r="BP86" s="1017"/>
      <c r="BQ86" s="1017"/>
      <c r="BR86" s="1017"/>
      <c r="BS86" s="1017"/>
      <c r="BT86" s="1017"/>
      <c r="BU86" s="1017"/>
      <c r="BV86" s="1017"/>
      <c r="BW86" s="1017"/>
      <c r="BX86" s="1017"/>
      <c r="BY86" s="1017"/>
      <c r="BZ86" s="1017"/>
      <c r="CA86" s="1017"/>
      <c r="CB86" s="1017"/>
      <c r="CC86" s="1017"/>
      <c r="CD86" s="1017"/>
      <c r="CE86" s="1017"/>
      <c r="CF86" s="1017"/>
      <c r="CG86" s="1017"/>
      <c r="CH86" s="1017"/>
      <c r="CI86" s="1017"/>
      <c r="CJ86" s="1017"/>
      <c r="CK86" s="1017"/>
      <c r="CL86" s="1017"/>
      <c r="CM86" s="1017"/>
      <c r="CN86" s="1017"/>
      <c r="CO86" s="1017"/>
      <c r="CP86" s="1017"/>
      <c r="CQ86" s="1017"/>
      <c r="CR86" s="1017"/>
      <c r="CS86" s="1017"/>
      <c r="CT86" s="1017"/>
      <c r="CU86" s="1017"/>
      <c r="CV86" s="1017"/>
      <c r="CW86" s="1017"/>
      <c r="CX86" s="1017"/>
      <c r="CY86" s="1017"/>
      <c r="CZ86" s="1017"/>
      <c r="DA86" s="1017"/>
      <c r="DB86" s="1017"/>
      <c r="DC86" s="1017"/>
      <c r="DD86" s="1017"/>
      <c r="DE86" s="1017"/>
      <c r="DF86" s="1017"/>
      <c r="DG86" s="1017"/>
      <c r="DH86" s="1017"/>
      <c r="DI86" s="1017"/>
      <c r="DJ86" s="1017"/>
      <c r="DK86" s="1017"/>
      <c r="DL86" s="1017"/>
      <c r="DM86" s="1017"/>
      <c r="DN86" s="1017"/>
      <c r="DO86" s="1017"/>
      <c r="DP86" s="1017"/>
      <c r="DQ86" s="1017"/>
      <c r="DR86" s="1017"/>
      <c r="DS86" s="1017"/>
      <c r="DT86" s="1017"/>
      <c r="DU86" s="1017"/>
      <c r="DV86" s="1017"/>
      <c r="DW86" s="1017"/>
      <c r="DX86" s="1017"/>
      <c r="DY86" s="1017"/>
      <c r="DZ86" s="1017"/>
      <c r="EA86" s="1017"/>
      <c r="EB86" s="1017"/>
      <c r="EC86" s="1017"/>
      <c r="ED86" s="1017"/>
      <c r="EE86" s="1017"/>
      <c r="EF86" s="1017"/>
      <c r="EG86" s="1017"/>
      <c r="EH86" s="1017"/>
      <c r="EI86" s="1017"/>
      <c r="EJ86" s="1017"/>
      <c r="EK86" s="1017"/>
      <c r="EL86" s="1017"/>
      <c r="EM86" s="1017"/>
      <c r="EN86" s="1017"/>
      <c r="EO86" s="1017"/>
      <c r="EP86" s="1017"/>
      <c r="EQ86" s="1017"/>
      <c r="ER86" s="1017"/>
      <c r="ES86" s="1017"/>
      <c r="ET86" s="1017"/>
      <c r="EU86" s="1017"/>
      <c r="EV86" s="1017"/>
      <c r="EW86" s="1017"/>
      <c r="EX86" s="1017"/>
      <c r="EY86" s="1017"/>
      <c r="EZ86" s="1017"/>
      <c r="FA86" s="1017"/>
      <c r="FB86" s="1017"/>
      <c r="FC86" s="1017"/>
      <c r="FD86" s="1017"/>
      <c r="FE86" s="1017"/>
      <c r="FF86" s="1017"/>
      <c r="FG86" s="1017"/>
      <c r="FH86" s="1017"/>
      <c r="FI86" s="1017"/>
      <c r="FJ86" s="1017"/>
      <c r="FK86" s="1017"/>
      <c r="FL86" s="1017"/>
      <c r="FM86" s="1017"/>
      <c r="FN86" s="1017"/>
      <c r="FO86" s="1017"/>
      <c r="FP86" s="1017"/>
      <c r="FQ86" s="1017"/>
      <c r="FR86" s="1017"/>
      <c r="FS86" s="1017"/>
      <c r="FT86" s="1017"/>
      <c r="FU86" s="1017"/>
      <c r="FV86" s="1017"/>
      <c r="FW86" s="1017"/>
      <c r="FX86" s="1017"/>
      <c r="FY86" s="1017"/>
      <c r="FZ86" s="1017"/>
      <c r="GA86" s="1017"/>
      <c r="GB86" s="1017"/>
      <c r="GC86" s="1017"/>
      <c r="GD86" s="1017"/>
      <c r="GE86" s="1017"/>
      <c r="GF86" s="1017"/>
      <c r="GG86" s="1017"/>
      <c r="GH86" s="1017"/>
      <c r="GI86" s="1017"/>
      <c r="GJ86" s="1017"/>
      <c r="GK86" s="1017"/>
      <c r="GL86" s="1017"/>
      <c r="GM86" s="1017"/>
      <c r="GN86" s="1017"/>
      <c r="GO86" s="1017"/>
      <c r="GP86" s="1017"/>
      <c r="GQ86" s="1017"/>
      <c r="GR86" s="1017"/>
      <c r="GS86" s="1017"/>
      <c r="GT86" s="1017"/>
      <c r="GU86" s="1017"/>
      <c r="GV86" s="1017"/>
      <c r="GW86" s="1017"/>
      <c r="GX86" s="1017"/>
      <c r="GY86" s="1017"/>
      <c r="GZ86" s="1017"/>
      <c r="HA86" s="1017"/>
      <c r="HB86" s="1017"/>
      <c r="HC86" s="1017"/>
      <c r="HD86" s="1017"/>
      <c r="HE86" s="1017"/>
      <c r="HF86" s="1017"/>
      <c r="HG86" s="1017"/>
      <c r="HH86" s="1017"/>
      <c r="HI86" s="1017"/>
      <c r="HJ86" s="1017"/>
      <c r="HK86" s="1017"/>
      <c r="HL86" s="1017"/>
      <c r="HM86" s="1017"/>
      <c r="HN86" s="1017"/>
      <c r="HO86" s="1017"/>
      <c r="HP86" s="1017"/>
      <c r="HQ86" s="1017"/>
      <c r="HR86" s="1017"/>
      <c r="HS86" s="1017"/>
      <c r="HT86" s="1017"/>
      <c r="HU86" s="1017"/>
      <c r="HV86" s="1017"/>
      <c r="HW86" s="1017"/>
      <c r="HX86" s="1017"/>
      <c r="HY86" s="1017"/>
      <c r="HZ86" s="1017"/>
      <c r="IA86" s="1017"/>
      <c r="IB86" s="1017"/>
      <c r="IC86" s="1017"/>
      <c r="ID86" s="1017"/>
      <c r="IE86" s="1017"/>
      <c r="IF86" s="1017"/>
      <c r="IG86" s="1017"/>
      <c r="IH86" s="1017"/>
      <c r="II86" s="1017"/>
      <c r="IJ86" s="1017"/>
      <c r="IK86" s="1017"/>
      <c r="IL86" s="1017"/>
      <c r="IM86" s="1017"/>
    </row>
    <row r="87" spans="1:247">
      <c r="A87" s="1052" t="s">
        <v>965</v>
      </c>
      <c r="B87" s="1053"/>
      <c r="C87" s="1050">
        <f>124.416325</f>
        <v>124.416325</v>
      </c>
      <c r="D87" s="1068">
        <f>127.218987</f>
        <v>127.218987</v>
      </c>
      <c r="E87" s="1046">
        <v>127.30070000000001</v>
      </c>
      <c r="F87" s="1046">
        <v>127.668515</v>
      </c>
      <c r="G87" s="1047">
        <f>128.044054+22.251</f>
        <v>150.29505399999999</v>
      </c>
      <c r="H87" s="1048">
        <v>127.218987</v>
      </c>
      <c r="I87" s="1048">
        <v>127.30070000000001</v>
      </c>
      <c r="J87" s="1048">
        <v>127.668515</v>
      </c>
      <c r="K87" s="1049">
        <v>150.29505399999999</v>
      </c>
      <c r="L87" s="1028"/>
      <c r="M87" s="1045"/>
      <c r="N87" s="1050">
        <f t="shared" si="59"/>
        <v>127.218987</v>
      </c>
      <c r="O87" s="1045">
        <f>E87</f>
        <v>127.30070000000001</v>
      </c>
      <c r="P87" s="1046">
        <f>F87</f>
        <v>127.668515</v>
      </c>
      <c r="Q87" s="1046">
        <f>G87</f>
        <v>150.29505399999999</v>
      </c>
      <c r="R87" s="1045">
        <f t="shared" si="71"/>
        <v>0</v>
      </c>
      <c r="S87" s="1046">
        <f t="shared" si="70"/>
        <v>0</v>
      </c>
      <c r="T87" s="1046">
        <f t="shared" si="70"/>
        <v>0</v>
      </c>
      <c r="U87" s="1050">
        <f t="shared" si="56"/>
        <v>8.1713000000007696E-2</v>
      </c>
      <c r="V87" s="948"/>
      <c r="W87" s="1045">
        <f t="shared" si="73"/>
        <v>127.30070000000001</v>
      </c>
      <c r="X87" s="1046">
        <v>127.30070000000001</v>
      </c>
      <c r="Y87" s="1045">
        <f t="shared" si="7"/>
        <v>0</v>
      </c>
      <c r="Z87" s="1051">
        <f t="shared" si="42"/>
        <v>0</v>
      </c>
      <c r="AA87" s="1017"/>
      <c r="AB87" s="952"/>
      <c r="AC87" s="1017"/>
      <c r="AD87" s="1017"/>
      <c r="AE87" s="1017"/>
      <c r="AF87" s="1017"/>
      <c r="AG87" s="1017"/>
      <c r="AH87" s="1017"/>
      <c r="AI87" s="1017"/>
      <c r="AJ87" s="1017"/>
      <c r="AK87" s="1017"/>
      <c r="AL87" s="1017"/>
      <c r="AM87" s="1017"/>
      <c r="AN87" s="1017"/>
      <c r="AO87" s="1017"/>
      <c r="AP87" s="1017"/>
      <c r="AQ87" s="1017"/>
      <c r="AR87" s="1017"/>
      <c r="AS87" s="1017"/>
      <c r="AT87" s="1017"/>
      <c r="AU87" s="1017"/>
      <c r="AV87" s="1017"/>
      <c r="AW87" s="1017"/>
      <c r="AX87" s="1017"/>
      <c r="AY87" s="1017"/>
      <c r="AZ87" s="1017"/>
      <c r="BA87" s="1017"/>
      <c r="BB87" s="1017"/>
      <c r="BC87" s="1017"/>
      <c r="BD87" s="1017"/>
      <c r="BE87" s="1017"/>
      <c r="BF87" s="1017"/>
      <c r="BG87" s="1017"/>
      <c r="BH87" s="1017"/>
      <c r="BI87" s="1017"/>
      <c r="BJ87" s="1017"/>
      <c r="BK87" s="1017"/>
      <c r="BL87" s="1017"/>
      <c r="BM87" s="1017"/>
      <c r="BN87" s="1017"/>
      <c r="BO87" s="1017"/>
      <c r="BP87" s="1017"/>
      <c r="BQ87" s="1017"/>
      <c r="BR87" s="1017"/>
      <c r="BS87" s="1017"/>
      <c r="BT87" s="1017"/>
      <c r="BU87" s="1017"/>
      <c r="BV87" s="1017"/>
      <c r="BW87" s="1017"/>
      <c r="BX87" s="1017"/>
      <c r="BY87" s="1017"/>
      <c r="BZ87" s="1017"/>
      <c r="CA87" s="1017"/>
      <c r="CB87" s="1017"/>
      <c r="CC87" s="1017"/>
      <c r="CD87" s="1017"/>
      <c r="CE87" s="1017"/>
      <c r="CF87" s="1017"/>
      <c r="CG87" s="1017"/>
      <c r="CH87" s="1017"/>
      <c r="CI87" s="1017"/>
      <c r="CJ87" s="1017"/>
      <c r="CK87" s="1017"/>
      <c r="CL87" s="1017"/>
      <c r="CM87" s="1017"/>
      <c r="CN87" s="1017"/>
      <c r="CO87" s="1017"/>
      <c r="CP87" s="1017"/>
      <c r="CQ87" s="1017"/>
      <c r="CR87" s="1017"/>
      <c r="CS87" s="1017"/>
      <c r="CT87" s="1017"/>
      <c r="CU87" s="1017"/>
      <c r="CV87" s="1017"/>
      <c r="CW87" s="1017"/>
      <c r="CX87" s="1017"/>
      <c r="CY87" s="1017"/>
      <c r="CZ87" s="1017"/>
      <c r="DA87" s="1017"/>
      <c r="DB87" s="1017"/>
      <c r="DC87" s="1017"/>
      <c r="DD87" s="1017"/>
      <c r="DE87" s="1017"/>
      <c r="DF87" s="1017"/>
      <c r="DG87" s="1017"/>
      <c r="DH87" s="1017"/>
      <c r="DI87" s="1017"/>
      <c r="DJ87" s="1017"/>
      <c r="DK87" s="1017"/>
      <c r="DL87" s="1017"/>
      <c r="DM87" s="1017"/>
      <c r="DN87" s="1017"/>
      <c r="DO87" s="1017"/>
      <c r="DP87" s="1017"/>
      <c r="DQ87" s="1017"/>
      <c r="DR87" s="1017"/>
      <c r="DS87" s="1017"/>
      <c r="DT87" s="1017"/>
      <c r="DU87" s="1017"/>
      <c r="DV87" s="1017"/>
      <c r="DW87" s="1017"/>
      <c r="DX87" s="1017"/>
      <c r="DY87" s="1017"/>
      <c r="DZ87" s="1017"/>
      <c r="EA87" s="1017"/>
      <c r="EB87" s="1017"/>
      <c r="EC87" s="1017"/>
      <c r="ED87" s="1017"/>
      <c r="EE87" s="1017"/>
      <c r="EF87" s="1017"/>
      <c r="EG87" s="1017"/>
      <c r="EH87" s="1017"/>
      <c r="EI87" s="1017"/>
      <c r="EJ87" s="1017"/>
      <c r="EK87" s="1017"/>
      <c r="EL87" s="1017"/>
      <c r="EM87" s="1017"/>
      <c r="EN87" s="1017"/>
      <c r="EO87" s="1017"/>
      <c r="EP87" s="1017"/>
      <c r="EQ87" s="1017"/>
      <c r="ER87" s="1017"/>
      <c r="ES87" s="1017"/>
      <c r="ET87" s="1017"/>
      <c r="EU87" s="1017"/>
      <c r="EV87" s="1017"/>
      <c r="EW87" s="1017"/>
      <c r="EX87" s="1017"/>
      <c r="EY87" s="1017"/>
      <c r="EZ87" s="1017"/>
      <c r="FA87" s="1017"/>
      <c r="FB87" s="1017"/>
      <c r="FC87" s="1017"/>
      <c r="FD87" s="1017"/>
      <c r="FE87" s="1017"/>
      <c r="FF87" s="1017"/>
      <c r="FG87" s="1017"/>
      <c r="FH87" s="1017"/>
      <c r="FI87" s="1017"/>
      <c r="FJ87" s="1017"/>
      <c r="FK87" s="1017"/>
      <c r="FL87" s="1017"/>
      <c r="FM87" s="1017"/>
      <c r="FN87" s="1017"/>
      <c r="FO87" s="1017"/>
      <c r="FP87" s="1017"/>
      <c r="FQ87" s="1017"/>
      <c r="FR87" s="1017"/>
      <c r="FS87" s="1017"/>
      <c r="FT87" s="1017"/>
      <c r="FU87" s="1017"/>
      <c r="FV87" s="1017"/>
      <c r="FW87" s="1017"/>
      <c r="FX87" s="1017"/>
      <c r="FY87" s="1017"/>
      <c r="FZ87" s="1017"/>
      <c r="GA87" s="1017"/>
      <c r="GB87" s="1017"/>
      <c r="GC87" s="1017"/>
      <c r="GD87" s="1017"/>
      <c r="GE87" s="1017"/>
      <c r="GF87" s="1017"/>
      <c r="GG87" s="1017"/>
      <c r="GH87" s="1017"/>
      <c r="GI87" s="1017"/>
      <c r="GJ87" s="1017"/>
      <c r="GK87" s="1017"/>
      <c r="GL87" s="1017"/>
      <c r="GM87" s="1017"/>
      <c r="GN87" s="1017"/>
      <c r="GO87" s="1017"/>
      <c r="GP87" s="1017"/>
      <c r="GQ87" s="1017"/>
      <c r="GR87" s="1017"/>
      <c r="GS87" s="1017"/>
      <c r="GT87" s="1017"/>
      <c r="GU87" s="1017"/>
      <c r="GV87" s="1017"/>
      <c r="GW87" s="1017"/>
      <c r="GX87" s="1017"/>
      <c r="GY87" s="1017"/>
      <c r="GZ87" s="1017"/>
      <c r="HA87" s="1017"/>
      <c r="HB87" s="1017"/>
      <c r="HC87" s="1017"/>
      <c r="HD87" s="1017"/>
      <c r="HE87" s="1017"/>
      <c r="HF87" s="1017"/>
      <c r="HG87" s="1017"/>
      <c r="HH87" s="1017"/>
      <c r="HI87" s="1017"/>
      <c r="HJ87" s="1017"/>
      <c r="HK87" s="1017"/>
      <c r="HL87" s="1017"/>
      <c r="HM87" s="1017"/>
      <c r="HN87" s="1017"/>
      <c r="HO87" s="1017"/>
      <c r="HP87" s="1017"/>
      <c r="HQ87" s="1017"/>
      <c r="HR87" s="1017"/>
      <c r="HS87" s="1017"/>
      <c r="HT87" s="1017"/>
      <c r="HU87" s="1017"/>
      <c r="HV87" s="1017"/>
      <c r="HW87" s="1017"/>
      <c r="HX87" s="1017"/>
      <c r="HY87" s="1017"/>
      <c r="HZ87" s="1017"/>
      <c r="IA87" s="1017"/>
      <c r="IB87" s="1017"/>
      <c r="IC87" s="1017"/>
      <c r="ID87" s="1017"/>
      <c r="IE87" s="1017"/>
      <c r="IF87" s="1017"/>
      <c r="IG87" s="1017"/>
      <c r="IH87" s="1017"/>
      <c r="II87" s="1017"/>
      <c r="IJ87" s="1017"/>
      <c r="IK87" s="1017"/>
      <c r="IL87" s="1017"/>
      <c r="IM87" s="1017"/>
    </row>
    <row r="88" spans="1:247">
      <c r="A88" s="1052" t="s">
        <v>966</v>
      </c>
      <c r="B88" s="1053"/>
      <c r="C88" s="1050">
        <v>189.62532300000001</v>
      </c>
      <c r="D88" s="1068">
        <v>222.80414207000001</v>
      </c>
      <c r="E88" s="1046">
        <v>244.42244241</v>
      </c>
      <c r="F88" s="1046">
        <v>249.56683108999999</v>
      </c>
      <c r="G88" s="1047">
        <v>428.87782313000002</v>
      </c>
      <c r="H88" s="1048">
        <v>222.80414207000001</v>
      </c>
      <c r="I88" s="1048">
        <v>244.42244241</v>
      </c>
      <c r="J88" s="1048">
        <v>249.56683108999999</v>
      </c>
      <c r="K88" s="1049">
        <v>428.87782313000002</v>
      </c>
      <c r="L88" s="1028"/>
      <c r="M88" s="1045"/>
      <c r="N88" s="1050">
        <f t="shared" si="59"/>
        <v>222.80414207000001</v>
      </c>
      <c r="O88" s="1045">
        <v>227.23960663564773</v>
      </c>
      <c r="P88" s="1046">
        <v>231.22881255110056</v>
      </c>
      <c r="Q88" s="1046">
        <v>236.01147095438193</v>
      </c>
      <c r="R88" s="1045">
        <f t="shared" si="71"/>
        <v>17.18283577435227</v>
      </c>
      <c r="S88" s="1046">
        <f t="shared" si="70"/>
        <v>18.338018538899433</v>
      </c>
      <c r="T88" s="1046">
        <f t="shared" si="70"/>
        <v>192.86635217561809</v>
      </c>
      <c r="U88" s="1050">
        <f t="shared" si="56"/>
        <v>4.4354645656477203</v>
      </c>
      <c r="V88" s="948"/>
      <c r="W88" s="1045">
        <f t="shared" si="73"/>
        <v>227.23960663564773</v>
      </c>
      <c r="X88" s="1046">
        <v>244.42244241</v>
      </c>
      <c r="Y88" s="1045">
        <f t="shared" si="7"/>
        <v>17.18283577435227</v>
      </c>
      <c r="Z88" s="1051">
        <f t="shared" si="42"/>
        <v>1.9199700189043597E-2</v>
      </c>
      <c r="AA88" s="1017"/>
      <c r="AB88" s="952"/>
      <c r="AC88" s="1017"/>
      <c r="AD88" s="1017"/>
      <c r="AE88" s="1017"/>
      <c r="AF88" s="1017"/>
      <c r="AG88" s="1017"/>
      <c r="AH88" s="1017"/>
      <c r="AI88" s="1017"/>
      <c r="AJ88" s="1017"/>
      <c r="AK88" s="1017"/>
      <c r="AL88" s="1017"/>
      <c r="AM88" s="1017"/>
      <c r="AN88" s="1017"/>
      <c r="AO88" s="1017"/>
      <c r="AP88" s="1017"/>
      <c r="AQ88" s="1017"/>
      <c r="AR88" s="1017"/>
      <c r="AS88" s="1017"/>
      <c r="AT88" s="1017"/>
      <c r="AU88" s="1017"/>
      <c r="AV88" s="1017"/>
      <c r="AW88" s="1017"/>
      <c r="AX88" s="1017"/>
      <c r="AY88" s="1017"/>
      <c r="AZ88" s="1017"/>
      <c r="BA88" s="1017"/>
      <c r="BB88" s="1017"/>
      <c r="BC88" s="1017"/>
      <c r="BD88" s="1017"/>
      <c r="BE88" s="1017"/>
      <c r="BF88" s="1017"/>
      <c r="BG88" s="1017"/>
      <c r="BH88" s="1017"/>
      <c r="BI88" s="1017"/>
      <c r="BJ88" s="1017"/>
      <c r="BK88" s="1017"/>
      <c r="BL88" s="1017"/>
      <c r="BM88" s="1017"/>
      <c r="BN88" s="1017"/>
      <c r="BO88" s="1017"/>
      <c r="BP88" s="1017"/>
      <c r="BQ88" s="1017"/>
      <c r="BR88" s="1017"/>
      <c r="BS88" s="1017"/>
      <c r="BT88" s="1017"/>
      <c r="BU88" s="1017"/>
      <c r="BV88" s="1017"/>
      <c r="BW88" s="1017"/>
      <c r="BX88" s="1017"/>
      <c r="BY88" s="1017"/>
      <c r="BZ88" s="1017"/>
      <c r="CA88" s="1017"/>
      <c r="CB88" s="1017"/>
      <c r="CC88" s="1017"/>
      <c r="CD88" s="1017"/>
      <c r="CE88" s="1017"/>
      <c r="CF88" s="1017"/>
      <c r="CG88" s="1017"/>
      <c r="CH88" s="1017"/>
      <c r="CI88" s="1017"/>
      <c r="CJ88" s="1017"/>
      <c r="CK88" s="1017"/>
      <c r="CL88" s="1017"/>
      <c r="CM88" s="1017"/>
      <c r="CN88" s="1017"/>
      <c r="CO88" s="1017"/>
      <c r="CP88" s="1017"/>
      <c r="CQ88" s="1017"/>
      <c r="CR88" s="1017"/>
      <c r="CS88" s="1017"/>
      <c r="CT88" s="1017"/>
      <c r="CU88" s="1017"/>
      <c r="CV88" s="1017"/>
      <c r="CW88" s="1017"/>
      <c r="CX88" s="1017"/>
      <c r="CY88" s="1017"/>
      <c r="CZ88" s="1017"/>
      <c r="DA88" s="1017"/>
      <c r="DB88" s="1017"/>
      <c r="DC88" s="1017"/>
      <c r="DD88" s="1017"/>
      <c r="DE88" s="1017"/>
      <c r="DF88" s="1017"/>
      <c r="DG88" s="1017"/>
      <c r="DH88" s="1017"/>
      <c r="DI88" s="1017"/>
      <c r="DJ88" s="1017"/>
      <c r="DK88" s="1017"/>
      <c r="DL88" s="1017"/>
      <c r="DM88" s="1017"/>
      <c r="DN88" s="1017"/>
      <c r="DO88" s="1017"/>
      <c r="DP88" s="1017"/>
      <c r="DQ88" s="1017"/>
      <c r="DR88" s="1017"/>
      <c r="DS88" s="1017"/>
      <c r="DT88" s="1017"/>
      <c r="DU88" s="1017"/>
      <c r="DV88" s="1017"/>
      <c r="DW88" s="1017"/>
      <c r="DX88" s="1017"/>
      <c r="DY88" s="1017"/>
      <c r="DZ88" s="1017"/>
      <c r="EA88" s="1017"/>
      <c r="EB88" s="1017"/>
      <c r="EC88" s="1017"/>
      <c r="ED88" s="1017"/>
      <c r="EE88" s="1017"/>
      <c r="EF88" s="1017"/>
      <c r="EG88" s="1017"/>
      <c r="EH88" s="1017"/>
      <c r="EI88" s="1017"/>
      <c r="EJ88" s="1017"/>
      <c r="EK88" s="1017"/>
      <c r="EL88" s="1017"/>
      <c r="EM88" s="1017"/>
      <c r="EN88" s="1017"/>
      <c r="EO88" s="1017"/>
      <c r="EP88" s="1017"/>
      <c r="EQ88" s="1017"/>
      <c r="ER88" s="1017"/>
      <c r="ES88" s="1017"/>
      <c r="ET88" s="1017"/>
      <c r="EU88" s="1017"/>
      <c r="EV88" s="1017"/>
      <c r="EW88" s="1017"/>
      <c r="EX88" s="1017"/>
      <c r="EY88" s="1017"/>
      <c r="EZ88" s="1017"/>
      <c r="FA88" s="1017"/>
      <c r="FB88" s="1017"/>
      <c r="FC88" s="1017"/>
      <c r="FD88" s="1017"/>
      <c r="FE88" s="1017"/>
      <c r="FF88" s="1017"/>
      <c r="FG88" s="1017"/>
      <c r="FH88" s="1017"/>
      <c r="FI88" s="1017"/>
      <c r="FJ88" s="1017"/>
      <c r="FK88" s="1017"/>
      <c r="FL88" s="1017"/>
      <c r="FM88" s="1017"/>
      <c r="FN88" s="1017"/>
      <c r="FO88" s="1017"/>
      <c r="FP88" s="1017"/>
      <c r="FQ88" s="1017"/>
      <c r="FR88" s="1017"/>
      <c r="FS88" s="1017"/>
      <c r="FT88" s="1017"/>
      <c r="FU88" s="1017"/>
      <c r="FV88" s="1017"/>
      <c r="FW88" s="1017"/>
      <c r="FX88" s="1017"/>
      <c r="FY88" s="1017"/>
      <c r="FZ88" s="1017"/>
      <c r="GA88" s="1017"/>
      <c r="GB88" s="1017"/>
      <c r="GC88" s="1017"/>
      <c r="GD88" s="1017"/>
      <c r="GE88" s="1017"/>
      <c r="GF88" s="1017"/>
      <c r="GG88" s="1017"/>
      <c r="GH88" s="1017"/>
      <c r="GI88" s="1017"/>
      <c r="GJ88" s="1017"/>
      <c r="GK88" s="1017"/>
      <c r="GL88" s="1017"/>
      <c r="GM88" s="1017"/>
      <c r="GN88" s="1017"/>
      <c r="GO88" s="1017"/>
      <c r="GP88" s="1017"/>
      <c r="GQ88" s="1017"/>
      <c r="GR88" s="1017"/>
      <c r="GS88" s="1017"/>
      <c r="GT88" s="1017"/>
      <c r="GU88" s="1017"/>
      <c r="GV88" s="1017"/>
      <c r="GW88" s="1017"/>
      <c r="GX88" s="1017"/>
      <c r="GY88" s="1017"/>
      <c r="GZ88" s="1017"/>
      <c r="HA88" s="1017"/>
      <c r="HB88" s="1017"/>
      <c r="HC88" s="1017"/>
      <c r="HD88" s="1017"/>
      <c r="HE88" s="1017"/>
      <c r="HF88" s="1017"/>
      <c r="HG88" s="1017"/>
      <c r="HH88" s="1017"/>
      <c r="HI88" s="1017"/>
      <c r="HJ88" s="1017"/>
      <c r="HK88" s="1017"/>
      <c r="HL88" s="1017"/>
      <c r="HM88" s="1017"/>
      <c r="HN88" s="1017"/>
      <c r="HO88" s="1017"/>
      <c r="HP88" s="1017"/>
      <c r="HQ88" s="1017"/>
      <c r="HR88" s="1017"/>
      <c r="HS88" s="1017"/>
      <c r="HT88" s="1017"/>
      <c r="HU88" s="1017"/>
      <c r="HV88" s="1017"/>
      <c r="HW88" s="1017"/>
      <c r="HX88" s="1017"/>
      <c r="HY88" s="1017"/>
      <c r="HZ88" s="1017"/>
      <c r="IA88" s="1017"/>
      <c r="IB88" s="1017"/>
      <c r="IC88" s="1017"/>
      <c r="ID88" s="1017"/>
      <c r="IE88" s="1017"/>
      <c r="IF88" s="1017"/>
      <c r="IG88" s="1017"/>
      <c r="IH88" s="1017"/>
      <c r="II88" s="1017"/>
      <c r="IJ88" s="1017"/>
      <c r="IK88" s="1017"/>
      <c r="IL88" s="1017"/>
      <c r="IM88" s="1017"/>
    </row>
    <row r="89" spans="1:247">
      <c r="A89" s="1052" t="s">
        <v>967</v>
      </c>
      <c r="B89" s="1053"/>
      <c r="C89" s="1050">
        <v>0</v>
      </c>
      <c r="D89" s="1068">
        <v>0</v>
      </c>
      <c r="E89" s="1046">
        <f>4+8+43.8</f>
        <v>55.8</v>
      </c>
      <c r="F89" s="1046">
        <v>0</v>
      </c>
      <c r="G89" s="1047">
        <v>0</v>
      </c>
      <c r="H89" s="1048">
        <v>0</v>
      </c>
      <c r="I89" s="1048">
        <v>55.8</v>
      </c>
      <c r="J89" s="1048">
        <v>0</v>
      </c>
      <c r="K89" s="1049">
        <v>0</v>
      </c>
      <c r="L89" s="1028"/>
      <c r="M89" s="1045"/>
      <c r="N89" s="1050">
        <f t="shared" si="59"/>
        <v>0</v>
      </c>
      <c r="O89" s="1045">
        <v>0</v>
      </c>
      <c r="P89" s="1046">
        <v>0</v>
      </c>
      <c r="Q89" s="1046">
        <v>0</v>
      </c>
      <c r="R89" s="1045">
        <f t="shared" si="71"/>
        <v>55.8</v>
      </c>
      <c r="S89" s="1046">
        <f t="shared" si="70"/>
        <v>0</v>
      </c>
      <c r="T89" s="1046">
        <f t="shared" si="70"/>
        <v>0</v>
      </c>
      <c r="U89" s="1050">
        <f t="shared" si="56"/>
        <v>0</v>
      </c>
      <c r="V89" s="948"/>
      <c r="W89" s="1045">
        <f t="shared" si="73"/>
        <v>0</v>
      </c>
      <c r="X89" s="1046">
        <v>55.8</v>
      </c>
      <c r="Y89" s="1045">
        <f t="shared" si="7"/>
        <v>55.8</v>
      </c>
      <c r="Z89" s="1051">
        <f t="shared" si="42"/>
        <v>6.2349619388655207E-2</v>
      </c>
      <c r="AA89" s="1017"/>
      <c r="AB89" s="952"/>
      <c r="AC89" s="1017"/>
      <c r="AD89" s="1017"/>
      <c r="AE89" s="1017"/>
      <c r="AF89" s="1017"/>
      <c r="AG89" s="1017"/>
      <c r="AH89" s="1017"/>
      <c r="AI89" s="1017"/>
      <c r="AJ89" s="1017"/>
      <c r="AK89" s="1017"/>
      <c r="AL89" s="1017"/>
      <c r="AM89" s="1017"/>
      <c r="AN89" s="1017"/>
      <c r="AO89" s="1017"/>
      <c r="AP89" s="1017"/>
      <c r="AQ89" s="1017"/>
      <c r="AR89" s="1017"/>
      <c r="AS89" s="1017"/>
      <c r="AT89" s="1017"/>
      <c r="AU89" s="1017"/>
      <c r="AV89" s="1017"/>
      <c r="AW89" s="1017"/>
      <c r="AX89" s="1017"/>
      <c r="AY89" s="1017"/>
      <c r="AZ89" s="1017"/>
      <c r="BA89" s="1017"/>
      <c r="BB89" s="1017"/>
      <c r="BC89" s="1017"/>
      <c r="BD89" s="1017"/>
      <c r="BE89" s="1017"/>
      <c r="BF89" s="1017"/>
      <c r="BG89" s="1017"/>
      <c r="BH89" s="1017"/>
      <c r="BI89" s="1017"/>
      <c r="BJ89" s="1017"/>
      <c r="BK89" s="1017"/>
      <c r="BL89" s="1017"/>
      <c r="BM89" s="1017"/>
      <c r="BN89" s="1017"/>
      <c r="BO89" s="1017"/>
      <c r="BP89" s="1017"/>
      <c r="BQ89" s="1017"/>
      <c r="BR89" s="1017"/>
      <c r="BS89" s="1017"/>
      <c r="BT89" s="1017"/>
      <c r="BU89" s="1017"/>
      <c r="BV89" s="1017"/>
      <c r="BW89" s="1017"/>
      <c r="BX89" s="1017"/>
      <c r="BY89" s="1017"/>
      <c r="BZ89" s="1017"/>
      <c r="CA89" s="1017"/>
      <c r="CB89" s="1017"/>
      <c r="CC89" s="1017"/>
      <c r="CD89" s="1017"/>
      <c r="CE89" s="1017"/>
      <c r="CF89" s="1017"/>
      <c r="CG89" s="1017"/>
      <c r="CH89" s="1017"/>
      <c r="CI89" s="1017"/>
      <c r="CJ89" s="1017"/>
      <c r="CK89" s="1017"/>
      <c r="CL89" s="1017"/>
      <c r="CM89" s="1017"/>
      <c r="CN89" s="1017"/>
      <c r="CO89" s="1017"/>
      <c r="CP89" s="1017"/>
      <c r="CQ89" s="1017"/>
      <c r="CR89" s="1017"/>
      <c r="CS89" s="1017"/>
      <c r="CT89" s="1017"/>
      <c r="CU89" s="1017"/>
      <c r="CV89" s="1017"/>
      <c r="CW89" s="1017"/>
      <c r="CX89" s="1017"/>
      <c r="CY89" s="1017"/>
      <c r="CZ89" s="1017"/>
      <c r="DA89" s="1017"/>
      <c r="DB89" s="1017"/>
      <c r="DC89" s="1017"/>
      <c r="DD89" s="1017"/>
      <c r="DE89" s="1017"/>
      <c r="DF89" s="1017"/>
      <c r="DG89" s="1017"/>
      <c r="DH89" s="1017"/>
      <c r="DI89" s="1017"/>
      <c r="DJ89" s="1017"/>
      <c r="DK89" s="1017"/>
      <c r="DL89" s="1017"/>
      <c r="DM89" s="1017"/>
      <c r="DN89" s="1017"/>
      <c r="DO89" s="1017"/>
      <c r="DP89" s="1017"/>
      <c r="DQ89" s="1017"/>
      <c r="DR89" s="1017"/>
      <c r="DS89" s="1017"/>
      <c r="DT89" s="1017"/>
      <c r="DU89" s="1017"/>
      <c r="DV89" s="1017"/>
      <c r="DW89" s="1017"/>
      <c r="DX89" s="1017"/>
      <c r="DY89" s="1017"/>
      <c r="DZ89" s="1017"/>
      <c r="EA89" s="1017"/>
      <c r="EB89" s="1017"/>
      <c r="EC89" s="1017"/>
      <c r="ED89" s="1017"/>
      <c r="EE89" s="1017"/>
      <c r="EF89" s="1017"/>
      <c r="EG89" s="1017"/>
      <c r="EH89" s="1017"/>
      <c r="EI89" s="1017"/>
      <c r="EJ89" s="1017"/>
      <c r="EK89" s="1017"/>
      <c r="EL89" s="1017"/>
      <c r="EM89" s="1017"/>
      <c r="EN89" s="1017"/>
      <c r="EO89" s="1017"/>
      <c r="EP89" s="1017"/>
      <c r="EQ89" s="1017"/>
      <c r="ER89" s="1017"/>
      <c r="ES89" s="1017"/>
      <c r="ET89" s="1017"/>
      <c r="EU89" s="1017"/>
      <c r="EV89" s="1017"/>
      <c r="EW89" s="1017"/>
      <c r="EX89" s="1017"/>
      <c r="EY89" s="1017"/>
      <c r="EZ89" s="1017"/>
      <c r="FA89" s="1017"/>
      <c r="FB89" s="1017"/>
      <c r="FC89" s="1017"/>
      <c r="FD89" s="1017"/>
      <c r="FE89" s="1017"/>
      <c r="FF89" s="1017"/>
      <c r="FG89" s="1017"/>
      <c r="FH89" s="1017"/>
      <c r="FI89" s="1017"/>
      <c r="FJ89" s="1017"/>
      <c r="FK89" s="1017"/>
      <c r="FL89" s="1017"/>
      <c r="FM89" s="1017"/>
      <c r="FN89" s="1017"/>
      <c r="FO89" s="1017"/>
      <c r="FP89" s="1017"/>
      <c r="FQ89" s="1017"/>
      <c r="FR89" s="1017"/>
      <c r="FS89" s="1017"/>
      <c r="FT89" s="1017"/>
      <c r="FU89" s="1017"/>
      <c r="FV89" s="1017"/>
      <c r="FW89" s="1017"/>
      <c r="FX89" s="1017"/>
      <c r="FY89" s="1017"/>
      <c r="FZ89" s="1017"/>
      <c r="GA89" s="1017"/>
      <c r="GB89" s="1017"/>
      <c r="GC89" s="1017"/>
      <c r="GD89" s="1017"/>
      <c r="GE89" s="1017"/>
      <c r="GF89" s="1017"/>
      <c r="GG89" s="1017"/>
      <c r="GH89" s="1017"/>
      <c r="GI89" s="1017"/>
      <c r="GJ89" s="1017"/>
      <c r="GK89" s="1017"/>
      <c r="GL89" s="1017"/>
      <c r="GM89" s="1017"/>
      <c r="GN89" s="1017"/>
      <c r="GO89" s="1017"/>
      <c r="GP89" s="1017"/>
      <c r="GQ89" s="1017"/>
      <c r="GR89" s="1017"/>
      <c r="GS89" s="1017"/>
      <c r="GT89" s="1017"/>
      <c r="GU89" s="1017"/>
      <c r="GV89" s="1017"/>
      <c r="GW89" s="1017"/>
      <c r="GX89" s="1017"/>
      <c r="GY89" s="1017"/>
      <c r="GZ89" s="1017"/>
      <c r="HA89" s="1017"/>
      <c r="HB89" s="1017"/>
      <c r="HC89" s="1017"/>
      <c r="HD89" s="1017"/>
      <c r="HE89" s="1017"/>
      <c r="HF89" s="1017"/>
      <c r="HG89" s="1017"/>
      <c r="HH89" s="1017"/>
      <c r="HI89" s="1017"/>
      <c r="HJ89" s="1017"/>
      <c r="HK89" s="1017"/>
      <c r="HL89" s="1017"/>
      <c r="HM89" s="1017"/>
      <c r="HN89" s="1017"/>
      <c r="HO89" s="1017"/>
      <c r="HP89" s="1017"/>
      <c r="HQ89" s="1017"/>
      <c r="HR89" s="1017"/>
      <c r="HS89" s="1017"/>
      <c r="HT89" s="1017"/>
      <c r="HU89" s="1017"/>
      <c r="HV89" s="1017"/>
      <c r="HW89" s="1017"/>
      <c r="HX89" s="1017"/>
      <c r="HY89" s="1017"/>
      <c r="HZ89" s="1017"/>
      <c r="IA89" s="1017"/>
      <c r="IB89" s="1017"/>
      <c r="IC89" s="1017"/>
      <c r="ID89" s="1017"/>
      <c r="IE89" s="1017"/>
      <c r="IF89" s="1017"/>
      <c r="IG89" s="1017"/>
      <c r="IH89" s="1017"/>
      <c r="II89" s="1017"/>
      <c r="IJ89" s="1017"/>
      <c r="IK89" s="1017"/>
      <c r="IL89" s="1017"/>
      <c r="IM89" s="1017"/>
    </row>
    <row r="90" spans="1:247">
      <c r="A90" s="1052" t="s">
        <v>968</v>
      </c>
      <c r="B90" s="1053"/>
      <c r="C90" s="1050">
        <v>101.783</v>
      </c>
      <c r="D90" s="1068">
        <v>153.2547284</v>
      </c>
      <c r="E90" s="1046">
        <v>84.994084240000007</v>
      </c>
      <c r="F90" s="1046">
        <v>82.821587820000005</v>
      </c>
      <c r="G90" s="1047">
        <v>83.539216330000002</v>
      </c>
      <c r="H90" s="1048">
        <v>153.2547284</v>
      </c>
      <c r="I90" s="1048">
        <v>84.994084240000007</v>
      </c>
      <c r="J90" s="1048">
        <v>82.821587820000005</v>
      </c>
      <c r="K90" s="1049">
        <v>83.539216330000002</v>
      </c>
      <c r="L90" s="1028"/>
      <c r="M90" s="1045"/>
      <c r="N90" s="1050">
        <f t="shared" si="59"/>
        <v>153.2547284</v>
      </c>
      <c r="O90" s="1045">
        <v>156.3056407888846</v>
      </c>
      <c r="P90" s="1046">
        <v>159.04959636989133</v>
      </c>
      <c r="Q90" s="1046">
        <v>162.33932432474498</v>
      </c>
      <c r="R90" s="1045">
        <f t="shared" si="71"/>
        <v>-71.311556548884596</v>
      </c>
      <c r="S90" s="1046">
        <f t="shared" si="70"/>
        <v>-76.228008549891328</v>
      </c>
      <c r="T90" s="1046">
        <f t="shared" si="70"/>
        <v>-78.800107994744977</v>
      </c>
      <c r="U90" s="1050">
        <f t="shared" si="56"/>
        <v>3.0509123888845977</v>
      </c>
      <c r="V90" s="948"/>
      <c r="W90" s="1045">
        <f t="shared" si="73"/>
        <v>156.3056407888846</v>
      </c>
      <c r="X90" s="1046">
        <v>84.994084240000007</v>
      </c>
      <c r="Y90" s="1045">
        <f t="shared" si="7"/>
        <v>-71.311556548884596</v>
      </c>
      <c r="Z90" s="1051">
        <f t="shared" si="42"/>
        <v>-7.9681871126084533E-2</v>
      </c>
      <c r="AA90" s="1017"/>
      <c r="AB90" s="952"/>
      <c r="AC90" s="1017"/>
      <c r="AD90" s="1017"/>
      <c r="AE90" s="1017"/>
      <c r="AF90" s="1017"/>
      <c r="AG90" s="1017"/>
      <c r="AH90" s="1017"/>
      <c r="AI90" s="1017"/>
      <c r="AJ90" s="1017"/>
      <c r="AK90" s="1017"/>
      <c r="AL90" s="1017"/>
      <c r="AM90" s="1017"/>
      <c r="AN90" s="1017"/>
      <c r="AO90" s="1017"/>
      <c r="AP90" s="1017"/>
      <c r="AQ90" s="1017"/>
      <c r="AR90" s="1017"/>
      <c r="AS90" s="1017"/>
      <c r="AT90" s="1017"/>
      <c r="AU90" s="1017"/>
      <c r="AV90" s="1017"/>
      <c r="AW90" s="1017"/>
      <c r="AX90" s="1017"/>
      <c r="AY90" s="1017"/>
      <c r="AZ90" s="1017"/>
      <c r="BA90" s="1017"/>
      <c r="BB90" s="1017"/>
      <c r="BC90" s="1017"/>
      <c r="BD90" s="1017"/>
      <c r="BE90" s="1017"/>
      <c r="BF90" s="1017"/>
      <c r="BG90" s="1017"/>
      <c r="BH90" s="1017"/>
      <c r="BI90" s="1017"/>
      <c r="BJ90" s="1017"/>
      <c r="BK90" s="1017"/>
      <c r="BL90" s="1017"/>
      <c r="BM90" s="1017"/>
      <c r="BN90" s="1017"/>
      <c r="BO90" s="1017"/>
      <c r="BP90" s="1017"/>
      <c r="BQ90" s="1017"/>
      <c r="BR90" s="1017"/>
      <c r="BS90" s="1017"/>
      <c r="BT90" s="1017"/>
      <c r="BU90" s="1017"/>
      <c r="BV90" s="1017"/>
      <c r="BW90" s="1017"/>
      <c r="BX90" s="1017"/>
      <c r="BY90" s="1017"/>
      <c r="BZ90" s="1017"/>
      <c r="CA90" s="1017"/>
      <c r="CB90" s="1017"/>
      <c r="CC90" s="1017"/>
      <c r="CD90" s="1017"/>
      <c r="CE90" s="1017"/>
      <c r="CF90" s="1017"/>
      <c r="CG90" s="1017"/>
      <c r="CH90" s="1017"/>
      <c r="CI90" s="1017"/>
      <c r="CJ90" s="1017"/>
      <c r="CK90" s="1017"/>
      <c r="CL90" s="1017"/>
      <c r="CM90" s="1017"/>
      <c r="CN90" s="1017"/>
      <c r="CO90" s="1017"/>
      <c r="CP90" s="1017"/>
      <c r="CQ90" s="1017"/>
      <c r="CR90" s="1017"/>
      <c r="CS90" s="1017"/>
      <c r="CT90" s="1017"/>
      <c r="CU90" s="1017"/>
      <c r="CV90" s="1017"/>
      <c r="CW90" s="1017"/>
      <c r="CX90" s="1017"/>
      <c r="CY90" s="1017"/>
      <c r="CZ90" s="1017"/>
      <c r="DA90" s="1017"/>
      <c r="DB90" s="1017"/>
      <c r="DC90" s="1017"/>
      <c r="DD90" s="1017"/>
      <c r="DE90" s="1017"/>
      <c r="DF90" s="1017"/>
      <c r="DG90" s="1017"/>
      <c r="DH90" s="1017"/>
      <c r="DI90" s="1017"/>
      <c r="DJ90" s="1017"/>
      <c r="DK90" s="1017"/>
      <c r="DL90" s="1017"/>
      <c r="DM90" s="1017"/>
      <c r="DN90" s="1017"/>
      <c r="DO90" s="1017"/>
      <c r="DP90" s="1017"/>
      <c r="DQ90" s="1017"/>
      <c r="DR90" s="1017"/>
      <c r="DS90" s="1017"/>
      <c r="DT90" s="1017"/>
      <c r="DU90" s="1017"/>
      <c r="DV90" s="1017"/>
      <c r="DW90" s="1017"/>
      <c r="DX90" s="1017"/>
      <c r="DY90" s="1017"/>
      <c r="DZ90" s="1017"/>
      <c r="EA90" s="1017"/>
      <c r="EB90" s="1017"/>
      <c r="EC90" s="1017"/>
      <c r="ED90" s="1017"/>
      <c r="EE90" s="1017"/>
      <c r="EF90" s="1017"/>
      <c r="EG90" s="1017"/>
      <c r="EH90" s="1017"/>
      <c r="EI90" s="1017"/>
      <c r="EJ90" s="1017"/>
      <c r="EK90" s="1017"/>
      <c r="EL90" s="1017"/>
      <c r="EM90" s="1017"/>
      <c r="EN90" s="1017"/>
      <c r="EO90" s="1017"/>
      <c r="EP90" s="1017"/>
      <c r="EQ90" s="1017"/>
      <c r="ER90" s="1017"/>
      <c r="ES90" s="1017"/>
      <c r="ET90" s="1017"/>
      <c r="EU90" s="1017"/>
      <c r="EV90" s="1017"/>
      <c r="EW90" s="1017"/>
      <c r="EX90" s="1017"/>
      <c r="EY90" s="1017"/>
      <c r="EZ90" s="1017"/>
      <c r="FA90" s="1017"/>
      <c r="FB90" s="1017"/>
      <c r="FC90" s="1017"/>
      <c r="FD90" s="1017"/>
      <c r="FE90" s="1017"/>
      <c r="FF90" s="1017"/>
      <c r="FG90" s="1017"/>
      <c r="FH90" s="1017"/>
      <c r="FI90" s="1017"/>
      <c r="FJ90" s="1017"/>
      <c r="FK90" s="1017"/>
      <c r="FL90" s="1017"/>
      <c r="FM90" s="1017"/>
      <c r="FN90" s="1017"/>
      <c r="FO90" s="1017"/>
      <c r="FP90" s="1017"/>
      <c r="FQ90" s="1017"/>
      <c r="FR90" s="1017"/>
      <c r="FS90" s="1017"/>
      <c r="FT90" s="1017"/>
      <c r="FU90" s="1017"/>
      <c r="FV90" s="1017"/>
      <c r="FW90" s="1017"/>
      <c r="FX90" s="1017"/>
      <c r="FY90" s="1017"/>
      <c r="FZ90" s="1017"/>
      <c r="GA90" s="1017"/>
      <c r="GB90" s="1017"/>
      <c r="GC90" s="1017"/>
      <c r="GD90" s="1017"/>
      <c r="GE90" s="1017"/>
      <c r="GF90" s="1017"/>
      <c r="GG90" s="1017"/>
      <c r="GH90" s="1017"/>
      <c r="GI90" s="1017"/>
      <c r="GJ90" s="1017"/>
      <c r="GK90" s="1017"/>
      <c r="GL90" s="1017"/>
      <c r="GM90" s="1017"/>
      <c r="GN90" s="1017"/>
      <c r="GO90" s="1017"/>
      <c r="GP90" s="1017"/>
      <c r="GQ90" s="1017"/>
      <c r="GR90" s="1017"/>
      <c r="GS90" s="1017"/>
      <c r="GT90" s="1017"/>
      <c r="GU90" s="1017"/>
      <c r="GV90" s="1017"/>
      <c r="GW90" s="1017"/>
      <c r="GX90" s="1017"/>
      <c r="GY90" s="1017"/>
      <c r="GZ90" s="1017"/>
      <c r="HA90" s="1017"/>
      <c r="HB90" s="1017"/>
      <c r="HC90" s="1017"/>
      <c r="HD90" s="1017"/>
      <c r="HE90" s="1017"/>
      <c r="HF90" s="1017"/>
      <c r="HG90" s="1017"/>
      <c r="HH90" s="1017"/>
      <c r="HI90" s="1017"/>
      <c r="HJ90" s="1017"/>
      <c r="HK90" s="1017"/>
      <c r="HL90" s="1017"/>
      <c r="HM90" s="1017"/>
      <c r="HN90" s="1017"/>
      <c r="HO90" s="1017"/>
      <c r="HP90" s="1017"/>
      <c r="HQ90" s="1017"/>
      <c r="HR90" s="1017"/>
      <c r="HS90" s="1017"/>
      <c r="HT90" s="1017"/>
      <c r="HU90" s="1017"/>
      <c r="HV90" s="1017"/>
      <c r="HW90" s="1017"/>
      <c r="HX90" s="1017"/>
      <c r="HY90" s="1017"/>
      <c r="HZ90" s="1017"/>
      <c r="IA90" s="1017"/>
      <c r="IB90" s="1017"/>
      <c r="IC90" s="1017"/>
      <c r="ID90" s="1017"/>
      <c r="IE90" s="1017"/>
      <c r="IF90" s="1017"/>
      <c r="IG90" s="1017"/>
      <c r="IH90" s="1017"/>
      <c r="II90" s="1017"/>
      <c r="IJ90" s="1017"/>
      <c r="IK90" s="1017"/>
      <c r="IL90" s="1017"/>
      <c r="IM90" s="1017"/>
    </row>
    <row r="91" spans="1:247">
      <c r="A91" s="1052" t="s">
        <v>969</v>
      </c>
      <c r="B91" s="1053"/>
      <c r="C91" s="1050">
        <v>78.429616010000004</v>
      </c>
      <c r="D91" s="1068">
        <v>149.84603892000001</v>
      </c>
      <c r="E91" s="1046">
        <v>157.36740386</v>
      </c>
      <c r="F91" s="1046">
        <v>148.40965161</v>
      </c>
      <c r="G91" s="1047">
        <v>153.68922142</v>
      </c>
      <c r="H91" s="1048">
        <v>149.84603892000001</v>
      </c>
      <c r="I91" s="1048">
        <v>157.36740386</v>
      </c>
      <c r="J91" s="1048">
        <v>148.40965161</v>
      </c>
      <c r="K91" s="1049">
        <v>153.68922142</v>
      </c>
      <c r="L91" s="1028"/>
      <c r="M91" s="1045"/>
      <c r="N91" s="1050">
        <f t="shared" si="59"/>
        <v>149.84603892000001</v>
      </c>
      <c r="O91" s="1045">
        <v>152.82909295910991</v>
      </c>
      <c r="P91" s="1046">
        <v>155.51201751927823</v>
      </c>
      <c r="Q91" s="1046">
        <v>158.72857539195013</v>
      </c>
      <c r="R91" s="1045">
        <f t="shared" si="71"/>
        <v>4.5383109008900817</v>
      </c>
      <c r="S91" s="1046">
        <f t="shared" si="70"/>
        <v>-7.1023659092782339</v>
      </c>
      <c r="T91" s="1046">
        <f t="shared" si="70"/>
        <v>-5.0393539719501348</v>
      </c>
      <c r="U91" s="1050">
        <f t="shared" si="56"/>
        <v>2.9830540391099021</v>
      </c>
      <c r="V91" s="948"/>
      <c r="W91" s="1045">
        <f t="shared" si="73"/>
        <v>152.82909295910991</v>
      </c>
      <c r="X91" s="1046">
        <v>157.36740386</v>
      </c>
      <c r="Y91" s="1045">
        <f t="shared" si="7"/>
        <v>4.5383109008900817</v>
      </c>
      <c r="Z91" s="1051">
        <f t="shared" si="42"/>
        <v>5.0710028196752953E-3</v>
      </c>
      <c r="AA91" s="1017"/>
      <c r="AB91" s="952"/>
      <c r="AC91" s="1017"/>
      <c r="AD91" s="1017"/>
      <c r="AE91" s="1017"/>
      <c r="AF91" s="1017"/>
      <c r="AG91" s="1017"/>
      <c r="AH91" s="1017"/>
      <c r="AI91" s="1017"/>
      <c r="AJ91" s="1017"/>
      <c r="AK91" s="1017"/>
      <c r="AL91" s="1017"/>
      <c r="AM91" s="1017"/>
      <c r="AN91" s="1017"/>
      <c r="AO91" s="1017"/>
      <c r="AP91" s="1017"/>
      <c r="AQ91" s="1017"/>
      <c r="AR91" s="1017"/>
      <c r="AS91" s="1017"/>
      <c r="AT91" s="1017"/>
      <c r="AU91" s="1017"/>
      <c r="AV91" s="1017"/>
      <c r="AW91" s="1017"/>
      <c r="AX91" s="1017"/>
      <c r="AY91" s="1017"/>
      <c r="AZ91" s="1017"/>
      <c r="BA91" s="1017"/>
      <c r="BB91" s="1017"/>
      <c r="BC91" s="1017"/>
      <c r="BD91" s="1017"/>
      <c r="BE91" s="1017"/>
      <c r="BF91" s="1017"/>
      <c r="BG91" s="1017"/>
      <c r="BH91" s="1017"/>
      <c r="BI91" s="1017"/>
      <c r="BJ91" s="1017"/>
      <c r="BK91" s="1017"/>
      <c r="BL91" s="1017"/>
      <c r="BM91" s="1017"/>
      <c r="BN91" s="1017"/>
      <c r="BO91" s="1017"/>
      <c r="BP91" s="1017"/>
      <c r="BQ91" s="1017"/>
      <c r="BR91" s="1017"/>
      <c r="BS91" s="1017"/>
      <c r="BT91" s="1017"/>
      <c r="BU91" s="1017"/>
      <c r="BV91" s="1017"/>
      <c r="BW91" s="1017"/>
      <c r="BX91" s="1017"/>
      <c r="BY91" s="1017"/>
      <c r="BZ91" s="1017"/>
      <c r="CA91" s="1017"/>
      <c r="CB91" s="1017"/>
      <c r="CC91" s="1017"/>
      <c r="CD91" s="1017"/>
      <c r="CE91" s="1017"/>
      <c r="CF91" s="1017"/>
      <c r="CG91" s="1017"/>
      <c r="CH91" s="1017"/>
      <c r="CI91" s="1017"/>
      <c r="CJ91" s="1017"/>
      <c r="CK91" s="1017"/>
      <c r="CL91" s="1017"/>
      <c r="CM91" s="1017"/>
      <c r="CN91" s="1017"/>
      <c r="CO91" s="1017"/>
      <c r="CP91" s="1017"/>
      <c r="CQ91" s="1017"/>
      <c r="CR91" s="1017"/>
      <c r="CS91" s="1017"/>
      <c r="CT91" s="1017"/>
      <c r="CU91" s="1017"/>
      <c r="CV91" s="1017"/>
      <c r="CW91" s="1017"/>
      <c r="CX91" s="1017"/>
      <c r="CY91" s="1017"/>
      <c r="CZ91" s="1017"/>
      <c r="DA91" s="1017"/>
      <c r="DB91" s="1017"/>
      <c r="DC91" s="1017"/>
      <c r="DD91" s="1017"/>
      <c r="DE91" s="1017"/>
      <c r="DF91" s="1017"/>
      <c r="DG91" s="1017"/>
      <c r="DH91" s="1017"/>
      <c r="DI91" s="1017"/>
      <c r="DJ91" s="1017"/>
      <c r="DK91" s="1017"/>
      <c r="DL91" s="1017"/>
      <c r="DM91" s="1017"/>
      <c r="DN91" s="1017"/>
      <c r="DO91" s="1017"/>
      <c r="DP91" s="1017"/>
      <c r="DQ91" s="1017"/>
      <c r="DR91" s="1017"/>
      <c r="DS91" s="1017"/>
      <c r="DT91" s="1017"/>
      <c r="DU91" s="1017"/>
      <c r="DV91" s="1017"/>
      <c r="DW91" s="1017"/>
      <c r="DX91" s="1017"/>
      <c r="DY91" s="1017"/>
      <c r="DZ91" s="1017"/>
      <c r="EA91" s="1017"/>
      <c r="EB91" s="1017"/>
      <c r="EC91" s="1017"/>
      <c r="ED91" s="1017"/>
      <c r="EE91" s="1017"/>
      <c r="EF91" s="1017"/>
      <c r="EG91" s="1017"/>
      <c r="EH91" s="1017"/>
      <c r="EI91" s="1017"/>
      <c r="EJ91" s="1017"/>
      <c r="EK91" s="1017"/>
      <c r="EL91" s="1017"/>
      <c r="EM91" s="1017"/>
      <c r="EN91" s="1017"/>
      <c r="EO91" s="1017"/>
      <c r="EP91" s="1017"/>
      <c r="EQ91" s="1017"/>
      <c r="ER91" s="1017"/>
      <c r="ES91" s="1017"/>
      <c r="ET91" s="1017"/>
      <c r="EU91" s="1017"/>
      <c r="EV91" s="1017"/>
      <c r="EW91" s="1017"/>
      <c r="EX91" s="1017"/>
      <c r="EY91" s="1017"/>
      <c r="EZ91" s="1017"/>
      <c r="FA91" s="1017"/>
      <c r="FB91" s="1017"/>
      <c r="FC91" s="1017"/>
      <c r="FD91" s="1017"/>
      <c r="FE91" s="1017"/>
      <c r="FF91" s="1017"/>
      <c r="FG91" s="1017"/>
      <c r="FH91" s="1017"/>
      <c r="FI91" s="1017"/>
      <c r="FJ91" s="1017"/>
      <c r="FK91" s="1017"/>
      <c r="FL91" s="1017"/>
      <c r="FM91" s="1017"/>
      <c r="FN91" s="1017"/>
      <c r="FO91" s="1017"/>
      <c r="FP91" s="1017"/>
      <c r="FQ91" s="1017"/>
      <c r="FR91" s="1017"/>
      <c r="FS91" s="1017"/>
      <c r="FT91" s="1017"/>
      <c r="FU91" s="1017"/>
      <c r="FV91" s="1017"/>
      <c r="FW91" s="1017"/>
      <c r="FX91" s="1017"/>
      <c r="FY91" s="1017"/>
      <c r="FZ91" s="1017"/>
      <c r="GA91" s="1017"/>
      <c r="GB91" s="1017"/>
      <c r="GC91" s="1017"/>
      <c r="GD91" s="1017"/>
      <c r="GE91" s="1017"/>
      <c r="GF91" s="1017"/>
      <c r="GG91" s="1017"/>
      <c r="GH91" s="1017"/>
      <c r="GI91" s="1017"/>
      <c r="GJ91" s="1017"/>
      <c r="GK91" s="1017"/>
      <c r="GL91" s="1017"/>
      <c r="GM91" s="1017"/>
      <c r="GN91" s="1017"/>
      <c r="GO91" s="1017"/>
      <c r="GP91" s="1017"/>
      <c r="GQ91" s="1017"/>
      <c r="GR91" s="1017"/>
      <c r="GS91" s="1017"/>
      <c r="GT91" s="1017"/>
      <c r="GU91" s="1017"/>
      <c r="GV91" s="1017"/>
      <c r="GW91" s="1017"/>
      <c r="GX91" s="1017"/>
      <c r="GY91" s="1017"/>
      <c r="GZ91" s="1017"/>
      <c r="HA91" s="1017"/>
      <c r="HB91" s="1017"/>
      <c r="HC91" s="1017"/>
      <c r="HD91" s="1017"/>
      <c r="HE91" s="1017"/>
      <c r="HF91" s="1017"/>
      <c r="HG91" s="1017"/>
      <c r="HH91" s="1017"/>
      <c r="HI91" s="1017"/>
      <c r="HJ91" s="1017"/>
      <c r="HK91" s="1017"/>
      <c r="HL91" s="1017"/>
      <c r="HM91" s="1017"/>
      <c r="HN91" s="1017"/>
      <c r="HO91" s="1017"/>
      <c r="HP91" s="1017"/>
      <c r="HQ91" s="1017"/>
      <c r="HR91" s="1017"/>
      <c r="HS91" s="1017"/>
      <c r="HT91" s="1017"/>
      <c r="HU91" s="1017"/>
      <c r="HV91" s="1017"/>
      <c r="HW91" s="1017"/>
      <c r="HX91" s="1017"/>
      <c r="HY91" s="1017"/>
      <c r="HZ91" s="1017"/>
      <c r="IA91" s="1017"/>
      <c r="IB91" s="1017"/>
      <c r="IC91" s="1017"/>
      <c r="ID91" s="1017"/>
      <c r="IE91" s="1017"/>
      <c r="IF91" s="1017"/>
      <c r="IG91" s="1017"/>
      <c r="IH91" s="1017"/>
      <c r="II91" s="1017"/>
      <c r="IJ91" s="1017"/>
      <c r="IK91" s="1017"/>
      <c r="IL91" s="1017"/>
      <c r="IM91" s="1017"/>
    </row>
    <row r="92" spans="1:247">
      <c r="A92" s="1052" t="s">
        <v>970</v>
      </c>
      <c r="B92" s="1053"/>
      <c r="C92" s="1050">
        <v>0</v>
      </c>
      <c r="D92" s="1075">
        <v>0</v>
      </c>
      <c r="E92" s="1046">
        <v>0</v>
      </c>
      <c r="F92" s="1046">
        <v>0</v>
      </c>
      <c r="G92" s="1047">
        <v>0</v>
      </c>
      <c r="H92" s="1048">
        <v>0</v>
      </c>
      <c r="I92" s="1048">
        <v>0</v>
      </c>
      <c r="J92" s="1048">
        <v>0</v>
      </c>
      <c r="K92" s="1049">
        <v>0</v>
      </c>
      <c r="L92" s="1028"/>
      <c r="M92" s="1045"/>
      <c r="N92" s="1050">
        <f t="shared" si="59"/>
        <v>0</v>
      </c>
      <c r="O92" s="1045">
        <v>0</v>
      </c>
      <c r="P92" s="1046">
        <v>0</v>
      </c>
      <c r="Q92" s="1046">
        <v>0</v>
      </c>
      <c r="R92" s="1045">
        <f t="shared" si="71"/>
        <v>0</v>
      </c>
      <c r="S92" s="1046">
        <f t="shared" si="70"/>
        <v>0</v>
      </c>
      <c r="T92" s="1046">
        <f t="shared" si="70"/>
        <v>0</v>
      </c>
      <c r="U92" s="1050">
        <f t="shared" si="56"/>
        <v>0</v>
      </c>
      <c r="V92" s="948"/>
      <c r="W92" s="1045">
        <f t="shared" si="73"/>
        <v>0</v>
      </c>
      <c r="X92" s="1046">
        <v>0</v>
      </c>
      <c r="Y92" s="1045">
        <f t="shared" si="7"/>
        <v>0</v>
      </c>
      <c r="Z92" s="1051">
        <f t="shared" si="42"/>
        <v>0</v>
      </c>
      <c r="AA92" s="1017"/>
      <c r="AB92" s="952"/>
      <c r="AC92" s="1017"/>
      <c r="AD92" s="1017"/>
      <c r="AE92" s="1017"/>
      <c r="AF92" s="1017"/>
      <c r="AG92" s="1017"/>
      <c r="AH92" s="1017"/>
      <c r="AI92" s="1017"/>
      <c r="AJ92" s="1017"/>
      <c r="AK92" s="1017"/>
      <c r="AL92" s="1017"/>
      <c r="AM92" s="1017"/>
      <c r="AN92" s="1017"/>
      <c r="AO92" s="1017"/>
      <c r="AP92" s="1017"/>
      <c r="AQ92" s="1017"/>
      <c r="AR92" s="1017"/>
      <c r="AS92" s="1017"/>
      <c r="AT92" s="1017"/>
      <c r="AU92" s="1017"/>
      <c r="AV92" s="1017"/>
      <c r="AW92" s="1017"/>
      <c r="AX92" s="1017"/>
      <c r="AY92" s="1017"/>
      <c r="AZ92" s="1017"/>
      <c r="BA92" s="1017"/>
      <c r="BB92" s="1017"/>
      <c r="BC92" s="1017"/>
      <c r="BD92" s="1017"/>
      <c r="BE92" s="1017"/>
      <c r="BF92" s="1017"/>
      <c r="BG92" s="1017"/>
      <c r="BH92" s="1017"/>
      <c r="BI92" s="1017"/>
      <c r="BJ92" s="1017"/>
      <c r="BK92" s="1017"/>
      <c r="BL92" s="1017"/>
      <c r="BM92" s="1017"/>
      <c r="BN92" s="1017"/>
      <c r="BO92" s="1017"/>
      <c r="BP92" s="1017"/>
      <c r="BQ92" s="1017"/>
      <c r="BR92" s="1017"/>
      <c r="BS92" s="1017"/>
      <c r="BT92" s="1017"/>
      <c r="BU92" s="1017"/>
      <c r="BV92" s="1017"/>
      <c r="BW92" s="1017"/>
      <c r="BX92" s="1017"/>
      <c r="BY92" s="1017"/>
      <c r="BZ92" s="1017"/>
      <c r="CA92" s="1017"/>
      <c r="CB92" s="1017"/>
      <c r="CC92" s="1017"/>
      <c r="CD92" s="1017"/>
      <c r="CE92" s="1017"/>
      <c r="CF92" s="1017"/>
      <c r="CG92" s="1017"/>
      <c r="CH92" s="1017"/>
      <c r="CI92" s="1017"/>
      <c r="CJ92" s="1017"/>
      <c r="CK92" s="1017"/>
      <c r="CL92" s="1017"/>
      <c r="CM92" s="1017"/>
      <c r="CN92" s="1017"/>
      <c r="CO92" s="1017"/>
      <c r="CP92" s="1017"/>
      <c r="CQ92" s="1017"/>
      <c r="CR92" s="1017"/>
      <c r="CS92" s="1017"/>
      <c r="CT92" s="1017"/>
      <c r="CU92" s="1017"/>
      <c r="CV92" s="1017"/>
      <c r="CW92" s="1017"/>
      <c r="CX92" s="1017"/>
      <c r="CY92" s="1017"/>
      <c r="CZ92" s="1017"/>
      <c r="DA92" s="1017"/>
      <c r="DB92" s="1017"/>
      <c r="DC92" s="1017"/>
      <c r="DD92" s="1017"/>
      <c r="DE92" s="1017"/>
      <c r="DF92" s="1017"/>
      <c r="DG92" s="1017"/>
      <c r="DH92" s="1017"/>
      <c r="DI92" s="1017"/>
      <c r="DJ92" s="1017"/>
      <c r="DK92" s="1017"/>
      <c r="DL92" s="1017"/>
      <c r="DM92" s="1017"/>
      <c r="DN92" s="1017"/>
      <c r="DO92" s="1017"/>
      <c r="DP92" s="1017"/>
      <c r="DQ92" s="1017"/>
      <c r="DR92" s="1017"/>
      <c r="DS92" s="1017"/>
      <c r="DT92" s="1017"/>
      <c r="DU92" s="1017"/>
      <c r="DV92" s="1017"/>
      <c r="DW92" s="1017"/>
      <c r="DX92" s="1017"/>
      <c r="DY92" s="1017"/>
      <c r="DZ92" s="1017"/>
      <c r="EA92" s="1017"/>
      <c r="EB92" s="1017"/>
      <c r="EC92" s="1017"/>
      <c r="ED92" s="1017"/>
      <c r="EE92" s="1017"/>
      <c r="EF92" s="1017"/>
      <c r="EG92" s="1017"/>
      <c r="EH92" s="1017"/>
      <c r="EI92" s="1017"/>
      <c r="EJ92" s="1017"/>
      <c r="EK92" s="1017"/>
      <c r="EL92" s="1017"/>
      <c r="EM92" s="1017"/>
      <c r="EN92" s="1017"/>
      <c r="EO92" s="1017"/>
      <c r="EP92" s="1017"/>
      <c r="EQ92" s="1017"/>
      <c r="ER92" s="1017"/>
      <c r="ES92" s="1017"/>
      <c r="ET92" s="1017"/>
      <c r="EU92" s="1017"/>
      <c r="EV92" s="1017"/>
      <c r="EW92" s="1017"/>
      <c r="EX92" s="1017"/>
      <c r="EY92" s="1017"/>
      <c r="EZ92" s="1017"/>
      <c r="FA92" s="1017"/>
      <c r="FB92" s="1017"/>
      <c r="FC92" s="1017"/>
      <c r="FD92" s="1017"/>
      <c r="FE92" s="1017"/>
      <c r="FF92" s="1017"/>
      <c r="FG92" s="1017"/>
      <c r="FH92" s="1017"/>
      <c r="FI92" s="1017"/>
      <c r="FJ92" s="1017"/>
      <c r="FK92" s="1017"/>
      <c r="FL92" s="1017"/>
      <c r="FM92" s="1017"/>
      <c r="FN92" s="1017"/>
      <c r="FO92" s="1017"/>
      <c r="FP92" s="1017"/>
      <c r="FQ92" s="1017"/>
      <c r="FR92" s="1017"/>
      <c r="FS92" s="1017"/>
      <c r="FT92" s="1017"/>
      <c r="FU92" s="1017"/>
      <c r="FV92" s="1017"/>
      <c r="FW92" s="1017"/>
      <c r="FX92" s="1017"/>
      <c r="FY92" s="1017"/>
      <c r="FZ92" s="1017"/>
      <c r="GA92" s="1017"/>
      <c r="GB92" s="1017"/>
      <c r="GC92" s="1017"/>
      <c r="GD92" s="1017"/>
      <c r="GE92" s="1017"/>
      <c r="GF92" s="1017"/>
      <c r="GG92" s="1017"/>
      <c r="GH92" s="1017"/>
      <c r="GI92" s="1017"/>
      <c r="GJ92" s="1017"/>
      <c r="GK92" s="1017"/>
      <c r="GL92" s="1017"/>
      <c r="GM92" s="1017"/>
      <c r="GN92" s="1017"/>
      <c r="GO92" s="1017"/>
      <c r="GP92" s="1017"/>
      <c r="GQ92" s="1017"/>
      <c r="GR92" s="1017"/>
      <c r="GS92" s="1017"/>
      <c r="GT92" s="1017"/>
      <c r="GU92" s="1017"/>
      <c r="GV92" s="1017"/>
      <c r="GW92" s="1017"/>
      <c r="GX92" s="1017"/>
      <c r="GY92" s="1017"/>
      <c r="GZ92" s="1017"/>
      <c r="HA92" s="1017"/>
      <c r="HB92" s="1017"/>
      <c r="HC92" s="1017"/>
      <c r="HD92" s="1017"/>
      <c r="HE92" s="1017"/>
      <c r="HF92" s="1017"/>
      <c r="HG92" s="1017"/>
      <c r="HH92" s="1017"/>
      <c r="HI92" s="1017"/>
      <c r="HJ92" s="1017"/>
      <c r="HK92" s="1017"/>
      <c r="HL92" s="1017"/>
      <c r="HM92" s="1017"/>
      <c r="HN92" s="1017"/>
      <c r="HO92" s="1017"/>
      <c r="HP92" s="1017"/>
      <c r="HQ92" s="1017"/>
      <c r="HR92" s="1017"/>
      <c r="HS92" s="1017"/>
      <c r="HT92" s="1017"/>
      <c r="HU92" s="1017"/>
      <c r="HV92" s="1017"/>
      <c r="HW92" s="1017"/>
      <c r="HX92" s="1017"/>
      <c r="HY92" s="1017"/>
      <c r="HZ92" s="1017"/>
      <c r="IA92" s="1017"/>
      <c r="IB92" s="1017"/>
      <c r="IC92" s="1017"/>
      <c r="ID92" s="1017"/>
      <c r="IE92" s="1017"/>
      <c r="IF92" s="1017"/>
      <c r="IG92" s="1017"/>
      <c r="IH92" s="1017"/>
      <c r="II92" s="1017"/>
      <c r="IJ92" s="1017"/>
      <c r="IK92" s="1017"/>
      <c r="IL92" s="1017"/>
      <c r="IM92" s="1017"/>
    </row>
    <row r="93" spans="1:247">
      <c r="A93" s="1052" t="s">
        <v>971</v>
      </c>
      <c r="B93" s="1053"/>
      <c r="C93" s="1050">
        <v>0</v>
      </c>
      <c r="D93" s="1045">
        <v>0</v>
      </c>
      <c r="E93" s="1046">
        <v>53.683295999999999</v>
      </c>
      <c r="F93" s="1046">
        <v>74.683295999999999</v>
      </c>
      <c r="G93" s="1047">
        <v>75.683295999999999</v>
      </c>
      <c r="H93" s="1048">
        <v>0</v>
      </c>
      <c r="I93" s="1048">
        <v>0</v>
      </c>
      <c r="J93" s="1048">
        <v>0</v>
      </c>
      <c r="K93" s="1049">
        <v>0</v>
      </c>
      <c r="L93" s="1028"/>
      <c r="M93" s="1045"/>
      <c r="N93" s="1050">
        <f t="shared" si="59"/>
        <v>0</v>
      </c>
      <c r="O93" s="1045">
        <v>0</v>
      </c>
      <c r="P93" s="1046">
        <v>0</v>
      </c>
      <c r="Q93" s="1046">
        <v>0</v>
      </c>
      <c r="R93" s="1045">
        <f t="shared" si="71"/>
        <v>0</v>
      </c>
      <c r="S93" s="1046">
        <f t="shared" si="70"/>
        <v>0</v>
      </c>
      <c r="T93" s="1046">
        <f t="shared" si="70"/>
        <v>0</v>
      </c>
      <c r="U93" s="1050">
        <f t="shared" si="56"/>
        <v>0</v>
      </c>
      <c r="V93" s="948"/>
      <c r="W93" s="1045">
        <f t="shared" si="73"/>
        <v>0</v>
      </c>
      <c r="X93" s="1046">
        <v>53.683295999999999</v>
      </c>
      <c r="Y93" s="1045">
        <f t="shared" si="7"/>
        <v>53.683295999999999</v>
      </c>
      <c r="Z93" s="1051">
        <f t="shared" si="42"/>
        <v>5.9984463676138286E-2</v>
      </c>
      <c r="AA93" s="1017"/>
      <c r="AB93" s="952"/>
      <c r="AC93" s="1017"/>
      <c r="AD93" s="1017"/>
      <c r="AE93" s="1017"/>
      <c r="AF93" s="1017"/>
      <c r="AG93" s="1017"/>
      <c r="AH93" s="1017"/>
      <c r="AI93" s="1017"/>
      <c r="AJ93" s="1017"/>
      <c r="AK93" s="1017"/>
      <c r="AL93" s="1017"/>
      <c r="AM93" s="1017"/>
      <c r="AN93" s="1017"/>
      <c r="AO93" s="1017"/>
      <c r="AP93" s="1017"/>
      <c r="AQ93" s="1017"/>
      <c r="AR93" s="1017"/>
      <c r="AS93" s="1017"/>
      <c r="AT93" s="1017"/>
      <c r="AU93" s="1017"/>
      <c r="AV93" s="1017"/>
      <c r="AW93" s="1017"/>
      <c r="AX93" s="1017"/>
      <c r="AY93" s="1017"/>
      <c r="AZ93" s="1017"/>
      <c r="BA93" s="1017"/>
      <c r="BB93" s="1017"/>
      <c r="BC93" s="1017"/>
      <c r="BD93" s="1017"/>
      <c r="BE93" s="1017"/>
      <c r="BF93" s="1017"/>
      <c r="BG93" s="1017"/>
      <c r="BH93" s="1017"/>
      <c r="BI93" s="1017"/>
      <c r="BJ93" s="1017"/>
      <c r="BK93" s="1017"/>
      <c r="BL93" s="1017"/>
      <c r="BM93" s="1017"/>
      <c r="BN93" s="1017"/>
      <c r="BO93" s="1017"/>
      <c r="BP93" s="1017"/>
      <c r="BQ93" s="1017"/>
      <c r="BR93" s="1017"/>
      <c r="BS93" s="1017"/>
      <c r="BT93" s="1017"/>
      <c r="BU93" s="1017"/>
      <c r="BV93" s="1017"/>
      <c r="BW93" s="1017"/>
      <c r="BX93" s="1017"/>
      <c r="BY93" s="1017"/>
      <c r="BZ93" s="1017"/>
      <c r="CA93" s="1017"/>
      <c r="CB93" s="1017"/>
      <c r="CC93" s="1017"/>
      <c r="CD93" s="1017"/>
      <c r="CE93" s="1017"/>
      <c r="CF93" s="1017"/>
      <c r="CG93" s="1017"/>
      <c r="CH93" s="1017"/>
      <c r="CI93" s="1017"/>
      <c r="CJ93" s="1017"/>
      <c r="CK93" s="1017"/>
      <c r="CL93" s="1017"/>
      <c r="CM93" s="1017"/>
      <c r="CN93" s="1017"/>
      <c r="CO93" s="1017"/>
      <c r="CP93" s="1017"/>
      <c r="CQ93" s="1017"/>
      <c r="CR93" s="1017"/>
      <c r="CS93" s="1017"/>
      <c r="CT93" s="1017"/>
      <c r="CU93" s="1017"/>
      <c r="CV93" s="1017"/>
      <c r="CW93" s="1017"/>
      <c r="CX93" s="1017"/>
      <c r="CY93" s="1017"/>
      <c r="CZ93" s="1017"/>
      <c r="DA93" s="1017"/>
      <c r="DB93" s="1017"/>
      <c r="DC93" s="1017"/>
      <c r="DD93" s="1017"/>
      <c r="DE93" s="1017"/>
      <c r="DF93" s="1017"/>
      <c r="DG93" s="1017"/>
      <c r="DH93" s="1017"/>
      <c r="DI93" s="1017"/>
      <c r="DJ93" s="1017"/>
      <c r="DK93" s="1017"/>
      <c r="DL93" s="1017"/>
      <c r="DM93" s="1017"/>
      <c r="DN93" s="1017"/>
      <c r="DO93" s="1017"/>
      <c r="DP93" s="1017"/>
      <c r="DQ93" s="1017"/>
      <c r="DR93" s="1017"/>
      <c r="DS93" s="1017"/>
      <c r="DT93" s="1017"/>
      <c r="DU93" s="1017"/>
      <c r="DV93" s="1017"/>
      <c r="DW93" s="1017"/>
      <c r="DX93" s="1017"/>
      <c r="DY93" s="1017"/>
      <c r="DZ93" s="1017"/>
      <c r="EA93" s="1017"/>
      <c r="EB93" s="1017"/>
      <c r="EC93" s="1017"/>
      <c r="ED93" s="1017"/>
      <c r="EE93" s="1017"/>
      <c r="EF93" s="1017"/>
      <c r="EG93" s="1017"/>
      <c r="EH93" s="1017"/>
      <c r="EI93" s="1017"/>
      <c r="EJ93" s="1017"/>
      <c r="EK93" s="1017"/>
      <c r="EL93" s="1017"/>
      <c r="EM93" s="1017"/>
      <c r="EN93" s="1017"/>
      <c r="EO93" s="1017"/>
      <c r="EP93" s="1017"/>
      <c r="EQ93" s="1017"/>
      <c r="ER93" s="1017"/>
      <c r="ES93" s="1017"/>
      <c r="ET93" s="1017"/>
      <c r="EU93" s="1017"/>
      <c r="EV93" s="1017"/>
      <c r="EW93" s="1017"/>
      <c r="EX93" s="1017"/>
      <c r="EY93" s="1017"/>
      <c r="EZ93" s="1017"/>
      <c r="FA93" s="1017"/>
      <c r="FB93" s="1017"/>
      <c r="FC93" s="1017"/>
      <c r="FD93" s="1017"/>
      <c r="FE93" s="1017"/>
      <c r="FF93" s="1017"/>
      <c r="FG93" s="1017"/>
      <c r="FH93" s="1017"/>
      <c r="FI93" s="1017"/>
      <c r="FJ93" s="1017"/>
      <c r="FK93" s="1017"/>
      <c r="FL93" s="1017"/>
      <c r="FM93" s="1017"/>
      <c r="FN93" s="1017"/>
      <c r="FO93" s="1017"/>
      <c r="FP93" s="1017"/>
      <c r="FQ93" s="1017"/>
      <c r="FR93" s="1017"/>
      <c r="FS93" s="1017"/>
      <c r="FT93" s="1017"/>
      <c r="FU93" s="1017"/>
      <c r="FV93" s="1017"/>
      <c r="FW93" s="1017"/>
      <c r="FX93" s="1017"/>
      <c r="FY93" s="1017"/>
      <c r="FZ93" s="1017"/>
      <c r="GA93" s="1017"/>
      <c r="GB93" s="1017"/>
      <c r="GC93" s="1017"/>
      <c r="GD93" s="1017"/>
      <c r="GE93" s="1017"/>
      <c r="GF93" s="1017"/>
      <c r="GG93" s="1017"/>
      <c r="GH93" s="1017"/>
      <c r="GI93" s="1017"/>
      <c r="GJ93" s="1017"/>
      <c r="GK93" s="1017"/>
      <c r="GL93" s="1017"/>
      <c r="GM93" s="1017"/>
      <c r="GN93" s="1017"/>
      <c r="GO93" s="1017"/>
      <c r="GP93" s="1017"/>
      <c r="GQ93" s="1017"/>
      <c r="GR93" s="1017"/>
      <c r="GS93" s="1017"/>
      <c r="GT93" s="1017"/>
      <c r="GU93" s="1017"/>
      <c r="GV93" s="1017"/>
      <c r="GW93" s="1017"/>
      <c r="GX93" s="1017"/>
      <c r="GY93" s="1017"/>
      <c r="GZ93" s="1017"/>
      <c r="HA93" s="1017"/>
      <c r="HB93" s="1017"/>
      <c r="HC93" s="1017"/>
      <c r="HD93" s="1017"/>
      <c r="HE93" s="1017"/>
      <c r="HF93" s="1017"/>
      <c r="HG93" s="1017"/>
      <c r="HH93" s="1017"/>
      <c r="HI93" s="1017"/>
      <c r="HJ93" s="1017"/>
      <c r="HK93" s="1017"/>
      <c r="HL93" s="1017"/>
      <c r="HM93" s="1017"/>
      <c r="HN93" s="1017"/>
      <c r="HO93" s="1017"/>
      <c r="HP93" s="1017"/>
      <c r="HQ93" s="1017"/>
      <c r="HR93" s="1017"/>
      <c r="HS93" s="1017"/>
      <c r="HT93" s="1017"/>
      <c r="HU93" s="1017"/>
      <c r="HV93" s="1017"/>
      <c r="HW93" s="1017"/>
      <c r="HX93" s="1017"/>
      <c r="HY93" s="1017"/>
      <c r="HZ93" s="1017"/>
      <c r="IA93" s="1017"/>
      <c r="IB93" s="1017"/>
      <c r="IC93" s="1017"/>
      <c r="ID93" s="1017"/>
      <c r="IE93" s="1017"/>
      <c r="IF93" s="1017"/>
      <c r="IG93" s="1017"/>
      <c r="IH93" s="1017"/>
      <c r="II93" s="1017"/>
      <c r="IJ93" s="1017"/>
      <c r="IK93" s="1017"/>
      <c r="IL93" s="1017"/>
      <c r="IM93" s="1017"/>
    </row>
    <row r="94" spans="1:247" ht="13.5" customHeight="1">
      <c r="A94" s="1052" t="s">
        <v>972</v>
      </c>
      <c r="B94" s="1053"/>
      <c r="C94" s="1050">
        <v>0</v>
      </c>
      <c r="D94" s="1068">
        <v>105.33499999999999</v>
      </c>
      <c r="E94" s="1046">
        <v>124.206017</v>
      </c>
      <c r="F94" s="1046">
        <v>130</v>
      </c>
      <c r="G94" s="1047">
        <v>130</v>
      </c>
      <c r="H94" s="1048">
        <v>0</v>
      </c>
      <c r="I94" s="1048">
        <v>0</v>
      </c>
      <c r="J94" s="1048">
        <v>0</v>
      </c>
      <c r="K94" s="1049">
        <v>0</v>
      </c>
      <c r="L94" s="1028"/>
      <c r="M94" s="1045"/>
      <c r="N94" s="1050">
        <f t="shared" si="59"/>
        <v>0</v>
      </c>
      <c r="O94" s="1045">
        <v>0</v>
      </c>
      <c r="P94" s="1046">
        <v>0</v>
      </c>
      <c r="Q94" s="1046">
        <v>0</v>
      </c>
      <c r="R94" s="1045">
        <f t="shared" si="71"/>
        <v>0</v>
      </c>
      <c r="S94" s="1046">
        <f t="shared" si="70"/>
        <v>0</v>
      </c>
      <c r="T94" s="1046">
        <f t="shared" si="70"/>
        <v>0</v>
      </c>
      <c r="U94" s="1050">
        <f t="shared" si="56"/>
        <v>0</v>
      </c>
      <c r="V94" s="948"/>
      <c r="W94" s="1045">
        <f t="shared" si="73"/>
        <v>0</v>
      </c>
      <c r="X94" s="1046">
        <v>124.206017</v>
      </c>
      <c r="Y94" s="1045">
        <f t="shared" si="7"/>
        <v>124.206017</v>
      </c>
      <c r="Z94" s="1051">
        <f t="shared" si="42"/>
        <v>0.13878490834643079</v>
      </c>
      <c r="AA94" s="1017"/>
      <c r="AB94" s="952"/>
      <c r="AC94" s="1017"/>
      <c r="AD94" s="1017"/>
      <c r="AE94" s="1017"/>
      <c r="AF94" s="1017"/>
      <c r="AG94" s="1017"/>
      <c r="AH94" s="1017"/>
      <c r="AI94" s="1017"/>
      <c r="AJ94" s="1017"/>
      <c r="AK94" s="1017"/>
      <c r="AL94" s="1017"/>
      <c r="AM94" s="1017"/>
      <c r="AN94" s="1017"/>
      <c r="AO94" s="1017"/>
      <c r="AP94" s="1017"/>
      <c r="AQ94" s="1017"/>
      <c r="AR94" s="1017"/>
      <c r="AS94" s="1017"/>
      <c r="AT94" s="1017"/>
      <c r="AU94" s="1017"/>
      <c r="AV94" s="1017"/>
      <c r="AW94" s="1017"/>
      <c r="AX94" s="1017"/>
      <c r="AY94" s="1017"/>
      <c r="AZ94" s="1017"/>
      <c r="BA94" s="1017"/>
      <c r="BB94" s="1017"/>
      <c r="BC94" s="1017"/>
      <c r="BD94" s="1017"/>
      <c r="BE94" s="1017"/>
      <c r="BF94" s="1017"/>
      <c r="BG94" s="1017"/>
      <c r="BH94" s="1017"/>
      <c r="BI94" s="1017"/>
      <c r="BJ94" s="1017"/>
      <c r="BK94" s="1017"/>
      <c r="BL94" s="1017"/>
      <c r="BM94" s="1017"/>
      <c r="BN94" s="1017"/>
      <c r="BO94" s="1017"/>
      <c r="BP94" s="1017"/>
      <c r="BQ94" s="1017"/>
      <c r="BR94" s="1017"/>
      <c r="BS94" s="1017"/>
      <c r="BT94" s="1017"/>
      <c r="BU94" s="1017"/>
      <c r="BV94" s="1017"/>
      <c r="BW94" s="1017"/>
      <c r="BX94" s="1017"/>
      <c r="BY94" s="1017"/>
      <c r="BZ94" s="1017"/>
      <c r="CA94" s="1017"/>
      <c r="CB94" s="1017"/>
      <c r="CC94" s="1017"/>
      <c r="CD94" s="1017"/>
      <c r="CE94" s="1017"/>
      <c r="CF94" s="1017"/>
      <c r="CG94" s="1017"/>
      <c r="CH94" s="1017"/>
      <c r="CI94" s="1017"/>
      <c r="CJ94" s="1017"/>
      <c r="CK94" s="1017"/>
      <c r="CL94" s="1017"/>
      <c r="CM94" s="1017"/>
      <c r="CN94" s="1017"/>
      <c r="CO94" s="1017"/>
      <c r="CP94" s="1017"/>
      <c r="CQ94" s="1017"/>
      <c r="CR94" s="1017"/>
      <c r="CS94" s="1017"/>
      <c r="CT94" s="1017"/>
      <c r="CU94" s="1017"/>
      <c r="CV94" s="1017"/>
      <c r="CW94" s="1017"/>
      <c r="CX94" s="1017"/>
      <c r="CY94" s="1017"/>
      <c r="CZ94" s="1017"/>
      <c r="DA94" s="1017"/>
      <c r="DB94" s="1017"/>
      <c r="DC94" s="1017"/>
      <c r="DD94" s="1017"/>
      <c r="DE94" s="1017"/>
      <c r="DF94" s="1017"/>
      <c r="DG94" s="1017"/>
      <c r="DH94" s="1017"/>
      <c r="DI94" s="1017"/>
      <c r="DJ94" s="1017"/>
      <c r="DK94" s="1017"/>
      <c r="DL94" s="1017"/>
      <c r="DM94" s="1017"/>
      <c r="DN94" s="1017"/>
      <c r="DO94" s="1017"/>
      <c r="DP94" s="1017"/>
      <c r="DQ94" s="1017"/>
      <c r="DR94" s="1017"/>
      <c r="DS94" s="1017"/>
      <c r="DT94" s="1017"/>
      <c r="DU94" s="1017"/>
      <c r="DV94" s="1017"/>
      <c r="DW94" s="1017"/>
      <c r="DX94" s="1017"/>
      <c r="DY94" s="1017"/>
      <c r="DZ94" s="1017"/>
      <c r="EA94" s="1017"/>
      <c r="EB94" s="1017"/>
      <c r="EC94" s="1017"/>
      <c r="ED94" s="1017"/>
      <c r="EE94" s="1017"/>
      <c r="EF94" s="1017"/>
      <c r="EG94" s="1017"/>
      <c r="EH94" s="1017"/>
      <c r="EI94" s="1017"/>
      <c r="EJ94" s="1017"/>
      <c r="EK94" s="1017"/>
      <c r="EL94" s="1017"/>
      <c r="EM94" s="1017"/>
      <c r="EN94" s="1017"/>
      <c r="EO94" s="1017"/>
      <c r="EP94" s="1017"/>
      <c r="EQ94" s="1017"/>
      <c r="ER94" s="1017"/>
      <c r="ES94" s="1017"/>
      <c r="ET94" s="1017"/>
      <c r="EU94" s="1017"/>
      <c r="EV94" s="1017"/>
      <c r="EW94" s="1017"/>
      <c r="EX94" s="1017"/>
      <c r="EY94" s="1017"/>
      <c r="EZ94" s="1017"/>
      <c r="FA94" s="1017"/>
      <c r="FB94" s="1017"/>
      <c r="FC94" s="1017"/>
      <c r="FD94" s="1017"/>
      <c r="FE94" s="1017"/>
      <c r="FF94" s="1017"/>
      <c r="FG94" s="1017"/>
      <c r="FH94" s="1017"/>
      <c r="FI94" s="1017"/>
      <c r="FJ94" s="1017"/>
      <c r="FK94" s="1017"/>
      <c r="FL94" s="1017"/>
      <c r="FM94" s="1017"/>
      <c r="FN94" s="1017"/>
      <c r="FO94" s="1017"/>
      <c r="FP94" s="1017"/>
      <c r="FQ94" s="1017"/>
      <c r="FR94" s="1017"/>
      <c r="FS94" s="1017"/>
      <c r="FT94" s="1017"/>
      <c r="FU94" s="1017"/>
      <c r="FV94" s="1017"/>
      <c r="FW94" s="1017"/>
      <c r="FX94" s="1017"/>
      <c r="FY94" s="1017"/>
      <c r="FZ94" s="1017"/>
      <c r="GA94" s="1017"/>
      <c r="GB94" s="1017"/>
      <c r="GC94" s="1017"/>
      <c r="GD94" s="1017"/>
      <c r="GE94" s="1017"/>
      <c r="GF94" s="1017"/>
      <c r="GG94" s="1017"/>
      <c r="GH94" s="1017"/>
      <c r="GI94" s="1017"/>
      <c r="GJ94" s="1017"/>
      <c r="GK94" s="1017"/>
      <c r="GL94" s="1017"/>
      <c r="GM94" s="1017"/>
      <c r="GN94" s="1017"/>
      <c r="GO94" s="1017"/>
      <c r="GP94" s="1017"/>
      <c r="GQ94" s="1017"/>
      <c r="GR94" s="1017"/>
      <c r="GS94" s="1017"/>
      <c r="GT94" s="1017"/>
      <c r="GU94" s="1017"/>
      <c r="GV94" s="1017"/>
      <c r="GW94" s="1017"/>
      <c r="GX94" s="1017"/>
      <c r="GY94" s="1017"/>
      <c r="GZ94" s="1017"/>
      <c r="HA94" s="1017"/>
      <c r="HB94" s="1017"/>
      <c r="HC94" s="1017"/>
      <c r="HD94" s="1017"/>
      <c r="HE94" s="1017"/>
      <c r="HF94" s="1017"/>
      <c r="HG94" s="1017"/>
      <c r="HH94" s="1017"/>
      <c r="HI94" s="1017"/>
      <c r="HJ94" s="1017"/>
      <c r="HK94" s="1017"/>
      <c r="HL94" s="1017"/>
      <c r="HM94" s="1017"/>
      <c r="HN94" s="1017"/>
      <c r="HO94" s="1017"/>
      <c r="HP94" s="1017"/>
      <c r="HQ94" s="1017"/>
      <c r="HR94" s="1017"/>
      <c r="HS94" s="1017"/>
      <c r="HT94" s="1017"/>
      <c r="HU94" s="1017"/>
      <c r="HV94" s="1017"/>
      <c r="HW94" s="1017"/>
      <c r="HX94" s="1017"/>
      <c r="HY94" s="1017"/>
      <c r="HZ94" s="1017"/>
      <c r="IA94" s="1017"/>
      <c r="IB94" s="1017"/>
      <c r="IC94" s="1017"/>
      <c r="ID94" s="1017"/>
      <c r="IE94" s="1017"/>
      <c r="IF94" s="1017"/>
      <c r="IG94" s="1017"/>
      <c r="IH94" s="1017"/>
      <c r="II94" s="1017"/>
      <c r="IJ94" s="1017"/>
      <c r="IK94" s="1017"/>
      <c r="IL94" s="1017"/>
      <c r="IM94" s="1017"/>
    </row>
    <row r="95" spans="1:247" ht="13.5" customHeight="1">
      <c r="A95" s="1052" t="s">
        <v>551</v>
      </c>
      <c r="B95" s="1053"/>
      <c r="C95" s="1050">
        <v>0</v>
      </c>
      <c r="D95" s="1068">
        <v>0</v>
      </c>
      <c r="E95" s="1046">
        <v>140</v>
      </c>
      <c r="F95" s="1046">
        <v>0</v>
      </c>
      <c r="G95" s="1047">
        <v>0</v>
      </c>
      <c r="H95" s="1048">
        <v>0</v>
      </c>
      <c r="I95" s="1048">
        <v>0</v>
      </c>
      <c r="J95" s="1048">
        <v>0</v>
      </c>
      <c r="K95" s="1049">
        <v>0</v>
      </c>
      <c r="L95" s="1028"/>
      <c r="M95" s="1045"/>
      <c r="N95" s="1050">
        <f t="shared" si="59"/>
        <v>0</v>
      </c>
      <c r="O95" s="1045">
        <v>0</v>
      </c>
      <c r="P95" s="1046">
        <v>0</v>
      </c>
      <c r="Q95" s="1046">
        <v>0</v>
      </c>
      <c r="R95" s="1045">
        <f t="shared" si="71"/>
        <v>0</v>
      </c>
      <c r="S95" s="1046">
        <f t="shared" si="70"/>
        <v>0</v>
      </c>
      <c r="T95" s="1046">
        <f t="shared" si="70"/>
        <v>0</v>
      </c>
      <c r="U95" s="1050">
        <f t="shared" si="56"/>
        <v>0</v>
      </c>
      <c r="V95" s="948"/>
      <c r="W95" s="1045">
        <f t="shared" si="73"/>
        <v>0</v>
      </c>
      <c r="X95" s="1046">
        <v>140</v>
      </c>
      <c r="Y95" s="1045">
        <f t="shared" si="7"/>
        <v>140</v>
      </c>
      <c r="Z95" s="1051">
        <f t="shared" si="42"/>
        <v>0.15643273681741449</v>
      </c>
      <c r="AA95" s="1017"/>
      <c r="AB95" s="952"/>
      <c r="AC95" s="1017"/>
      <c r="AD95" s="1017"/>
      <c r="AE95" s="1017"/>
      <c r="AF95" s="1017"/>
      <c r="AG95" s="1017"/>
      <c r="AH95" s="1017"/>
      <c r="AI95" s="1017"/>
      <c r="AJ95" s="1017"/>
      <c r="AK95" s="1017"/>
      <c r="AL95" s="1017"/>
      <c r="AM95" s="1017"/>
      <c r="AN95" s="1017"/>
      <c r="AO95" s="1017"/>
      <c r="AP95" s="1017"/>
      <c r="AQ95" s="1017"/>
      <c r="AR95" s="1017"/>
      <c r="AS95" s="1017"/>
      <c r="AT95" s="1017"/>
      <c r="AU95" s="1017"/>
      <c r="AV95" s="1017"/>
      <c r="AW95" s="1017"/>
      <c r="AX95" s="1017"/>
      <c r="AY95" s="1017"/>
      <c r="AZ95" s="1017"/>
      <c r="BA95" s="1017"/>
      <c r="BB95" s="1017"/>
      <c r="BC95" s="1017"/>
      <c r="BD95" s="1017"/>
      <c r="BE95" s="1017"/>
      <c r="BF95" s="1017"/>
      <c r="BG95" s="1017"/>
      <c r="BH95" s="1017"/>
      <c r="BI95" s="1017"/>
      <c r="BJ95" s="1017"/>
      <c r="BK95" s="1017"/>
      <c r="BL95" s="1017"/>
      <c r="BM95" s="1017"/>
      <c r="BN95" s="1017"/>
      <c r="BO95" s="1017"/>
      <c r="BP95" s="1017"/>
      <c r="BQ95" s="1017"/>
      <c r="BR95" s="1017"/>
      <c r="BS95" s="1017"/>
      <c r="BT95" s="1017"/>
      <c r="BU95" s="1017"/>
      <c r="BV95" s="1017"/>
      <c r="BW95" s="1017"/>
      <c r="BX95" s="1017"/>
      <c r="BY95" s="1017"/>
      <c r="BZ95" s="1017"/>
      <c r="CA95" s="1017"/>
      <c r="CB95" s="1017"/>
      <c r="CC95" s="1017"/>
      <c r="CD95" s="1017"/>
      <c r="CE95" s="1017"/>
      <c r="CF95" s="1017"/>
      <c r="CG95" s="1017"/>
      <c r="CH95" s="1017"/>
      <c r="CI95" s="1017"/>
      <c r="CJ95" s="1017"/>
      <c r="CK95" s="1017"/>
      <c r="CL95" s="1017"/>
      <c r="CM95" s="1017"/>
      <c r="CN95" s="1017"/>
      <c r="CO95" s="1017"/>
      <c r="CP95" s="1017"/>
      <c r="CQ95" s="1017"/>
      <c r="CR95" s="1017"/>
      <c r="CS95" s="1017"/>
      <c r="CT95" s="1017"/>
      <c r="CU95" s="1017"/>
      <c r="CV95" s="1017"/>
      <c r="CW95" s="1017"/>
      <c r="CX95" s="1017"/>
      <c r="CY95" s="1017"/>
      <c r="CZ95" s="1017"/>
      <c r="DA95" s="1017"/>
      <c r="DB95" s="1017"/>
      <c r="DC95" s="1017"/>
      <c r="DD95" s="1017"/>
      <c r="DE95" s="1017"/>
      <c r="DF95" s="1017"/>
      <c r="DG95" s="1017"/>
      <c r="DH95" s="1017"/>
      <c r="DI95" s="1017"/>
      <c r="DJ95" s="1017"/>
      <c r="DK95" s="1017"/>
      <c r="DL95" s="1017"/>
      <c r="DM95" s="1017"/>
      <c r="DN95" s="1017"/>
      <c r="DO95" s="1017"/>
      <c r="DP95" s="1017"/>
      <c r="DQ95" s="1017"/>
      <c r="DR95" s="1017"/>
      <c r="DS95" s="1017"/>
      <c r="DT95" s="1017"/>
      <c r="DU95" s="1017"/>
      <c r="DV95" s="1017"/>
      <c r="DW95" s="1017"/>
      <c r="DX95" s="1017"/>
      <c r="DY95" s="1017"/>
      <c r="DZ95" s="1017"/>
      <c r="EA95" s="1017"/>
      <c r="EB95" s="1017"/>
      <c r="EC95" s="1017"/>
      <c r="ED95" s="1017"/>
      <c r="EE95" s="1017"/>
      <c r="EF95" s="1017"/>
      <c r="EG95" s="1017"/>
      <c r="EH95" s="1017"/>
      <c r="EI95" s="1017"/>
      <c r="EJ95" s="1017"/>
      <c r="EK95" s="1017"/>
      <c r="EL95" s="1017"/>
      <c r="EM95" s="1017"/>
      <c r="EN95" s="1017"/>
      <c r="EO95" s="1017"/>
      <c r="EP95" s="1017"/>
      <c r="EQ95" s="1017"/>
      <c r="ER95" s="1017"/>
      <c r="ES95" s="1017"/>
      <c r="ET95" s="1017"/>
      <c r="EU95" s="1017"/>
      <c r="EV95" s="1017"/>
      <c r="EW95" s="1017"/>
      <c r="EX95" s="1017"/>
      <c r="EY95" s="1017"/>
      <c r="EZ95" s="1017"/>
      <c r="FA95" s="1017"/>
      <c r="FB95" s="1017"/>
      <c r="FC95" s="1017"/>
      <c r="FD95" s="1017"/>
      <c r="FE95" s="1017"/>
      <c r="FF95" s="1017"/>
      <c r="FG95" s="1017"/>
      <c r="FH95" s="1017"/>
      <c r="FI95" s="1017"/>
      <c r="FJ95" s="1017"/>
      <c r="FK95" s="1017"/>
      <c r="FL95" s="1017"/>
      <c r="FM95" s="1017"/>
      <c r="FN95" s="1017"/>
      <c r="FO95" s="1017"/>
      <c r="FP95" s="1017"/>
      <c r="FQ95" s="1017"/>
      <c r="FR95" s="1017"/>
      <c r="FS95" s="1017"/>
      <c r="FT95" s="1017"/>
      <c r="FU95" s="1017"/>
      <c r="FV95" s="1017"/>
      <c r="FW95" s="1017"/>
      <c r="FX95" s="1017"/>
      <c r="FY95" s="1017"/>
      <c r="FZ95" s="1017"/>
      <c r="GA95" s="1017"/>
      <c r="GB95" s="1017"/>
      <c r="GC95" s="1017"/>
      <c r="GD95" s="1017"/>
      <c r="GE95" s="1017"/>
      <c r="GF95" s="1017"/>
      <c r="GG95" s="1017"/>
      <c r="GH95" s="1017"/>
      <c r="GI95" s="1017"/>
      <c r="GJ95" s="1017"/>
      <c r="GK95" s="1017"/>
      <c r="GL95" s="1017"/>
      <c r="GM95" s="1017"/>
      <c r="GN95" s="1017"/>
      <c r="GO95" s="1017"/>
      <c r="GP95" s="1017"/>
      <c r="GQ95" s="1017"/>
      <c r="GR95" s="1017"/>
      <c r="GS95" s="1017"/>
      <c r="GT95" s="1017"/>
      <c r="GU95" s="1017"/>
      <c r="GV95" s="1017"/>
      <c r="GW95" s="1017"/>
      <c r="GX95" s="1017"/>
      <c r="GY95" s="1017"/>
      <c r="GZ95" s="1017"/>
      <c r="HA95" s="1017"/>
      <c r="HB95" s="1017"/>
      <c r="HC95" s="1017"/>
      <c r="HD95" s="1017"/>
      <c r="HE95" s="1017"/>
      <c r="HF95" s="1017"/>
      <c r="HG95" s="1017"/>
      <c r="HH95" s="1017"/>
      <c r="HI95" s="1017"/>
      <c r="HJ95" s="1017"/>
      <c r="HK95" s="1017"/>
      <c r="HL95" s="1017"/>
      <c r="HM95" s="1017"/>
      <c r="HN95" s="1017"/>
      <c r="HO95" s="1017"/>
      <c r="HP95" s="1017"/>
      <c r="HQ95" s="1017"/>
      <c r="HR95" s="1017"/>
      <c r="HS95" s="1017"/>
      <c r="HT95" s="1017"/>
      <c r="HU95" s="1017"/>
      <c r="HV95" s="1017"/>
      <c r="HW95" s="1017"/>
      <c r="HX95" s="1017"/>
      <c r="HY95" s="1017"/>
      <c r="HZ95" s="1017"/>
      <c r="IA95" s="1017"/>
      <c r="IB95" s="1017"/>
      <c r="IC95" s="1017"/>
      <c r="ID95" s="1017"/>
      <c r="IE95" s="1017"/>
      <c r="IF95" s="1017"/>
      <c r="IG95" s="1017"/>
      <c r="IH95" s="1017"/>
      <c r="II95" s="1017"/>
      <c r="IJ95" s="1017"/>
      <c r="IK95" s="1017"/>
      <c r="IL95" s="1017"/>
      <c r="IM95" s="1017"/>
    </row>
    <row r="96" spans="1:247" ht="13.5" customHeight="1">
      <c r="A96" s="1052" t="s">
        <v>550</v>
      </c>
      <c r="B96" s="1053"/>
      <c r="C96" s="1050">
        <v>0</v>
      </c>
      <c r="D96" s="1068">
        <f>31.767688</f>
        <v>31.767688</v>
      </c>
      <c r="E96" s="1046">
        <v>0</v>
      </c>
      <c r="F96" s="1046">
        <v>0</v>
      </c>
      <c r="G96" s="1047">
        <v>0</v>
      </c>
      <c r="H96" s="1048">
        <v>0</v>
      </c>
      <c r="I96" s="1048">
        <v>0</v>
      </c>
      <c r="J96" s="1048">
        <v>0</v>
      </c>
      <c r="K96" s="1049">
        <v>0</v>
      </c>
      <c r="L96" s="1028"/>
      <c r="M96" s="1045"/>
      <c r="N96" s="1050">
        <f t="shared" si="59"/>
        <v>0</v>
      </c>
      <c r="O96" s="1045">
        <v>0</v>
      </c>
      <c r="P96" s="1046">
        <v>0</v>
      </c>
      <c r="Q96" s="1046">
        <v>0</v>
      </c>
      <c r="R96" s="1045">
        <f t="shared" si="71"/>
        <v>0</v>
      </c>
      <c r="S96" s="1046">
        <f t="shared" si="70"/>
        <v>0</v>
      </c>
      <c r="T96" s="1046">
        <f t="shared" si="70"/>
        <v>0</v>
      </c>
      <c r="U96" s="1050">
        <f t="shared" si="56"/>
        <v>0</v>
      </c>
      <c r="V96" s="948"/>
      <c r="W96" s="1045">
        <f t="shared" si="73"/>
        <v>0</v>
      </c>
      <c r="X96" s="1046">
        <v>0</v>
      </c>
      <c r="Y96" s="1045">
        <f t="shared" si="7"/>
        <v>0</v>
      </c>
      <c r="Z96" s="1051">
        <f t="shared" si="42"/>
        <v>0</v>
      </c>
      <c r="AA96" s="1017"/>
      <c r="AB96" s="952"/>
      <c r="AC96" s="1017"/>
      <c r="AD96" s="1017"/>
      <c r="AE96" s="1017"/>
      <c r="AF96" s="1017"/>
      <c r="AG96" s="1017"/>
      <c r="AH96" s="1017"/>
      <c r="AI96" s="1017"/>
      <c r="AJ96" s="1017"/>
      <c r="AK96" s="1017"/>
      <c r="AL96" s="1017"/>
      <c r="AM96" s="1017"/>
      <c r="AN96" s="1017"/>
      <c r="AO96" s="1017"/>
      <c r="AP96" s="1017"/>
      <c r="AQ96" s="1017"/>
      <c r="AR96" s="1017"/>
      <c r="AS96" s="1017"/>
      <c r="AT96" s="1017"/>
      <c r="AU96" s="1017"/>
      <c r="AV96" s="1017"/>
      <c r="AW96" s="1017"/>
      <c r="AX96" s="1017"/>
      <c r="AY96" s="1017"/>
      <c r="AZ96" s="1017"/>
      <c r="BA96" s="1017"/>
      <c r="BB96" s="1017"/>
      <c r="BC96" s="1017"/>
      <c r="BD96" s="1017"/>
      <c r="BE96" s="1017"/>
      <c r="BF96" s="1017"/>
      <c r="BG96" s="1017"/>
      <c r="BH96" s="1017"/>
      <c r="BI96" s="1017"/>
      <c r="BJ96" s="1017"/>
      <c r="BK96" s="1017"/>
      <c r="BL96" s="1017"/>
      <c r="BM96" s="1017"/>
      <c r="BN96" s="1017"/>
      <c r="BO96" s="1017"/>
      <c r="BP96" s="1017"/>
      <c r="BQ96" s="1017"/>
      <c r="BR96" s="1017"/>
      <c r="BS96" s="1017"/>
      <c r="BT96" s="1017"/>
      <c r="BU96" s="1017"/>
      <c r="BV96" s="1017"/>
      <c r="BW96" s="1017"/>
      <c r="BX96" s="1017"/>
      <c r="BY96" s="1017"/>
      <c r="BZ96" s="1017"/>
      <c r="CA96" s="1017"/>
      <c r="CB96" s="1017"/>
      <c r="CC96" s="1017"/>
      <c r="CD96" s="1017"/>
      <c r="CE96" s="1017"/>
      <c r="CF96" s="1017"/>
      <c r="CG96" s="1017"/>
      <c r="CH96" s="1017"/>
      <c r="CI96" s="1017"/>
      <c r="CJ96" s="1017"/>
      <c r="CK96" s="1017"/>
      <c r="CL96" s="1017"/>
      <c r="CM96" s="1017"/>
      <c r="CN96" s="1017"/>
      <c r="CO96" s="1017"/>
      <c r="CP96" s="1017"/>
      <c r="CQ96" s="1017"/>
      <c r="CR96" s="1017"/>
      <c r="CS96" s="1017"/>
      <c r="CT96" s="1017"/>
      <c r="CU96" s="1017"/>
      <c r="CV96" s="1017"/>
      <c r="CW96" s="1017"/>
      <c r="CX96" s="1017"/>
      <c r="CY96" s="1017"/>
      <c r="CZ96" s="1017"/>
      <c r="DA96" s="1017"/>
      <c r="DB96" s="1017"/>
      <c r="DC96" s="1017"/>
      <c r="DD96" s="1017"/>
      <c r="DE96" s="1017"/>
      <c r="DF96" s="1017"/>
      <c r="DG96" s="1017"/>
      <c r="DH96" s="1017"/>
      <c r="DI96" s="1017"/>
      <c r="DJ96" s="1017"/>
      <c r="DK96" s="1017"/>
      <c r="DL96" s="1017"/>
      <c r="DM96" s="1017"/>
      <c r="DN96" s="1017"/>
      <c r="DO96" s="1017"/>
      <c r="DP96" s="1017"/>
      <c r="DQ96" s="1017"/>
      <c r="DR96" s="1017"/>
      <c r="DS96" s="1017"/>
      <c r="DT96" s="1017"/>
      <c r="DU96" s="1017"/>
      <c r="DV96" s="1017"/>
      <c r="DW96" s="1017"/>
      <c r="DX96" s="1017"/>
      <c r="DY96" s="1017"/>
      <c r="DZ96" s="1017"/>
      <c r="EA96" s="1017"/>
      <c r="EB96" s="1017"/>
      <c r="EC96" s="1017"/>
      <c r="ED96" s="1017"/>
      <c r="EE96" s="1017"/>
      <c r="EF96" s="1017"/>
      <c r="EG96" s="1017"/>
      <c r="EH96" s="1017"/>
      <c r="EI96" s="1017"/>
      <c r="EJ96" s="1017"/>
      <c r="EK96" s="1017"/>
      <c r="EL96" s="1017"/>
      <c r="EM96" s="1017"/>
      <c r="EN96" s="1017"/>
      <c r="EO96" s="1017"/>
      <c r="EP96" s="1017"/>
      <c r="EQ96" s="1017"/>
      <c r="ER96" s="1017"/>
      <c r="ES96" s="1017"/>
      <c r="ET96" s="1017"/>
      <c r="EU96" s="1017"/>
      <c r="EV96" s="1017"/>
      <c r="EW96" s="1017"/>
      <c r="EX96" s="1017"/>
      <c r="EY96" s="1017"/>
      <c r="EZ96" s="1017"/>
      <c r="FA96" s="1017"/>
      <c r="FB96" s="1017"/>
      <c r="FC96" s="1017"/>
      <c r="FD96" s="1017"/>
      <c r="FE96" s="1017"/>
      <c r="FF96" s="1017"/>
      <c r="FG96" s="1017"/>
      <c r="FH96" s="1017"/>
      <c r="FI96" s="1017"/>
      <c r="FJ96" s="1017"/>
      <c r="FK96" s="1017"/>
      <c r="FL96" s="1017"/>
      <c r="FM96" s="1017"/>
      <c r="FN96" s="1017"/>
      <c r="FO96" s="1017"/>
      <c r="FP96" s="1017"/>
      <c r="FQ96" s="1017"/>
      <c r="FR96" s="1017"/>
      <c r="FS96" s="1017"/>
      <c r="FT96" s="1017"/>
      <c r="FU96" s="1017"/>
      <c r="FV96" s="1017"/>
      <c r="FW96" s="1017"/>
      <c r="FX96" s="1017"/>
      <c r="FY96" s="1017"/>
      <c r="FZ96" s="1017"/>
      <c r="GA96" s="1017"/>
      <c r="GB96" s="1017"/>
      <c r="GC96" s="1017"/>
      <c r="GD96" s="1017"/>
      <c r="GE96" s="1017"/>
      <c r="GF96" s="1017"/>
      <c r="GG96" s="1017"/>
      <c r="GH96" s="1017"/>
      <c r="GI96" s="1017"/>
      <c r="GJ96" s="1017"/>
      <c r="GK96" s="1017"/>
      <c r="GL96" s="1017"/>
      <c r="GM96" s="1017"/>
      <c r="GN96" s="1017"/>
      <c r="GO96" s="1017"/>
      <c r="GP96" s="1017"/>
      <c r="GQ96" s="1017"/>
      <c r="GR96" s="1017"/>
      <c r="GS96" s="1017"/>
      <c r="GT96" s="1017"/>
      <c r="GU96" s="1017"/>
      <c r="GV96" s="1017"/>
      <c r="GW96" s="1017"/>
      <c r="GX96" s="1017"/>
      <c r="GY96" s="1017"/>
      <c r="GZ96" s="1017"/>
      <c r="HA96" s="1017"/>
      <c r="HB96" s="1017"/>
      <c r="HC96" s="1017"/>
      <c r="HD96" s="1017"/>
      <c r="HE96" s="1017"/>
      <c r="HF96" s="1017"/>
      <c r="HG96" s="1017"/>
      <c r="HH96" s="1017"/>
      <c r="HI96" s="1017"/>
      <c r="HJ96" s="1017"/>
      <c r="HK96" s="1017"/>
      <c r="HL96" s="1017"/>
      <c r="HM96" s="1017"/>
      <c r="HN96" s="1017"/>
      <c r="HO96" s="1017"/>
      <c r="HP96" s="1017"/>
      <c r="HQ96" s="1017"/>
      <c r="HR96" s="1017"/>
      <c r="HS96" s="1017"/>
      <c r="HT96" s="1017"/>
      <c r="HU96" s="1017"/>
      <c r="HV96" s="1017"/>
      <c r="HW96" s="1017"/>
      <c r="HX96" s="1017"/>
      <c r="HY96" s="1017"/>
      <c r="HZ96" s="1017"/>
      <c r="IA96" s="1017"/>
      <c r="IB96" s="1017"/>
      <c r="IC96" s="1017"/>
      <c r="ID96" s="1017"/>
      <c r="IE96" s="1017"/>
      <c r="IF96" s="1017"/>
      <c r="IG96" s="1017"/>
      <c r="IH96" s="1017"/>
      <c r="II96" s="1017"/>
      <c r="IJ96" s="1017"/>
      <c r="IK96" s="1017"/>
      <c r="IL96" s="1017"/>
      <c r="IM96" s="1017"/>
    </row>
    <row r="97" spans="1:247">
      <c r="A97" s="1052" t="s">
        <v>940</v>
      </c>
      <c r="B97" s="1053"/>
      <c r="C97" s="1050">
        <v>648.40599999999995</v>
      </c>
      <c r="D97" s="1046">
        <f>0.598538*0.67+190.461462+384.51522981+30</f>
        <v>605.37771227000007</v>
      </c>
      <c r="E97" s="1046">
        <f>0.644914*0.64+246.88962+408.7319</f>
        <v>656.03426495999997</v>
      </c>
      <c r="F97" s="1046">
        <f>391.40960938+0.67*0.6625+265.189</f>
        <v>657.04248438000002</v>
      </c>
      <c r="G97" s="1047">
        <f>425.47989359+0.67*0.682+252.224</f>
        <v>678.16083359000004</v>
      </c>
      <c r="H97" s="1048">
        <v>652.17777571000022</v>
      </c>
      <c r="I97" s="1048">
        <v>714.48420945786108</v>
      </c>
      <c r="J97" s="1048">
        <v>734.23750221184878</v>
      </c>
      <c r="K97" s="1049">
        <v>765.51491103134106</v>
      </c>
      <c r="L97" s="1028"/>
      <c r="M97" s="1045"/>
      <c r="N97" s="1050">
        <f t="shared" si="59"/>
        <v>652.17777571000022</v>
      </c>
      <c r="O97" s="1045">
        <v>691.27078456683034</v>
      </c>
      <c r="P97" s="1046">
        <v>737.17775849623445</v>
      </c>
      <c r="Q97" s="1046">
        <v>786.47687808075818</v>
      </c>
      <c r="R97" s="1045">
        <f t="shared" si="71"/>
        <v>23.213424891030741</v>
      </c>
      <c r="S97" s="1046">
        <f t="shared" si="70"/>
        <v>-2.9402562843856686</v>
      </c>
      <c r="T97" s="1046">
        <f t="shared" si="70"/>
        <v>-20.961967049417126</v>
      </c>
      <c r="U97" s="1050">
        <f t="shared" si="56"/>
        <v>39.093008856830124</v>
      </c>
      <c r="V97" s="948"/>
      <c r="W97" s="1045">
        <f t="shared" si="73"/>
        <v>691.27078456683034</v>
      </c>
      <c r="X97" s="1046">
        <v>656.03426495999997</v>
      </c>
      <c r="Y97" s="1045">
        <f t="shared" si="7"/>
        <v>-35.23651960683037</v>
      </c>
      <c r="Z97" s="1051">
        <f t="shared" si="42"/>
        <v>-3.9372465700121151E-2</v>
      </c>
      <c r="AA97" s="958"/>
      <c r="AB97" s="952"/>
      <c r="AC97" s="1017"/>
      <c r="AD97" s="1017"/>
      <c r="AE97" s="1017"/>
      <c r="AF97" s="1017"/>
      <c r="AG97" s="1017"/>
      <c r="AH97" s="1017"/>
      <c r="AI97" s="1017"/>
      <c r="AJ97" s="1017"/>
      <c r="AK97" s="1017"/>
      <c r="AL97" s="1017"/>
      <c r="AM97" s="1017"/>
      <c r="AN97" s="1017"/>
      <c r="AO97" s="1017"/>
      <c r="AP97" s="1017"/>
      <c r="AQ97" s="1017"/>
      <c r="AR97" s="1017"/>
      <c r="AS97" s="1017"/>
      <c r="AT97" s="1017"/>
      <c r="AU97" s="1017"/>
      <c r="AV97" s="1017"/>
      <c r="AW97" s="1017"/>
      <c r="AX97" s="1017"/>
      <c r="AY97" s="1017"/>
      <c r="AZ97" s="1017"/>
      <c r="BA97" s="1017"/>
      <c r="BB97" s="1017"/>
      <c r="BC97" s="1017"/>
      <c r="BD97" s="1017"/>
      <c r="BE97" s="1017"/>
      <c r="BF97" s="1017"/>
      <c r="BG97" s="1017"/>
      <c r="BH97" s="1017"/>
      <c r="BI97" s="1017"/>
      <c r="BJ97" s="1017"/>
      <c r="BK97" s="1017"/>
      <c r="BL97" s="1017"/>
      <c r="BM97" s="1017"/>
      <c r="BN97" s="1017"/>
      <c r="BO97" s="1017"/>
      <c r="BP97" s="1017"/>
      <c r="BQ97" s="1017"/>
      <c r="BR97" s="1017"/>
      <c r="BS97" s="1017"/>
      <c r="BT97" s="1017"/>
      <c r="BU97" s="1017"/>
      <c r="BV97" s="1017"/>
      <c r="BW97" s="1017"/>
      <c r="BX97" s="1017"/>
      <c r="BY97" s="1017"/>
      <c r="BZ97" s="1017"/>
      <c r="CA97" s="1017"/>
      <c r="CB97" s="1017"/>
      <c r="CC97" s="1017"/>
      <c r="CD97" s="1017"/>
      <c r="CE97" s="1017"/>
      <c r="CF97" s="1017"/>
      <c r="CG97" s="1017"/>
      <c r="CH97" s="1017"/>
      <c r="CI97" s="1017"/>
      <c r="CJ97" s="1017"/>
      <c r="CK97" s="1017"/>
      <c r="CL97" s="1017"/>
      <c r="CM97" s="1017"/>
      <c r="CN97" s="1017"/>
      <c r="CO97" s="1017"/>
      <c r="CP97" s="1017"/>
      <c r="CQ97" s="1017"/>
      <c r="CR97" s="1017"/>
      <c r="CS97" s="1017"/>
      <c r="CT97" s="1017"/>
      <c r="CU97" s="1017"/>
      <c r="CV97" s="1017"/>
      <c r="CW97" s="1017"/>
      <c r="CX97" s="1017"/>
      <c r="CY97" s="1017"/>
      <c r="CZ97" s="1017"/>
      <c r="DA97" s="1017"/>
      <c r="DB97" s="1017"/>
      <c r="DC97" s="1017"/>
      <c r="DD97" s="1017"/>
      <c r="DE97" s="1017"/>
      <c r="DF97" s="1017"/>
      <c r="DG97" s="1017"/>
      <c r="DH97" s="1017"/>
      <c r="DI97" s="1017"/>
      <c r="DJ97" s="1017"/>
      <c r="DK97" s="1017"/>
      <c r="DL97" s="1017"/>
      <c r="DM97" s="1017"/>
      <c r="DN97" s="1017"/>
      <c r="DO97" s="1017"/>
      <c r="DP97" s="1017"/>
      <c r="DQ97" s="1017"/>
      <c r="DR97" s="1017"/>
      <c r="DS97" s="1017"/>
      <c r="DT97" s="1017"/>
      <c r="DU97" s="1017"/>
      <c r="DV97" s="1017"/>
      <c r="DW97" s="1017"/>
      <c r="DX97" s="1017"/>
      <c r="DY97" s="1017"/>
      <c r="DZ97" s="1017"/>
      <c r="EA97" s="1017"/>
      <c r="EB97" s="1017"/>
      <c r="EC97" s="1017"/>
      <c r="ED97" s="1017"/>
      <c r="EE97" s="1017"/>
      <c r="EF97" s="1017"/>
      <c r="EG97" s="1017"/>
      <c r="EH97" s="1017"/>
      <c r="EI97" s="1017"/>
      <c r="EJ97" s="1017"/>
      <c r="EK97" s="1017"/>
      <c r="EL97" s="1017"/>
      <c r="EM97" s="1017"/>
      <c r="EN97" s="1017"/>
      <c r="EO97" s="1017"/>
      <c r="EP97" s="1017"/>
      <c r="EQ97" s="1017"/>
      <c r="ER97" s="1017"/>
      <c r="ES97" s="1017"/>
      <c r="ET97" s="1017"/>
      <c r="EU97" s="1017"/>
      <c r="EV97" s="1017"/>
      <c r="EW97" s="1017"/>
      <c r="EX97" s="1017"/>
      <c r="EY97" s="1017"/>
      <c r="EZ97" s="1017"/>
      <c r="FA97" s="1017"/>
      <c r="FB97" s="1017"/>
      <c r="FC97" s="1017"/>
      <c r="FD97" s="1017"/>
      <c r="FE97" s="1017"/>
      <c r="FF97" s="1017"/>
      <c r="FG97" s="1017"/>
      <c r="FH97" s="1017"/>
      <c r="FI97" s="1017"/>
      <c r="FJ97" s="1017"/>
      <c r="FK97" s="1017"/>
      <c r="FL97" s="1017"/>
      <c r="FM97" s="1017"/>
      <c r="FN97" s="1017"/>
      <c r="FO97" s="1017"/>
      <c r="FP97" s="1017"/>
      <c r="FQ97" s="1017"/>
      <c r="FR97" s="1017"/>
      <c r="FS97" s="1017"/>
      <c r="FT97" s="1017"/>
      <c r="FU97" s="1017"/>
      <c r="FV97" s="1017"/>
      <c r="FW97" s="1017"/>
      <c r="FX97" s="1017"/>
      <c r="FY97" s="1017"/>
      <c r="FZ97" s="1017"/>
      <c r="GA97" s="1017"/>
      <c r="GB97" s="1017"/>
      <c r="GC97" s="1017"/>
      <c r="GD97" s="1017"/>
      <c r="GE97" s="1017"/>
      <c r="GF97" s="1017"/>
      <c r="GG97" s="1017"/>
      <c r="GH97" s="1017"/>
      <c r="GI97" s="1017"/>
      <c r="GJ97" s="1017"/>
      <c r="GK97" s="1017"/>
      <c r="GL97" s="1017"/>
      <c r="GM97" s="1017"/>
      <c r="GN97" s="1017"/>
      <c r="GO97" s="1017"/>
      <c r="GP97" s="1017"/>
      <c r="GQ97" s="1017"/>
      <c r="GR97" s="1017"/>
      <c r="GS97" s="1017"/>
      <c r="GT97" s="1017"/>
      <c r="GU97" s="1017"/>
      <c r="GV97" s="1017"/>
      <c r="GW97" s="1017"/>
      <c r="GX97" s="1017"/>
      <c r="GY97" s="1017"/>
      <c r="GZ97" s="1017"/>
      <c r="HA97" s="1017"/>
      <c r="HB97" s="1017"/>
      <c r="HC97" s="1017"/>
      <c r="HD97" s="1017"/>
      <c r="HE97" s="1017"/>
      <c r="HF97" s="1017"/>
      <c r="HG97" s="1017"/>
      <c r="HH97" s="1017"/>
      <c r="HI97" s="1017"/>
      <c r="HJ97" s="1017"/>
      <c r="HK97" s="1017"/>
      <c r="HL97" s="1017"/>
      <c r="HM97" s="1017"/>
      <c r="HN97" s="1017"/>
      <c r="HO97" s="1017"/>
      <c r="HP97" s="1017"/>
      <c r="HQ97" s="1017"/>
      <c r="HR97" s="1017"/>
      <c r="HS97" s="1017"/>
      <c r="HT97" s="1017"/>
      <c r="HU97" s="1017"/>
      <c r="HV97" s="1017"/>
      <c r="HW97" s="1017"/>
      <c r="HX97" s="1017"/>
      <c r="HY97" s="1017"/>
      <c r="HZ97" s="1017"/>
      <c r="IA97" s="1017"/>
      <c r="IB97" s="1017"/>
      <c r="IC97" s="1017"/>
      <c r="ID97" s="1017"/>
      <c r="IE97" s="1017"/>
      <c r="IF97" s="1017"/>
      <c r="IG97" s="1017"/>
      <c r="IH97" s="1017"/>
      <c r="II97" s="1017"/>
      <c r="IJ97" s="1017"/>
      <c r="IK97" s="1017"/>
      <c r="IL97" s="1017"/>
      <c r="IM97" s="1017"/>
    </row>
    <row r="98" spans="1:247" s="1077" customFormat="1">
      <c r="A98" s="1052" t="s">
        <v>941</v>
      </c>
      <c r="B98" s="1053"/>
      <c r="C98" s="1071">
        <v>17.6153665</v>
      </c>
      <c r="D98" s="1068">
        <v>0</v>
      </c>
      <c r="E98" s="1069">
        <v>0</v>
      </c>
      <c r="F98" s="1069">
        <v>0</v>
      </c>
      <c r="G98" s="1070">
        <v>0</v>
      </c>
      <c r="H98" s="1072">
        <v>17.6153665</v>
      </c>
      <c r="I98" s="1072">
        <v>17.6153665</v>
      </c>
      <c r="J98" s="1072">
        <v>17.6153665</v>
      </c>
      <c r="K98" s="1073">
        <v>17.6153665</v>
      </c>
      <c r="L98" s="1028"/>
      <c r="M98" s="1045"/>
      <c r="N98" s="1050">
        <f t="shared" si="59"/>
        <v>17.6153665</v>
      </c>
      <c r="O98" s="1068">
        <v>17.96604370553014</v>
      </c>
      <c r="P98" s="1046">
        <v>18.281438758745047</v>
      </c>
      <c r="Q98" s="1046">
        <v>18.659565843077424</v>
      </c>
      <c r="R98" s="1045">
        <f t="shared" si="71"/>
        <v>-0.3506772055301397</v>
      </c>
      <c r="S98" s="1046">
        <f t="shared" si="71"/>
        <v>-0.6660722587450465</v>
      </c>
      <c r="T98" s="1046">
        <f t="shared" si="71"/>
        <v>-1.0441993430774232</v>
      </c>
      <c r="U98" s="1050">
        <f t="shared" si="56"/>
        <v>0.3506772055301397</v>
      </c>
      <c r="V98" s="948"/>
      <c r="W98" s="1075">
        <f>O98</f>
        <v>17.96604370553014</v>
      </c>
      <c r="X98" s="1048">
        <v>17.6153665</v>
      </c>
      <c r="Y98" s="1075">
        <f>X98-W98</f>
        <v>-0.3506772055301397</v>
      </c>
      <c r="Z98" s="1076">
        <f t="shared" si="42"/>
        <v>-3.918385357183051E-4</v>
      </c>
      <c r="AA98" s="1017"/>
      <c r="AB98" s="952"/>
      <c r="AC98" s="1017"/>
      <c r="AD98" s="1017"/>
      <c r="AE98" s="1017"/>
      <c r="AF98" s="1017"/>
      <c r="AG98" s="1017"/>
      <c r="AH98" s="1017"/>
      <c r="AI98" s="1017"/>
      <c r="AJ98" s="1017"/>
      <c r="AK98" s="1017"/>
      <c r="AL98" s="1017"/>
      <c r="AM98" s="1017"/>
      <c r="AN98" s="1017"/>
      <c r="AO98" s="1017"/>
      <c r="AP98" s="1017"/>
      <c r="AQ98" s="1017"/>
      <c r="AR98" s="1017"/>
      <c r="AS98" s="1017"/>
      <c r="AT98" s="1017"/>
      <c r="AU98" s="1017"/>
      <c r="AV98" s="1017"/>
      <c r="AW98" s="1017"/>
      <c r="AX98" s="1017"/>
      <c r="AY98" s="1017"/>
      <c r="AZ98" s="1017"/>
      <c r="BA98" s="1017"/>
      <c r="BB98" s="1017"/>
      <c r="BC98" s="1017"/>
      <c r="BD98" s="1017"/>
      <c r="BE98" s="1017"/>
      <c r="BF98" s="1017"/>
      <c r="BG98" s="1017"/>
      <c r="BH98" s="1017"/>
      <c r="BI98" s="1017"/>
      <c r="BJ98" s="1017"/>
      <c r="BK98" s="1017"/>
      <c r="BL98" s="1017"/>
      <c r="BM98" s="1017"/>
      <c r="BN98" s="1017"/>
      <c r="BO98" s="1017"/>
      <c r="BP98" s="1017"/>
      <c r="BQ98" s="1017"/>
      <c r="BR98" s="1017"/>
      <c r="BS98" s="1017"/>
      <c r="BT98" s="1017"/>
      <c r="BU98" s="1017"/>
      <c r="BV98" s="1017"/>
      <c r="BW98" s="1017"/>
      <c r="BX98" s="1017"/>
      <c r="BY98" s="1017"/>
      <c r="BZ98" s="1017"/>
      <c r="CA98" s="1017"/>
      <c r="CB98" s="1017"/>
      <c r="CC98" s="1017"/>
      <c r="CD98" s="1017"/>
      <c r="CE98" s="1017"/>
      <c r="CF98" s="1017"/>
      <c r="CG98" s="1017"/>
      <c r="CH98" s="1017"/>
      <c r="CI98" s="1017"/>
      <c r="CJ98" s="1017"/>
      <c r="CK98" s="1017"/>
      <c r="CL98" s="1017"/>
      <c r="CM98" s="1017"/>
      <c r="CN98" s="1017"/>
      <c r="CO98" s="1017"/>
      <c r="CP98" s="1017"/>
      <c r="CQ98" s="1017"/>
      <c r="CR98" s="1017"/>
      <c r="CS98" s="1017"/>
      <c r="CT98" s="1017"/>
      <c r="CU98" s="1017"/>
      <c r="CV98" s="1017"/>
      <c r="CW98" s="1017"/>
      <c r="CX98" s="1017"/>
      <c r="CY98" s="1017"/>
      <c r="CZ98" s="1017"/>
      <c r="DA98" s="1017"/>
      <c r="DB98" s="1017"/>
      <c r="DC98" s="1017"/>
      <c r="DD98" s="1017"/>
      <c r="DE98" s="1017"/>
      <c r="DF98" s="1017"/>
      <c r="DG98" s="1017"/>
      <c r="DH98" s="1017"/>
      <c r="DI98" s="1017"/>
      <c r="DJ98" s="1017"/>
      <c r="DK98" s="1017"/>
      <c r="DL98" s="1017"/>
      <c r="DM98" s="1017"/>
      <c r="DN98" s="1017"/>
      <c r="DO98" s="1017"/>
      <c r="DP98" s="1017"/>
      <c r="DQ98" s="1017"/>
      <c r="DR98" s="1017"/>
      <c r="DS98" s="1017"/>
      <c r="DT98" s="1017"/>
      <c r="DU98" s="1017"/>
      <c r="DV98" s="1017"/>
      <c r="DW98" s="1017"/>
      <c r="DX98" s="1017"/>
      <c r="DY98" s="1017"/>
      <c r="DZ98" s="1017"/>
      <c r="EA98" s="1017"/>
      <c r="EB98" s="1017"/>
      <c r="EC98" s="1017"/>
      <c r="ED98" s="1017"/>
      <c r="EE98" s="1017"/>
      <c r="EF98" s="1017"/>
      <c r="EG98" s="1017"/>
      <c r="EH98" s="1017"/>
      <c r="EI98" s="1017"/>
      <c r="EJ98" s="1017"/>
      <c r="EK98" s="1017"/>
      <c r="EL98" s="1017"/>
      <c r="EM98" s="1017"/>
      <c r="EN98" s="1017"/>
      <c r="EO98" s="1017"/>
      <c r="EP98" s="1017"/>
      <c r="EQ98" s="1017"/>
      <c r="ER98" s="1017"/>
      <c r="ES98" s="1017"/>
      <c r="ET98" s="1017"/>
      <c r="EU98" s="1017"/>
      <c r="EV98" s="1017"/>
      <c r="EW98" s="1017"/>
      <c r="EX98" s="1017"/>
      <c r="EY98" s="1017"/>
      <c r="EZ98" s="1017"/>
      <c r="FA98" s="1017"/>
      <c r="FB98" s="1017"/>
      <c r="FC98" s="1017"/>
      <c r="FD98" s="1017"/>
      <c r="FE98" s="1017"/>
      <c r="FF98" s="1017"/>
      <c r="FG98" s="1017"/>
      <c r="FH98" s="1017"/>
      <c r="FI98" s="1017"/>
      <c r="FJ98" s="1017"/>
      <c r="FK98" s="1017"/>
      <c r="FL98" s="1017"/>
      <c r="FM98" s="1017"/>
      <c r="FN98" s="1017"/>
      <c r="FO98" s="1017"/>
      <c r="FP98" s="1017"/>
      <c r="FQ98" s="1017"/>
      <c r="FR98" s="1017"/>
      <c r="FS98" s="1017"/>
      <c r="FT98" s="1017"/>
      <c r="FU98" s="1017"/>
      <c r="FV98" s="1017"/>
      <c r="FW98" s="1017"/>
      <c r="FX98" s="1017"/>
      <c r="FY98" s="1017"/>
      <c r="FZ98" s="1017"/>
      <c r="GA98" s="1017"/>
      <c r="GB98" s="1017"/>
      <c r="GC98" s="1017"/>
      <c r="GD98" s="1017"/>
      <c r="GE98" s="1017"/>
      <c r="GF98" s="1017"/>
      <c r="GG98" s="1017"/>
      <c r="GH98" s="1017"/>
      <c r="GI98" s="1017"/>
      <c r="GJ98" s="1017"/>
      <c r="GK98" s="1017"/>
      <c r="GL98" s="1017"/>
      <c r="GM98" s="1017"/>
      <c r="GN98" s="1017"/>
      <c r="GO98" s="1017"/>
      <c r="GP98" s="1017"/>
      <c r="GQ98" s="1017"/>
      <c r="GR98" s="1017"/>
      <c r="GS98" s="1017"/>
      <c r="GT98" s="1017"/>
      <c r="GU98" s="1017"/>
      <c r="GV98" s="1017"/>
      <c r="GW98" s="1017"/>
      <c r="GX98" s="1017"/>
      <c r="GY98" s="1017"/>
      <c r="GZ98" s="1017"/>
      <c r="HA98" s="1017"/>
      <c r="HB98" s="1017"/>
      <c r="HC98" s="1017"/>
      <c r="HD98" s="1017"/>
      <c r="HE98" s="1017"/>
      <c r="HF98" s="1017"/>
      <c r="HG98" s="1017"/>
      <c r="HH98" s="1017"/>
      <c r="HI98" s="1017"/>
      <c r="HJ98" s="1017"/>
      <c r="HK98" s="1017"/>
      <c r="HL98" s="1017"/>
      <c r="HM98" s="1017"/>
      <c r="HN98" s="1017"/>
      <c r="HO98" s="1017"/>
      <c r="HP98" s="1017"/>
      <c r="HQ98" s="1017"/>
      <c r="HR98" s="1017"/>
      <c r="HS98" s="1017"/>
      <c r="HT98" s="1017"/>
      <c r="HU98" s="1017"/>
      <c r="HV98" s="1017"/>
      <c r="HW98" s="1017"/>
      <c r="HX98" s="1017"/>
      <c r="HY98" s="1017"/>
      <c r="HZ98" s="1017"/>
      <c r="IA98" s="1017"/>
      <c r="IB98" s="1017"/>
      <c r="IC98" s="1017"/>
      <c r="ID98" s="1017"/>
      <c r="IE98" s="1017"/>
      <c r="IF98" s="1017"/>
      <c r="IG98" s="1017"/>
      <c r="IH98" s="1017"/>
      <c r="II98" s="1017"/>
      <c r="IJ98" s="1017"/>
      <c r="IK98" s="1017"/>
      <c r="IL98" s="1017"/>
      <c r="IM98" s="1017"/>
    </row>
    <row r="99" spans="1:247">
      <c r="A99" s="1052" t="s">
        <v>950</v>
      </c>
      <c r="B99" s="1053"/>
      <c r="C99" s="1071">
        <v>72.555999999999997</v>
      </c>
      <c r="D99" s="1068">
        <f>0.0692*0.67+58.611+0.159*0.92-5.605</f>
        <v>53.198643999999987</v>
      </c>
      <c r="E99" s="1069">
        <f>1.614*0.67+11.099+0.622*0.92</f>
        <v>12.75262</v>
      </c>
      <c r="F99" s="1069">
        <f>1.62*0.67+11.229+0.609*0.92</f>
        <v>12.87468</v>
      </c>
      <c r="G99" s="1070">
        <f>1.607*0.67+10.017+0.584*0.92</f>
        <v>11.630969999999998</v>
      </c>
      <c r="H99" s="1072">
        <v>73.198643999999987</v>
      </c>
      <c r="I99" s="1072">
        <v>102.75262000000001</v>
      </c>
      <c r="J99" s="1072">
        <v>107.87468</v>
      </c>
      <c r="K99" s="1073">
        <v>111.63096999999999</v>
      </c>
      <c r="L99" s="1028"/>
      <c r="M99" s="1068"/>
      <c r="N99" s="1050">
        <f t="shared" si="59"/>
        <v>73.198643999999987</v>
      </c>
      <c r="O99" s="1068">
        <v>74.655843083908664</v>
      </c>
      <c r="P99" s="1069">
        <v>75.96643121272443</v>
      </c>
      <c r="Q99" s="1069">
        <v>77.537695133506531</v>
      </c>
      <c r="R99" s="1068">
        <f t="shared" si="71"/>
        <v>28.096776916091343</v>
      </c>
      <c r="S99" s="1069">
        <f t="shared" si="71"/>
        <v>31.908248787275568</v>
      </c>
      <c r="T99" s="1069">
        <f t="shared" si="71"/>
        <v>34.093274866493459</v>
      </c>
      <c r="U99" s="1071">
        <f t="shared" si="56"/>
        <v>1.4571990839086766</v>
      </c>
      <c r="V99" s="948"/>
      <c r="W99" s="1045">
        <f t="shared" si="73"/>
        <v>74.655843083908664</v>
      </c>
      <c r="X99" s="1046">
        <v>102.75262000000001</v>
      </c>
      <c r="Y99" s="1045">
        <f t="shared" si="7"/>
        <v>28.096776916091343</v>
      </c>
      <c r="Z99" s="1051">
        <f t="shared" si="42"/>
        <v>3.1394683633803738E-2</v>
      </c>
      <c r="AA99" s="1017"/>
      <c r="AB99" s="952"/>
      <c r="AC99" s="952"/>
      <c r="AD99" s="1017"/>
      <c r="AE99" s="1017"/>
      <c r="AF99" s="1017"/>
      <c r="AG99" s="1017"/>
      <c r="AH99" s="1017"/>
      <c r="AI99" s="1017"/>
      <c r="AJ99" s="1017"/>
      <c r="AK99" s="1017"/>
      <c r="AL99" s="1017"/>
      <c r="AM99" s="1017"/>
      <c r="AN99" s="1017"/>
      <c r="AO99" s="1017"/>
      <c r="AP99" s="1017"/>
      <c r="AQ99" s="1017"/>
      <c r="AR99" s="1017"/>
      <c r="AS99" s="1017"/>
      <c r="AT99" s="1017"/>
      <c r="AU99" s="1017"/>
      <c r="AV99" s="1017"/>
      <c r="AW99" s="1017"/>
      <c r="AX99" s="1017"/>
      <c r="AY99" s="1017"/>
      <c r="AZ99" s="1017"/>
      <c r="BA99" s="1017"/>
      <c r="BB99" s="1017"/>
      <c r="BC99" s="1017"/>
      <c r="BD99" s="1017"/>
      <c r="BE99" s="1017"/>
      <c r="BF99" s="1017"/>
      <c r="BG99" s="1017"/>
      <c r="BH99" s="1017"/>
      <c r="BI99" s="1017"/>
      <c r="BJ99" s="1017"/>
      <c r="BK99" s="1017"/>
      <c r="BL99" s="1017"/>
      <c r="BM99" s="1017"/>
      <c r="BN99" s="1017"/>
      <c r="BO99" s="1017"/>
      <c r="BP99" s="1017"/>
      <c r="BQ99" s="1017"/>
      <c r="BR99" s="1017"/>
      <c r="BS99" s="1017"/>
      <c r="BT99" s="1017"/>
      <c r="BU99" s="1017"/>
      <c r="BV99" s="1017"/>
      <c r="BW99" s="1017"/>
      <c r="BX99" s="1017"/>
      <c r="BY99" s="1017"/>
      <c r="BZ99" s="1017"/>
      <c r="CA99" s="1017"/>
      <c r="CB99" s="1017"/>
      <c r="CC99" s="1017"/>
      <c r="CD99" s="1017"/>
      <c r="CE99" s="1017"/>
      <c r="CF99" s="1017"/>
      <c r="CG99" s="1017"/>
      <c r="CH99" s="1017"/>
      <c r="CI99" s="1017"/>
      <c r="CJ99" s="1017"/>
      <c r="CK99" s="1017"/>
      <c r="CL99" s="1017"/>
      <c r="CM99" s="1017"/>
      <c r="CN99" s="1017"/>
      <c r="CO99" s="1017"/>
      <c r="CP99" s="1017"/>
      <c r="CQ99" s="1017"/>
      <c r="CR99" s="1017"/>
      <c r="CS99" s="1017"/>
      <c r="CT99" s="1017"/>
      <c r="CU99" s="1017"/>
      <c r="CV99" s="1017"/>
      <c r="CW99" s="1017"/>
      <c r="CX99" s="1017"/>
      <c r="CY99" s="1017"/>
      <c r="CZ99" s="1017"/>
      <c r="DA99" s="1017"/>
      <c r="DB99" s="1017"/>
      <c r="DC99" s="1017"/>
      <c r="DD99" s="1017"/>
      <c r="DE99" s="1017"/>
      <c r="DF99" s="1017"/>
      <c r="DG99" s="1017"/>
      <c r="DH99" s="1017"/>
      <c r="DI99" s="1017"/>
      <c r="DJ99" s="1017"/>
      <c r="DK99" s="1017"/>
      <c r="DL99" s="1017"/>
      <c r="DM99" s="1017"/>
      <c r="DN99" s="1017"/>
      <c r="DO99" s="1017"/>
      <c r="DP99" s="1017"/>
      <c r="DQ99" s="1017"/>
      <c r="DR99" s="1017"/>
      <c r="DS99" s="1017"/>
      <c r="DT99" s="1017"/>
      <c r="DU99" s="1017"/>
      <c r="DV99" s="1017"/>
      <c r="DW99" s="1017"/>
      <c r="DX99" s="1017"/>
      <c r="DY99" s="1017"/>
      <c r="DZ99" s="1017"/>
      <c r="EA99" s="1017"/>
      <c r="EB99" s="1017"/>
      <c r="EC99" s="1017"/>
      <c r="ED99" s="1017"/>
      <c r="EE99" s="1017"/>
      <c r="EF99" s="1017"/>
      <c r="EG99" s="1017"/>
      <c r="EH99" s="1017"/>
      <c r="EI99" s="1017"/>
      <c r="EJ99" s="1017"/>
      <c r="EK99" s="1017"/>
      <c r="EL99" s="1017"/>
      <c r="EM99" s="1017"/>
      <c r="EN99" s="1017"/>
      <c r="EO99" s="1017"/>
      <c r="EP99" s="1017"/>
      <c r="EQ99" s="1017"/>
      <c r="ER99" s="1017"/>
      <c r="ES99" s="1017"/>
      <c r="ET99" s="1017"/>
      <c r="EU99" s="1017"/>
      <c r="EV99" s="1017"/>
      <c r="EW99" s="1017"/>
      <c r="EX99" s="1017"/>
      <c r="EY99" s="1017"/>
      <c r="EZ99" s="1017"/>
      <c r="FA99" s="1017"/>
      <c r="FB99" s="1017"/>
      <c r="FC99" s="1017"/>
      <c r="FD99" s="1017"/>
      <c r="FE99" s="1017"/>
      <c r="FF99" s="1017"/>
      <c r="FG99" s="1017"/>
      <c r="FH99" s="1017"/>
      <c r="FI99" s="1017"/>
      <c r="FJ99" s="1017"/>
      <c r="FK99" s="1017"/>
      <c r="FL99" s="1017"/>
      <c r="FM99" s="1017"/>
      <c r="FN99" s="1017"/>
      <c r="FO99" s="1017"/>
      <c r="FP99" s="1017"/>
      <c r="FQ99" s="1017"/>
      <c r="FR99" s="1017"/>
      <c r="FS99" s="1017"/>
      <c r="FT99" s="1017"/>
      <c r="FU99" s="1017"/>
      <c r="FV99" s="1017"/>
      <c r="FW99" s="1017"/>
      <c r="FX99" s="1017"/>
      <c r="FY99" s="1017"/>
      <c r="FZ99" s="1017"/>
      <c r="GA99" s="1017"/>
      <c r="GB99" s="1017"/>
      <c r="GC99" s="1017"/>
      <c r="GD99" s="1017"/>
      <c r="GE99" s="1017"/>
      <c r="GF99" s="1017"/>
      <c r="GG99" s="1017"/>
      <c r="GH99" s="1017"/>
      <c r="GI99" s="1017"/>
      <c r="GJ99" s="1017"/>
      <c r="GK99" s="1017"/>
      <c r="GL99" s="1017"/>
      <c r="GM99" s="1017"/>
      <c r="GN99" s="1017"/>
      <c r="GO99" s="1017"/>
      <c r="GP99" s="1017"/>
      <c r="GQ99" s="1017"/>
      <c r="GR99" s="1017"/>
      <c r="GS99" s="1017"/>
      <c r="GT99" s="1017"/>
      <c r="GU99" s="1017"/>
      <c r="GV99" s="1017"/>
      <c r="GW99" s="1017"/>
      <c r="GX99" s="1017"/>
      <c r="GY99" s="1017"/>
      <c r="GZ99" s="1017"/>
      <c r="HA99" s="1017"/>
      <c r="HB99" s="1017"/>
      <c r="HC99" s="1017"/>
      <c r="HD99" s="1017"/>
      <c r="HE99" s="1017"/>
      <c r="HF99" s="1017"/>
      <c r="HG99" s="1017"/>
      <c r="HH99" s="1017"/>
      <c r="HI99" s="1017"/>
      <c r="HJ99" s="1017"/>
      <c r="HK99" s="1017"/>
      <c r="HL99" s="1017"/>
      <c r="HM99" s="1017"/>
      <c r="HN99" s="1017"/>
      <c r="HO99" s="1017"/>
      <c r="HP99" s="1017"/>
      <c r="HQ99" s="1017"/>
      <c r="HR99" s="1017"/>
      <c r="HS99" s="1017"/>
      <c r="HT99" s="1017"/>
      <c r="HU99" s="1017"/>
      <c r="HV99" s="1017"/>
      <c r="HW99" s="1017"/>
      <c r="HX99" s="1017"/>
      <c r="HY99" s="1017"/>
      <c r="HZ99" s="1017"/>
      <c r="IA99" s="1017"/>
      <c r="IB99" s="1017"/>
      <c r="IC99" s="1017"/>
      <c r="ID99" s="1017"/>
      <c r="IE99" s="1017"/>
      <c r="IF99" s="1017"/>
      <c r="IG99" s="1017"/>
      <c r="IH99" s="1017"/>
      <c r="II99" s="1017"/>
      <c r="IJ99" s="1017"/>
      <c r="IK99" s="1017"/>
      <c r="IL99" s="1017"/>
      <c r="IM99" s="1017"/>
    </row>
    <row r="100" spans="1:247">
      <c r="A100" s="1052" t="s">
        <v>942</v>
      </c>
      <c r="B100" s="1053"/>
      <c r="C100" s="1071">
        <v>24.6453022623</v>
      </c>
      <c r="D100" s="1068">
        <v>24.8</v>
      </c>
      <c r="E100" s="1069">
        <v>0</v>
      </c>
      <c r="F100" s="1069">
        <v>0</v>
      </c>
      <c r="G100" s="1070">
        <v>0</v>
      </c>
      <c r="H100" s="1072">
        <v>27.6453022623</v>
      </c>
      <c r="I100" s="1072">
        <v>27.6453022623</v>
      </c>
      <c r="J100" s="1072">
        <v>27.6453022623</v>
      </c>
      <c r="K100" s="1073">
        <v>27.6453022623</v>
      </c>
      <c r="L100" s="1028"/>
      <c r="M100" s="1068"/>
      <c r="N100" s="1050">
        <f t="shared" si="59"/>
        <v>27.6453022623</v>
      </c>
      <c r="O100" s="1068">
        <v>28.195650013700995</v>
      </c>
      <c r="P100" s="1069">
        <v>28.690626463845266</v>
      </c>
      <c r="Q100" s="1069">
        <v>29.284053659352711</v>
      </c>
      <c r="R100" s="1068">
        <f t="shared" si="71"/>
        <v>-0.55034775140099512</v>
      </c>
      <c r="S100" s="1069">
        <f t="shared" si="71"/>
        <v>-1.0453242015452666</v>
      </c>
      <c r="T100" s="1069">
        <f t="shared" si="71"/>
        <v>-1.6387513970527117</v>
      </c>
      <c r="U100" s="1071">
        <f t="shared" si="56"/>
        <v>0.55034775140099512</v>
      </c>
      <c r="V100" s="948"/>
      <c r="W100" s="1045">
        <f t="shared" si="73"/>
        <v>28.195650013700995</v>
      </c>
      <c r="X100" s="1046">
        <v>27.6453022623</v>
      </c>
      <c r="Y100" s="1045">
        <f t="shared" si="7"/>
        <v>-0.55034775140099512</v>
      </c>
      <c r="Z100" s="1051">
        <f t="shared" si="42"/>
        <v>-6.1494574966405521E-4</v>
      </c>
      <c r="AA100" s="1017"/>
      <c r="AB100" s="952"/>
      <c r="AC100" s="1017"/>
      <c r="AD100" s="1017"/>
      <c r="AE100" s="1017"/>
      <c r="AF100" s="1017"/>
      <c r="AG100" s="1017"/>
      <c r="AH100" s="1017"/>
      <c r="AI100" s="1017"/>
      <c r="AJ100" s="1017"/>
      <c r="AK100" s="1017"/>
      <c r="AL100" s="1017"/>
      <c r="AM100" s="1017"/>
      <c r="AN100" s="1017"/>
      <c r="AO100" s="1017"/>
      <c r="AP100" s="1017"/>
      <c r="AQ100" s="1017"/>
      <c r="AR100" s="1017"/>
      <c r="AS100" s="1017"/>
      <c r="AT100" s="1017"/>
      <c r="AU100" s="1017"/>
      <c r="AV100" s="1017"/>
      <c r="AW100" s="1017"/>
      <c r="AX100" s="1017"/>
      <c r="AY100" s="1017"/>
      <c r="AZ100" s="1017"/>
      <c r="BA100" s="1017"/>
      <c r="BB100" s="1017"/>
      <c r="BC100" s="1017"/>
      <c r="BD100" s="1017"/>
      <c r="BE100" s="1017"/>
      <c r="BF100" s="1017"/>
      <c r="BG100" s="1017"/>
      <c r="BH100" s="1017"/>
      <c r="BI100" s="1017"/>
      <c r="BJ100" s="1017"/>
      <c r="BK100" s="1017"/>
      <c r="BL100" s="1017"/>
      <c r="BM100" s="1017"/>
      <c r="BN100" s="1017"/>
      <c r="BO100" s="1017"/>
      <c r="BP100" s="1017"/>
      <c r="BQ100" s="1017"/>
      <c r="BR100" s="1017"/>
      <c r="BS100" s="1017"/>
      <c r="BT100" s="1017"/>
      <c r="BU100" s="1017"/>
      <c r="BV100" s="1017"/>
      <c r="BW100" s="1017"/>
      <c r="BX100" s="1017"/>
      <c r="BY100" s="1017"/>
      <c r="BZ100" s="1017"/>
      <c r="CA100" s="1017"/>
      <c r="CB100" s="1017"/>
      <c r="CC100" s="1017"/>
      <c r="CD100" s="1017"/>
      <c r="CE100" s="1017"/>
      <c r="CF100" s="1017"/>
      <c r="CG100" s="1017"/>
      <c r="CH100" s="1017"/>
      <c r="CI100" s="1017"/>
      <c r="CJ100" s="1017"/>
      <c r="CK100" s="1017"/>
      <c r="CL100" s="1017"/>
      <c r="CM100" s="1017"/>
      <c r="CN100" s="1017"/>
      <c r="CO100" s="1017"/>
      <c r="CP100" s="1017"/>
      <c r="CQ100" s="1017"/>
      <c r="CR100" s="1017"/>
      <c r="CS100" s="1017"/>
      <c r="CT100" s="1017"/>
      <c r="CU100" s="1017"/>
      <c r="CV100" s="1017"/>
      <c r="CW100" s="1017"/>
      <c r="CX100" s="1017"/>
      <c r="CY100" s="1017"/>
      <c r="CZ100" s="1017"/>
      <c r="DA100" s="1017"/>
      <c r="DB100" s="1017"/>
      <c r="DC100" s="1017"/>
      <c r="DD100" s="1017"/>
      <c r="DE100" s="1017"/>
      <c r="DF100" s="1017"/>
      <c r="DG100" s="1017"/>
      <c r="DH100" s="1017"/>
      <c r="DI100" s="1017"/>
      <c r="DJ100" s="1017"/>
      <c r="DK100" s="1017"/>
      <c r="DL100" s="1017"/>
      <c r="DM100" s="1017"/>
      <c r="DN100" s="1017"/>
      <c r="DO100" s="1017"/>
      <c r="DP100" s="1017"/>
      <c r="DQ100" s="1017"/>
      <c r="DR100" s="1017"/>
      <c r="DS100" s="1017"/>
      <c r="DT100" s="1017"/>
      <c r="DU100" s="1017"/>
      <c r="DV100" s="1017"/>
      <c r="DW100" s="1017"/>
      <c r="DX100" s="1017"/>
      <c r="DY100" s="1017"/>
      <c r="DZ100" s="1017"/>
      <c r="EA100" s="1017"/>
      <c r="EB100" s="1017"/>
      <c r="EC100" s="1017"/>
      <c r="ED100" s="1017"/>
      <c r="EE100" s="1017"/>
      <c r="EF100" s="1017"/>
      <c r="EG100" s="1017"/>
      <c r="EH100" s="1017"/>
      <c r="EI100" s="1017"/>
      <c r="EJ100" s="1017"/>
      <c r="EK100" s="1017"/>
      <c r="EL100" s="1017"/>
      <c r="EM100" s="1017"/>
      <c r="EN100" s="1017"/>
      <c r="EO100" s="1017"/>
      <c r="EP100" s="1017"/>
      <c r="EQ100" s="1017"/>
      <c r="ER100" s="1017"/>
      <c r="ES100" s="1017"/>
      <c r="ET100" s="1017"/>
      <c r="EU100" s="1017"/>
      <c r="EV100" s="1017"/>
      <c r="EW100" s="1017"/>
      <c r="EX100" s="1017"/>
      <c r="EY100" s="1017"/>
      <c r="EZ100" s="1017"/>
      <c r="FA100" s="1017"/>
      <c r="FB100" s="1017"/>
      <c r="FC100" s="1017"/>
      <c r="FD100" s="1017"/>
      <c r="FE100" s="1017"/>
      <c r="FF100" s="1017"/>
      <c r="FG100" s="1017"/>
      <c r="FH100" s="1017"/>
      <c r="FI100" s="1017"/>
      <c r="FJ100" s="1017"/>
      <c r="FK100" s="1017"/>
      <c r="FL100" s="1017"/>
      <c r="FM100" s="1017"/>
      <c r="FN100" s="1017"/>
      <c r="FO100" s="1017"/>
      <c r="FP100" s="1017"/>
      <c r="FQ100" s="1017"/>
      <c r="FR100" s="1017"/>
      <c r="FS100" s="1017"/>
      <c r="FT100" s="1017"/>
      <c r="FU100" s="1017"/>
      <c r="FV100" s="1017"/>
      <c r="FW100" s="1017"/>
      <c r="FX100" s="1017"/>
      <c r="FY100" s="1017"/>
      <c r="FZ100" s="1017"/>
      <c r="GA100" s="1017"/>
      <c r="GB100" s="1017"/>
      <c r="GC100" s="1017"/>
      <c r="GD100" s="1017"/>
      <c r="GE100" s="1017"/>
      <c r="GF100" s="1017"/>
      <c r="GG100" s="1017"/>
      <c r="GH100" s="1017"/>
      <c r="GI100" s="1017"/>
      <c r="GJ100" s="1017"/>
      <c r="GK100" s="1017"/>
      <c r="GL100" s="1017"/>
      <c r="GM100" s="1017"/>
      <c r="GN100" s="1017"/>
      <c r="GO100" s="1017"/>
      <c r="GP100" s="1017"/>
      <c r="GQ100" s="1017"/>
      <c r="GR100" s="1017"/>
      <c r="GS100" s="1017"/>
      <c r="GT100" s="1017"/>
      <c r="GU100" s="1017"/>
      <c r="GV100" s="1017"/>
      <c r="GW100" s="1017"/>
      <c r="GX100" s="1017"/>
      <c r="GY100" s="1017"/>
      <c r="GZ100" s="1017"/>
      <c r="HA100" s="1017"/>
      <c r="HB100" s="1017"/>
      <c r="HC100" s="1017"/>
      <c r="HD100" s="1017"/>
      <c r="HE100" s="1017"/>
      <c r="HF100" s="1017"/>
      <c r="HG100" s="1017"/>
      <c r="HH100" s="1017"/>
      <c r="HI100" s="1017"/>
      <c r="HJ100" s="1017"/>
      <c r="HK100" s="1017"/>
      <c r="HL100" s="1017"/>
      <c r="HM100" s="1017"/>
      <c r="HN100" s="1017"/>
      <c r="HO100" s="1017"/>
      <c r="HP100" s="1017"/>
      <c r="HQ100" s="1017"/>
      <c r="HR100" s="1017"/>
      <c r="HS100" s="1017"/>
      <c r="HT100" s="1017"/>
      <c r="HU100" s="1017"/>
      <c r="HV100" s="1017"/>
      <c r="HW100" s="1017"/>
      <c r="HX100" s="1017"/>
      <c r="HY100" s="1017"/>
      <c r="HZ100" s="1017"/>
      <c r="IA100" s="1017"/>
      <c r="IB100" s="1017"/>
      <c r="IC100" s="1017"/>
      <c r="ID100" s="1017"/>
      <c r="IE100" s="1017"/>
      <c r="IF100" s="1017"/>
      <c r="IG100" s="1017"/>
      <c r="IH100" s="1017"/>
      <c r="II100" s="1017"/>
      <c r="IJ100" s="1017"/>
      <c r="IK100" s="1017"/>
      <c r="IL100" s="1017"/>
      <c r="IM100" s="1017"/>
    </row>
    <row r="101" spans="1:247">
      <c r="A101" s="1052" t="s">
        <v>432</v>
      </c>
      <c r="B101" s="1053"/>
      <c r="C101" s="1050">
        <f>C81-SUM(C82:C100)</f>
        <v>3008.609389479343</v>
      </c>
      <c r="D101" s="1045">
        <f>D81-SUM(D82:D100)</f>
        <v>3273.74105934</v>
      </c>
      <c r="E101" s="1046">
        <f>E81-SUM(E82:E100)</f>
        <v>3141.1841935299999</v>
      </c>
      <c r="F101" s="1046">
        <f>F81-SUM(F82:F100)</f>
        <v>3176.6800977800003</v>
      </c>
      <c r="G101" s="1047">
        <f>G81-SUM(G82:G100)</f>
        <v>3247.6827520100005</v>
      </c>
      <c r="H101" s="1048">
        <v>3378.7992857676586</v>
      </c>
      <c r="I101" s="1048">
        <v>3351.1271579306626</v>
      </c>
      <c r="J101" s="1048">
        <v>3498.1773279919144</v>
      </c>
      <c r="K101" s="1049">
        <v>3482.0227011723541</v>
      </c>
      <c r="L101" s="1028"/>
      <c r="M101" s="1045"/>
      <c r="N101" s="1050">
        <f t="shared" si="59"/>
        <v>3378.7992857676586</v>
      </c>
      <c r="O101" s="1045">
        <v>3446.0625976936544</v>
      </c>
      <c r="P101" s="1046">
        <v>3506.5584483214107</v>
      </c>
      <c r="Q101" s="1046">
        <v>3579.0869150139229</v>
      </c>
      <c r="R101" s="1045">
        <f t="shared" si="71"/>
        <v>-94.935439762991791</v>
      </c>
      <c r="S101" s="1046">
        <f t="shared" si="71"/>
        <v>-8.3811203294962979</v>
      </c>
      <c r="T101" s="1046">
        <f t="shared" si="71"/>
        <v>-97.064213841568744</v>
      </c>
      <c r="U101" s="1050">
        <f t="shared" si="56"/>
        <v>67.263311925995822</v>
      </c>
      <c r="V101" s="948"/>
      <c r="W101" s="1045">
        <f t="shared" si="73"/>
        <v>3446.0625976936544</v>
      </c>
      <c r="X101" s="1046">
        <v>3141.1841935299999</v>
      </c>
      <c r="Y101" s="1045">
        <f>X101-W101</f>
        <v>-304.87840416365452</v>
      </c>
      <c r="Z101" s="1051">
        <f t="shared" si="42"/>
        <v>-0.34066402257033068</v>
      </c>
      <c r="AA101" s="958"/>
      <c r="AB101" s="952"/>
      <c r="AC101" s="1017"/>
      <c r="AD101" s="1017"/>
      <c r="AE101" s="1017"/>
      <c r="AF101" s="1017"/>
      <c r="AG101" s="1017"/>
      <c r="AH101" s="1017"/>
      <c r="AI101" s="1017"/>
      <c r="AJ101" s="1017"/>
      <c r="AK101" s="1017"/>
      <c r="AL101" s="1017"/>
      <c r="AM101" s="1017"/>
      <c r="AN101" s="1017"/>
      <c r="AO101" s="1017"/>
      <c r="AP101" s="1017"/>
      <c r="AQ101" s="1017"/>
      <c r="AR101" s="1017"/>
      <c r="AS101" s="1017"/>
      <c r="AT101" s="1017"/>
      <c r="AU101" s="1017"/>
      <c r="AV101" s="1017"/>
      <c r="AW101" s="1017"/>
      <c r="AX101" s="1017"/>
      <c r="AY101" s="1017"/>
      <c r="AZ101" s="1017"/>
      <c r="BA101" s="1017"/>
      <c r="BB101" s="1017"/>
      <c r="BC101" s="1017"/>
      <c r="BD101" s="1017"/>
      <c r="BE101" s="1017"/>
      <c r="BF101" s="1017"/>
      <c r="BG101" s="1017"/>
      <c r="BH101" s="1017"/>
      <c r="BI101" s="1017"/>
      <c r="BJ101" s="1017"/>
      <c r="BK101" s="1017"/>
      <c r="BL101" s="1017"/>
      <c r="BM101" s="1017"/>
      <c r="BN101" s="1017"/>
      <c r="BO101" s="1017"/>
      <c r="BP101" s="1017"/>
      <c r="BQ101" s="1017"/>
      <c r="BR101" s="1017"/>
      <c r="BS101" s="1017"/>
      <c r="BT101" s="1017"/>
      <c r="BU101" s="1017"/>
      <c r="BV101" s="1017"/>
      <c r="BW101" s="1017"/>
      <c r="BX101" s="1017"/>
      <c r="BY101" s="1017"/>
      <c r="BZ101" s="1017"/>
      <c r="CA101" s="1017"/>
      <c r="CB101" s="1017"/>
      <c r="CC101" s="1017"/>
      <c r="CD101" s="1017"/>
      <c r="CE101" s="1017"/>
      <c r="CF101" s="1017"/>
      <c r="CG101" s="1017"/>
      <c r="CH101" s="1017"/>
      <c r="CI101" s="1017"/>
      <c r="CJ101" s="1017"/>
      <c r="CK101" s="1017"/>
      <c r="CL101" s="1017"/>
      <c r="CM101" s="1017"/>
      <c r="CN101" s="1017"/>
      <c r="CO101" s="1017"/>
      <c r="CP101" s="1017"/>
      <c r="CQ101" s="1017"/>
      <c r="CR101" s="1017"/>
      <c r="CS101" s="1017"/>
      <c r="CT101" s="1017"/>
      <c r="CU101" s="1017"/>
      <c r="CV101" s="1017"/>
      <c r="CW101" s="1017"/>
      <c r="CX101" s="1017"/>
      <c r="CY101" s="1017"/>
      <c r="CZ101" s="1017"/>
      <c r="DA101" s="1017"/>
      <c r="DB101" s="1017"/>
      <c r="DC101" s="1017"/>
      <c r="DD101" s="1017"/>
      <c r="DE101" s="1017"/>
      <c r="DF101" s="1017"/>
      <c r="DG101" s="1017"/>
      <c r="DH101" s="1017"/>
      <c r="DI101" s="1017"/>
      <c r="DJ101" s="1017"/>
      <c r="DK101" s="1017"/>
      <c r="DL101" s="1017"/>
      <c r="DM101" s="1017"/>
      <c r="DN101" s="1017"/>
      <c r="DO101" s="1017"/>
      <c r="DP101" s="1017"/>
      <c r="DQ101" s="1017"/>
      <c r="DR101" s="1017"/>
      <c r="DS101" s="1017"/>
      <c r="DT101" s="1017"/>
      <c r="DU101" s="1017"/>
      <c r="DV101" s="1017"/>
      <c r="DW101" s="1017"/>
      <c r="DX101" s="1017"/>
      <c r="DY101" s="1017"/>
      <c r="DZ101" s="1017"/>
      <c r="EA101" s="1017"/>
      <c r="EB101" s="1017"/>
      <c r="EC101" s="1017"/>
      <c r="ED101" s="1017"/>
      <c r="EE101" s="1017"/>
      <c r="EF101" s="1017"/>
      <c r="EG101" s="1017"/>
      <c r="EH101" s="1017"/>
      <c r="EI101" s="1017"/>
      <c r="EJ101" s="1017"/>
      <c r="EK101" s="1017"/>
      <c r="EL101" s="1017"/>
      <c r="EM101" s="1017"/>
      <c r="EN101" s="1017"/>
      <c r="EO101" s="1017"/>
      <c r="EP101" s="1017"/>
      <c r="EQ101" s="1017"/>
      <c r="ER101" s="1017"/>
      <c r="ES101" s="1017"/>
      <c r="ET101" s="1017"/>
      <c r="EU101" s="1017"/>
      <c r="EV101" s="1017"/>
      <c r="EW101" s="1017"/>
      <c r="EX101" s="1017"/>
      <c r="EY101" s="1017"/>
      <c r="EZ101" s="1017"/>
      <c r="FA101" s="1017"/>
      <c r="FB101" s="1017"/>
      <c r="FC101" s="1017"/>
      <c r="FD101" s="1017"/>
      <c r="FE101" s="1017"/>
      <c r="FF101" s="1017"/>
      <c r="FG101" s="1017"/>
      <c r="FH101" s="1017"/>
      <c r="FI101" s="1017"/>
      <c r="FJ101" s="1017"/>
      <c r="FK101" s="1017"/>
      <c r="FL101" s="1017"/>
      <c r="FM101" s="1017"/>
      <c r="FN101" s="1017"/>
      <c r="FO101" s="1017"/>
      <c r="FP101" s="1017"/>
      <c r="FQ101" s="1017"/>
      <c r="FR101" s="1017"/>
      <c r="FS101" s="1017"/>
      <c r="FT101" s="1017"/>
      <c r="FU101" s="1017"/>
      <c r="FV101" s="1017"/>
      <c r="FW101" s="1017"/>
      <c r="FX101" s="1017"/>
      <c r="FY101" s="1017"/>
      <c r="FZ101" s="1017"/>
      <c r="GA101" s="1017"/>
      <c r="GB101" s="1017"/>
      <c r="GC101" s="1017"/>
      <c r="GD101" s="1017"/>
      <c r="GE101" s="1017"/>
      <c r="GF101" s="1017"/>
      <c r="GG101" s="1017"/>
      <c r="GH101" s="1017"/>
      <c r="GI101" s="1017"/>
      <c r="GJ101" s="1017"/>
      <c r="GK101" s="1017"/>
      <c r="GL101" s="1017"/>
      <c r="GM101" s="1017"/>
      <c r="GN101" s="1017"/>
      <c r="GO101" s="1017"/>
      <c r="GP101" s="1017"/>
      <c r="GQ101" s="1017"/>
      <c r="GR101" s="1017"/>
      <c r="GS101" s="1017"/>
      <c r="GT101" s="1017"/>
      <c r="GU101" s="1017"/>
      <c r="GV101" s="1017"/>
      <c r="GW101" s="1017"/>
      <c r="GX101" s="1017"/>
      <c r="GY101" s="1017"/>
      <c r="GZ101" s="1017"/>
      <c r="HA101" s="1017"/>
      <c r="HB101" s="1017"/>
      <c r="HC101" s="1017"/>
      <c r="HD101" s="1017"/>
      <c r="HE101" s="1017"/>
      <c r="HF101" s="1017"/>
      <c r="HG101" s="1017"/>
      <c r="HH101" s="1017"/>
      <c r="HI101" s="1017"/>
      <c r="HJ101" s="1017"/>
      <c r="HK101" s="1017"/>
      <c r="HL101" s="1017"/>
      <c r="HM101" s="1017"/>
      <c r="HN101" s="1017"/>
      <c r="HO101" s="1017"/>
      <c r="HP101" s="1017"/>
      <c r="HQ101" s="1017"/>
      <c r="HR101" s="1017"/>
      <c r="HS101" s="1017"/>
      <c r="HT101" s="1017"/>
      <c r="HU101" s="1017"/>
      <c r="HV101" s="1017"/>
      <c r="HW101" s="1017"/>
      <c r="HX101" s="1017"/>
      <c r="HY101" s="1017"/>
      <c r="HZ101" s="1017"/>
      <c r="IA101" s="1017"/>
      <c r="IB101" s="1017"/>
      <c r="IC101" s="1017"/>
      <c r="ID101" s="1017"/>
      <c r="IE101" s="1017"/>
      <c r="IF101" s="1017"/>
      <c r="IG101" s="1017"/>
      <c r="IH101" s="1017"/>
      <c r="II101" s="1017"/>
      <c r="IJ101" s="1017"/>
      <c r="IK101" s="1017"/>
      <c r="IL101" s="1017"/>
      <c r="IM101" s="1017"/>
    </row>
    <row r="102" spans="1:247" s="957" customFormat="1">
      <c r="A102" s="790" t="s">
        <v>722</v>
      </c>
      <c r="B102" s="1060" t="s">
        <v>973</v>
      </c>
      <c r="C102" s="1034">
        <v>15519.974</v>
      </c>
      <c r="D102" s="1061">
        <v>15911.208000000001</v>
      </c>
      <c r="E102" s="1102">
        <v>16402.777999999998</v>
      </c>
      <c r="F102" s="1102">
        <v>17114.513999999999</v>
      </c>
      <c r="G102" s="1103">
        <v>17814.428</v>
      </c>
      <c r="H102" s="1104">
        <f>SUM(H103:H119)</f>
        <v>15881.070490692031</v>
      </c>
      <c r="I102" s="1104">
        <f t="shared" ref="I102:K102" si="74">SUM(I103:I119)</f>
        <v>16401.639263836063</v>
      </c>
      <c r="J102" s="1104">
        <f t="shared" si="74"/>
        <v>16973.52197961411</v>
      </c>
      <c r="K102" s="1105">
        <f t="shared" si="74"/>
        <v>17570.108560699689</v>
      </c>
      <c r="L102" s="1028"/>
      <c r="M102" s="1066">
        <f>SUM(M103:M119)</f>
        <v>-92</v>
      </c>
      <c r="N102" s="1034">
        <f t="shared" si="59"/>
        <v>15789.070490692031</v>
      </c>
      <c r="O102" s="1066">
        <f t="shared" ref="O102:T102" si="75">SUM(O103:O119)</f>
        <v>16326.777249332761</v>
      </c>
      <c r="P102" s="1062">
        <f t="shared" si="75"/>
        <v>16946.739289243145</v>
      </c>
      <c r="Q102" s="1062">
        <f t="shared" si="75"/>
        <v>17648.068524695707</v>
      </c>
      <c r="R102" s="1066">
        <f t="shared" si="75"/>
        <v>74.862014503301992</v>
      </c>
      <c r="S102" s="1062">
        <f t="shared" si="75"/>
        <v>26.782690370966542</v>
      </c>
      <c r="T102" s="1062">
        <f t="shared" si="75"/>
        <v>-77.959963996018601</v>
      </c>
      <c r="U102" s="1034">
        <f t="shared" si="56"/>
        <v>537.70675864073019</v>
      </c>
      <c r="V102" s="1100"/>
      <c r="W102" s="1066">
        <f>SUM(W103:W119)</f>
        <v>16326.777249332761</v>
      </c>
      <c r="X102" s="1062">
        <f>SUM(X103:X119)</f>
        <v>16304.937999999998</v>
      </c>
      <c r="Y102" s="1066">
        <f t="shared" si="7"/>
        <v>-21.839249332762847</v>
      </c>
      <c r="Z102" s="1067">
        <f t="shared" si="42"/>
        <v>-2.4402668165442752E-2</v>
      </c>
      <c r="AA102" s="1042"/>
      <c r="AB102" s="952"/>
      <c r="AC102" s="1042"/>
      <c r="AD102" s="1042"/>
      <c r="AE102" s="1042"/>
      <c r="AF102" s="1042"/>
      <c r="AG102" s="1042"/>
      <c r="AH102" s="1042"/>
      <c r="AI102" s="1042"/>
      <c r="AJ102" s="1042"/>
      <c r="AK102" s="1042"/>
      <c r="AL102" s="1042"/>
      <c r="AM102" s="1042"/>
      <c r="AN102" s="1042"/>
      <c r="AO102" s="1042"/>
      <c r="AP102" s="1042"/>
      <c r="AQ102" s="1042"/>
      <c r="AR102" s="1042"/>
      <c r="AS102" s="1042"/>
      <c r="AT102" s="1042"/>
      <c r="AU102" s="1042"/>
      <c r="AV102" s="1042"/>
      <c r="AW102" s="1042"/>
      <c r="AX102" s="1042"/>
      <c r="AY102" s="1042"/>
      <c r="AZ102" s="1042"/>
      <c r="BA102" s="1042"/>
      <c r="BB102" s="1042"/>
      <c r="BC102" s="1042"/>
      <c r="BD102" s="1042"/>
      <c r="BE102" s="1042"/>
      <c r="BF102" s="1042"/>
      <c r="BG102" s="1042"/>
      <c r="BH102" s="1042"/>
      <c r="BI102" s="1042"/>
      <c r="BJ102" s="1042"/>
      <c r="BK102" s="1042"/>
      <c r="BL102" s="1042"/>
      <c r="BM102" s="1042"/>
      <c r="BN102" s="1042"/>
      <c r="BO102" s="1042"/>
      <c r="BP102" s="1042"/>
      <c r="BQ102" s="1042"/>
      <c r="BR102" s="1042"/>
      <c r="BS102" s="1042"/>
      <c r="BT102" s="1042"/>
      <c r="BU102" s="1042"/>
      <c r="BV102" s="1042"/>
      <c r="BW102" s="1042"/>
      <c r="BX102" s="1042"/>
      <c r="BY102" s="1042"/>
      <c r="BZ102" s="1042"/>
      <c r="CA102" s="1042"/>
      <c r="CB102" s="1042"/>
      <c r="CC102" s="1042"/>
      <c r="CD102" s="1042"/>
      <c r="CE102" s="1042"/>
      <c r="CF102" s="1042"/>
      <c r="CG102" s="1042"/>
      <c r="CH102" s="1042"/>
      <c r="CI102" s="1042"/>
      <c r="CJ102" s="1042"/>
      <c r="CK102" s="1042"/>
      <c r="CL102" s="1042"/>
      <c r="CM102" s="1042"/>
      <c r="CN102" s="1042"/>
      <c r="CO102" s="1042"/>
      <c r="CP102" s="1042"/>
      <c r="CQ102" s="1042"/>
      <c r="CR102" s="1042"/>
      <c r="CS102" s="1042"/>
      <c r="CT102" s="1042"/>
      <c r="CU102" s="1042"/>
      <c r="CV102" s="1042"/>
      <c r="CW102" s="1042"/>
      <c r="CX102" s="1042"/>
      <c r="CY102" s="1042"/>
      <c r="CZ102" s="1042"/>
      <c r="DA102" s="1042"/>
      <c r="DB102" s="1042"/>
      <c r="DC102" s="1042"/>
      <c r="DD102" s="1042"/>
      <c r="DE102" s="1042"/>
      <c r="DF102" s="1042"/>
      <c r="DG102" s="1042"/>
      <c r="DH102" s="1042"/>
      <c r="DI102" s="1042"/>
      <c r="DJ102" s="1042"/>
      <c r="DK102" s="1042"/>
      <c r="DL102" s="1042"/>
      <c r="DM102" s="1042"/>
      <c r="DN102" s="1042"/>
      <c r="DO102" s="1042"/>
      <c r="DP102" s="1042"/>
      <c r="DQ102" s="1042"/>
      <c r="DR102" s="1042"/>
      <c r="DS102" s="1042"/>
      <c r="DT102" s="1042"/>
      <c r="DU102" s="1042"/>
      <c r="DV102" s="1042"/>
      <c r="DW102" s="1042"/>
      <c r="DX102" s="1042"/>
      <c r="DY102" s="1042"/>
      <c r="DZ102" s="1042"/>
      <c r="EA102" s="1042"/>
      <c r="EB102" s="1042"/>
      <c r="EC102" s="1042"/>
      <c r="ED102" s="1042"/>
      <c r="EE102" s="1042"/>
      <c r="EF102" s="1042"/>
      <c r="EG102" s="1042"/>
      <c r="EH102" s="1042"/>
      <c r="EI102" s="1042"/>
      <c r="EJ102" s="1042"/>
      <c r="EK102" s="1042"/>
      <c r="EL102" s="1042"/>
      <c r="EM102" s="1042"/>
      <c r="EN102" s="1042"/>
      <c r="EO102" s="1042"/>
      <c r="EP102" s="1042"/>
      <c r="EQ102" s="1042"/>
      <c r="ER102" s="1042"/>
      <c r="ES102" s="1042"/>
      <c r="ET102" s="1042"/>
      <c r="EU102" s="1042"/>
      <c r="EV102" s="1042"/>
      <c r="EW102" s="1042"/>
      <c r="EX102" s="1042"/>
      <c r="EY102" s="1042"/>
      <c r="EZ102" s="1042"/>
      <c r="FA102" s="1042"/>
      <c r="FB102" s="1042"/>
      <c r="FC102" s="1042"/>
      <c r="FD102" s="1042"/>
      <c r="FE102" s="1042"/>
      <c r="FF102" s="1042"/>
      <c r="FG102" s="1042"/>
      <c r="FH102" s="1042"/>
      <c r="FI102" s="1042"/>
      <c r="FJ102" s="1042"/>
      <c r="FK102" s="1042"/>
      <c r="FL102" s="1042"/>
      <c r="FM102" s="1042"/>
      <c r="FN102" s="1042"/>
      <c r="FO102" s="1042"/>
      <c r="FP102" s="1042"/>
      <c r="FQ102" s="1042"/>
      <c r="FR102" s="1042"/>
      <c r="FS102" s="1042"/>
      <c r="FT102" s="1042"/>
      <c r="FU102" s="1042"/>
      <c r="FV102" s="1042"/>
      <c r="FW102" s="1042"/>
      <c r="FX102" s="1042"/>
      <c r="FY102" s="1042"/>
      <c r="FZ102" s="1042"/>
      <c r="GA102" s="1042"/>
      <c r="GB102" s="1042"/>
      <c r="GC102" s="1042"/>
      <c r="GD102" s="1042"/>
      <c r="GE102" s="1042"/>
      <c r="GF102" s="1042"/>
      <c r="GG102" s="1042"/>
      <c r="GH102" s="1042"/>
      <c r="GI102" s="1042"/>
      <c r="GJ102" s="1042"/>
      <c r="GK102" s="1042"/>
      <c r="GL102" s="1042"/>
      <c r="GM102" s="1042"/>
      <c r="GN102" s="1042"/>
      <c r="GO102" s="1042"/>
      <c r="GP102" s="1042"/>
      <c r="GQ102" s="1042"/>
      <c r="GR102" s="1042"/>
      <c r="GS102" s="1042"/>
      <c r="GT102" s="1042"/>
      <c r="GU102" s="1042"/>
      <c r="GV102" s="1042"/>
      <c r="GW102" s="1042"/>
      <c r="GX102" s="1042"/>
      <c r="GY102" s="1042"/>
      <c r="GZ102" s="1042"/>
      <c r="HA102" s="1042"/>
      <c r="HB102" s="1042"/>
      <c r="HC102" s="1042"/>
      <c r="HD102" s="1042"/>
      <c r="HE102" s="1042"/>
      <c r="HF102" s="1042"/>
      <c r="HG102" s="1042"/>
      <c r="HH102" s="1042"/>
      <c r="HI102" s="1042"/>
      <c r="HJ102" s="1042"/>
      <c r="HK102" s="1042"/>
      <c r="HL102" s="1042"/>
      <c r="HM102" s="1042"/>
      <c r="HN102" s="1042"/>
      <c r="HO102" s="1042"/>
      <c r="HP102" s="1042"/>
      <c r="HQ102" s="1042"/>
      <c r="HR102" s="1042"/>
      <c r="HS102" s="1042"/>
      <c r="HT102" s="1042"/>
      <c r="HU102" s="1042"/>
      <c r="HV102" s="1042"/>
      <c r="HW102" s="1042"/>
      <c r="HX102" s="1042"/>
      <c r="HY102" s="1042"/>
      <c r="HZ102" s="1042"/>
      <c r="IA102" s="1042"/>
      <c r="IB102" s="1042"/>
      <c r="IC102" s="1042"/>
      <c r="ID102" s="1042"/>
      <c r="IE102" s="1042"/>
      <c r="IF102" s="1042"/>
      <c r="IG102" s="1042"/>
      <c r="IH102" s="1042"/>
      <c r="II102" s="1042"/>
      <c r="IJ102" s="1042"/>
      <c r="IK102" s="1042"/>
      <c r="IL102" s="1042"/>
      <c r="IM102" s="1042"/>
    </row>
    <row r="103" spans="1:247">
      <c r="A103" s="1052" t="s">
        <v>974</v>
      </c>
      <c r="B103" s="1053"/>
      <c r="C103" s="1050">
        <v>6543.9780000000001</v>
      </c>
      <c r="D103" s="1068">
        <v>6767.1869999999999</v>
      </c>
      <c r="E103" s="1046">
        <f>7044.03</f>
        <v>7044.03</v>
      </c>
      <c r="F103" s="1046">
        <v>7286.2389999999996</v>
      </c>
      <c r="G103" s="1047">
        <f>7544.176</f>
        <v>7544.1760000000004</v>
      </c>
      <c r="H103" s="1048">
        <v>6767.1869999999999</v>
      </c>
      <c r="I103" s="1048">
        <v>7044.03</v>
      </c>
      <c r="J103" s="1048">
        <v>7286.2389999999996</v>
      </c>
      <c r="K103" s="1049">
        <v>7544.1760000000004</v>
      </c>
      <c r="L103" s="1028"/>
      <c r="M103" s="1045"/>
      <c r="N103" s="1050">
        <f t="shared" si="59"/>
        <v>6767.1869999999999</v>
      </c>
      <c r="O103" s="1045">
        <v>6921.8790088472369</v>
      </c>
      <c r="P103" s="1046">
        <v>7102.0346849991965</v>
      </c>
      <c r="Q103" s="1046">
        <v>7314.2626365753831</v>
      </c>
      <c r="R103" s="1045">
        <f t="shared" ref="R103:T118" si="76">I103-O103</f>
        <v>122.1509911527628</v>
      </c>
      <c r="S103" s="1046">
        <f t="shared" si="76"/>
        <v>184.20431500080304</v>
      </c>
      <c r="T103" s="1046">
        <f t="shared" si="76"/>
        <v>229.91336342461727</v>
      </c>
      <c r="U103" s="1050">
        <f t="shared" si="56"/>
        <v>154.69200884723705</v>
      </c>
      <c r="V103" s="948"/>
      <c r="W103" s="1045">
        <f t="shared" ref="W103:W115" si="77">O103</f>
        <v>6921.8790088472369</v>
      </c>
      <c r="X103" s="1046">
        <v>7044.03</v>
      </c>
      <c r="Y103" s="1045">
        <f t="shared" si="7"/>
        <v>122.1509911527628</v>
      </c>
      <c r="Z103" s="1051">
        <f t="shared" si="42"/>
        <v>0.13648867036418907</v>
      </c>
      <c r="AA103" s="1017"/>
      <c r="AB103" s="952"/>
      <c r="AC103" s="1017"/>
      <c r="AD103" s="1017"/>
      <c r="AE103" s="1017"/>
      <c r="AF103" s="1017"/>
      <c r="AG103" s="1017"/>
      <c r="AH103" s="1017"/>
      <c r="AI103" s="1017"/>
      <c r="AJ103" s="1017"/>
      <c r="AK103" s="1017"/>
      <c r="AL103" s="1017"/>
      <c r="AM103" s="1017"/>
      <c r="AN103" s="1017"/>
      <c r="AO103" s="1017"/>
      <c r="AP103" s="1017"/>
      <c r="AQ103" s="1017"/>
      <c r="AR103" s="1017"/>
      <c r="AS103" s="1017"/>
      <c r="AT103" s="1017"/>
      <c r="AU103" s="1017"/>
      <c r="AV103" s="1017"/>
      <c r="AW103" s="1017"/>
      <c r="AX103" s="1017"/>
      <c r="AY103" s="1017"/>
      <c r="AZ103" s="1017"/>
      <c r="BA103" s="1017"/>
      <c r="BB103" s="1017"/>
      <c r="BC103" s="1017"/>
      <c r="BD103" s="1017"/>
      <c r="BE103" s="1017"/>
      <c r="BF103" s="1017"/>
      <c r="BG103" s="1017"/>
      <c r="BH103" s="1017"/>
      <c r="BI103" s="1017"/>
      <c r="BJ103" s="1017"/>
      <c r="BK103" s="1017"/>
      <c r="BL103" s="1017"/>
      <c r="BM103" s="1017"/>
      <c r="BN103" s="1017"/>
      <c r="BO103" s="1017"/>
      <c r="BP103" s="1017"/>
      <c r="BQ103" s="1017"/>
      <c r="BR103" s="1017"/>
      <c r="BS103" s="1017"/>
      <c r="BT103" s="1017"/>
      <c r="BU103" s="1017"/>
      <c r="BV103" s="1017"/>
      <c r="BW103" s="1017"/>
      <c r="BX103" s="1017"/>
      <c r="BY103" s="1017"/>
      <c r="BZ103" s="1017"/>
      <c r="CA103" s="1017"/>
      <c r="CB103" s="1017"/>
      <c r="CC103" s="1017"/>
      <c r="CD103" s="1017"/>
      <c r="CE103" s="1017"/>
      <c r="CF103" s="1017"/>
      <c r="CG103" s="1017"/>
      <c r="CH103" s="1017"/>
      <c r="CI103" s="1017"/>
      <c r="CJ103" s="1017"/>
      <c r="CK103" s="1017"/>
      <c r="CL103" s="1017"/>
      <c r="CM103" s="1017"/>
      <c r="CN103" s="1017"/>
      <c r="CO103" s="1017"/>
      <c r="CP103" s="1017"/>
      <c r="CQ103" s="1017"/>
      <c r="CR103" s="1017"/>
      <c r="CS103" s="1017"/>
      <c r="CT103" s="1017"/>
      <c r="CU103" s="1017"/>
      <c r="CV103" s="1017"/>
      <c r="CW103" s="1017"/>
      <c r="CX103" s="1017"/>
      <c r="CY103" s="1017"/>
      <c r="CZ103" s="1017"/>
      <c r="DA103" s="1017"/>
      <c r="DB103" s="1017"/>
      <c r="DC103" s="1017"/>
      <c r="DD103" s="1017"/>
      <c r="DE103" s="1017"/>
      <c r="DF103" s="1017"/>
      <c r="DG103" s="1017"/>
      <c r="DH103" s="1017"/>
      <c r="DI103" s="1017"/>
      <c r="DJ103" s="1017"/>
      <c r="DK103" s="1017"/>
      <c r="DL103" s="1017"/>
      <c r="DM103" s="1017"/>
      <c r="DN103" s="1017"/>
      <c r="DO103" s="1017"/>
      <c r="DP103" s="1017"/>
      <c r="DQ103" s="1017"/>
      <c r="DR103" s="1017"/>
      <c r="DS103" s="1017"/>
      <c r="DT103" s="1017"/>
      <c r="DU103" s="1017"/>
      <c r="DV103" s="1017"/>
      <c r="DW103" s="1017"/>
      <c r="DX103" s="1017"/>
      <c r="DY103" s="1017"/>
      <c r="DZ103" s="1017"/>
      <c r="EA103" s="1017"/>
      <c r="EB103" s="1017"/>
      <c r="EC103" s="1017"/>
      <c r="ED103" s="1017"/>
      <c r="EE103" s="1017"/>
      <c r="EF103" s="1017"/>
      <c r="EG103" s="1017"/>
      <c r="EH103" s="1017"/>
      <c r="EI103" s="1017"/>
      <c r="EJ103" s="1017"/>
      <c r="EK103" s="1017"/>
      <c r="EL103" s="1017"/>
      <c r="EM103" s="1017"/>
      <c r="EN103" s="1017"/>
      <c r="EO103" s="1017"/>
      <c r="EP103" s="1017"/>
      <c r="EQ103" s="1017"/>
      <c r="ER103" s="1017"/>
      <c r="ES103" s="1017"/>
      <c r="ET103" s="1017"/>
      <c r="EU103" s="1017"/>
      <c r="EV103" s="1017"/>
      <c r="EW103" s="1017"/>
      <c r="EX103" s="1017"/>
      <c r="EY103" s="1017"/>
      <c r="EZ103" s="1017"/>
      <c r="FA103" s="1017"/>
      <c r="FB103" s="1017"/>
      <c r="FC103" s="1017"/>
      <c r="FD103" s="1017"/>
      <c r="FE103" s="1017"/>
      <c r="FF103" s="1017"/>
      <c r="FG103" s="1017"/>
      <c r="FH103" s="1017"/>
      <c r="FI103" s="1017"/>
      <c r="FJ103" s="1017"/>
      <c r="FK103" s="1017"/>
      <c r="FL103" s="1017"/>
      <c r="FM103" s="1017"/>
      <c r="FN103" s="1017"/>
      <c r="FO103" s="1017"/>
      <c r="FP103" s="1017"/>
      <c r="FQ103" s="1017"/>
      <c r="FR103" s="1017"/>
      <c r="FS103" s="1017"/>
      <c r="FT103" s="1017"/>
      <c r="FU103" s="1017"/>
      <c r="FV103" s="1017"/>
      <c r="FW103" s="1017"/>
      <c r="FX103" s="1017"/>
      <c r="FY103" s="1017"/>
      <c r="FZ103" s="1017"/>
      <c r="GA103" s="1017"/>
      <c r="GB103" s="1017"/>
      <c r="GC103" s="1017"/>
      <c r="GD103" s="1017"/>
      <c r="GE103" s="1017"/>
      <c r="GF103" s="1017"/>
      <c r="GG103" s="1017"/>
      <c r="GH103" s="1017"/>
      <c r="GI103" s="1017"/>
      <c r="GJ103" s="1017"/>
      <c r="GK103" s="1017"/>
      <c r="GL103" s="1017"/>
      <c r="GM103" s="1017"/>
      <c r="GN103" s="1017"/>
      <c r="GO103" s="1017"/>
      <c r="GP103" s="1017"/>
      <c r="GQ103" s="1017"/>
      <c r="GR103" s="1017"/>
      <c r="GS103" s="1017"/>
      <c r="GT103" s="1017"/>
      <c r="GU103" s="1017"/>
      <c r="GV103" s="1017"/>
      <c r="GW103" s="1017"/>
      <c r="GX103" s="1017"/>
      <c r="GY103" s="1017"/>
      <c r="GZ103" s="1017"/>
      <c r="HA103" s="1017"/>
      <c r="HB103" s="1017"/>
      <c r="HC103" s="1017"/>
      <c r="HD103" s="1017"/>
      <c r="HE103" s="1017"/>
      <c r="HF103" s="1017"/>
      <c r="HG103" s="1017"/>
      <c r="HH103" s="1017"/>
      <c r="HI103" s="1017"/>
      <c r="HJ103" s="1017"/>
      <c r="HK103" s="1017"/>
      <c r="HL103" s="1017"/>
      <c r="HM103" s="1017"/>
      <c r="HN103" s="1017"/>
      <c r="HO103" s="1017"/>
      <c r="HP103" s="1017"/>
      <c r="HQ103" s="1017"/>
      <c r="HR103" s="1017"/>
      <c r="HS103" s="1017"/>
      <c r="HT103" s="1017"/>
      <c r="HU103" s="1017"/>
      <c r="HV103" s="1017"/>
      <c r="HW103" s="1017"/>
      <c r="HX103" s="1017"/>
      <c r="HY103" s="1017"/>
      <c r="HZ103" s="1017"/>
      <c r="IA103" s="1017"/>
      <c r="IB103" s="1017"/>
      <c r="IC103" s="1017"/>
      <c r="ID103" s="1017"/>
      <c r="IE103" s="1017"/>
      <c r="IF103" s="1017"/>
      <c r="IG103" s="1017"/>
      <c r="IH103" s="1017"/>
      <c r="II103" s="1017"/>
      <c r="IJ103" s="1017"/>
      <c r="IK103" s="1017"/>
      <c r="IL103" s="1017"/>
      <c r="IM103" s="1017"/>
    </row>
    <row r="104" spans="1:247">
      <c r="A104" s="1052" t="s">
        <v>975</v>
      </c>
      <c r="B104" s="1053"/>
      <c r="C104" s="1050">
        <v>473.88600000000002</v>
      </c>
      <c r="D104" s="1068">
        <v>564.68700000000001</v>
      </c>
      <c r="E104" s="1046">
        <v>604.15200000000004</v>
      </c>
      <c r="F104" s="1046">
        <v>644.73</v>
      </c>
      <c r="G104" s="1047">
        <v>689.36099999999999</v>
      </c>
      <c r="H104" s="1048">
        <v>564.68700000000001</v>
      </c>
      <c r="I104" s="1048">
        <v>604.15200000000004</v>
      </c>
      <c r="J104" s="1048">
        <v>644.73</v>
      </c>
      <c r="K104" s="1049">
        <v>689.36099999999999</v>
      </c>
      <c r="L104" s="1028"/>
      <c r="M104" s="1045"/>
      <c r="N104" s="1050">
        <f t="shared" si="59"/>
        <v>564.68700000000001</v>
      </c>
      <c r="O104" s="1045">
        <v>600.34820019642473</v>
      </c>
      <c r="P104" s="1046">
        <v>636.47969282975953</v>
      </c>
      <c r="Q104" s="1046">
        <v>675.35354569709955</v>
      </c>
      <c r="R104" s="1045">
        <f t="shared" si="76"/>
        <v>3.8037998035753162</v>
      </c>
      <c r="S104" s="1046">
        <f t="shared" si="76"/>
        <v>8.2503071702404895</v>
      </c>
      <c r="T104" s="1046">
        <f t="shared" si="76"/>
        <v>14.007454302900442</v>
      </c>
      <c r="U104" s="1050">
        <f t="shared" si="56"/>
        <v>35.661200196424716</v>
      </c>
      <c r="V104" s="948"/>
      <c r="W104" s="1045">
        <f t="shared" si="77"/>
        <v>600.34820019642473</v>
      </c>
      <c r="X104" s="1046">
        <v>604.15200000000004</v>
      </c>
      <c r="Y104" s="1045">
        <f t="shared" si="7"/>
        <v>3.8037998035753162</v>
      </c>
      <c r="Z104" s="1051">
        <f t="shared" si="42"/>
        <v>4.2502772398487886E-3</v>
      </c>
      <c r="AA104" s="1017"/>
      <c r="AB104" s="952"/>
      <c r="AC104" s="1017"/>
      <c r="AD104" s="1017"/>
      <c r="AE104" s="1017"/>
      <c r="AF104" s="1017"/>
      <c r="AG104" s="1017"/>
      <c r="AH104" s="1017"/>
      <c r="AI104" s="1017"/>
      <c r="AJ104" s="1017"/>
      <c r="AK104" s="1017"/>
      <c r="AL104" s="1017"/>
      <c r="AM104" s="1017"/>
      <c r="AN104" s="1017"/>
      <c r="AO104" s="1017"/>
      <c r="AP104" s="1017"/>
      <c r="AQ104" s="1017"/>
      <c r="AR104" s="1017"/>
      <c r="AS104" s="1017"/>
      <c r="AT104" s="1017"/>
      <c r="AU104" s="1017"/>
      <c r="AV104" s="1017"/>
      <c r="AW104" s="1017"/>
      <c r="AX104" s="1017"/>
      <c r="AY104" s="1017"/>
      <c r="AZ104" s="1017"/>
      <c r="BA104" s="1017"/>
      <c r="BB104" s="1017"/>
      <c r="BC104" s="1017"/>
      <c r="BD104" s="1017"/>
      <c r="BE104" s="1017"/>
      <c r="BF104" s="1017"/>
      <c r="BG104" s="1017"/>
      <c r="BH104" s="1017"/>
      <c r="BI104" s="1017"/>
      <c r="BJ104" s="1017"/>
      <c r="BK104" s="1017"/>
      <c r="BL104" s="1017"/>
      <c r="BM104" s="1017"/>
      <c r="BN104" s="1017"/>
      <c r="BO104" s="1017"/>
      <c r="BP104" s="1017"/>
      <c r="BQ104" s="1017"/>
      <c r="BR104" s="1017"/>
      <c r="BS104" s="1017"/>
      <c r="BT104" s="1017"/>
      <c r="BU104" s="1017"/>
      <c r="BV104" s="1017"/>
      <c r="BW104" s="1017"/>
      <c r="BX104" s="1017"/>
      <c r="BY104" s="1017"/>
      <c r="BZ104" s="1017"/>
      <c r="CA104" s="1017"/>
      <c r="CB104" s="1017"/>
      <c r="CC104" s="1017"/>
      <c r="CD104" s="1017"/>
      <c r="CE104" s="1017"/>
      <c r="CF104" s="1017"/>
      <c r="CG104" s="1017"/>
      <c r="CH104" s="1017"/>
      <c r="CI104" s="1017"/>
      <c r="CJ104" s="1017"/>
      <c r="CK104" s="1017"/>
      <c r="CL104" s="1017"/>
      <c r="CM104" s="1017"/>
      <c r="CN104" s="1017"/>
      <c r="CO104" s="1017"/>
      <c r="CP104" s="1017"/>
      <c r="CQ104" s="1017"/>
      <c r="CR104" s="1017"/>
      <c r="CS104" s="1017"/>
      <c r="CT104" s="1017"/>
      <c r="CU104" s="1017"/>
      <c r="CV104" s="1017"/>
      <c r="CW104" s="1017"/>
      <c r="CX104" s="1017"/>
      <c r="CY104" s="1017"/>
      <c r="CZ104" s="1017"/>
      <c r="DA104" s="1017"/>
      <c r="DB104" s="1017"/>
      <c r="DC104" s="1017"/>
      <c r="DD104" s="1017"/>
      <c r="DE104" s="1017"/>
      <c r="DF104" s="1017"/>
      <c r="DG104" s="1017"/>
      <c r="DH104" s="1017"/>
      <c r="DI104" s="1017"/>
      <c r="DJ104" s="1017"/>
      <c r="DK104" s="1017"/>
      <c r="DL104" s="1017"/>
      <c r="DM104" s="1017"/>
      <c r="DN104" s="1017"/>
      <c r="DO104" s="1017"/>
      <c r="DP104" s="1017"/>
      <c r="DQ104" s="1017"/>
      <c r="DR104" s="1017"/>
      <c r="DS104" s="1017"/>
      <c r="DT104" s="1017"/>
      <c r="DU104" s="1017"/>
      <c r="DV104" s="1017"/>
      <c r="DW104" s="1017"/>
      <c r="DX104" s="1017"/>
      <c r="DY104" s="1017"/>
      <c r="DZ104" s="1017"/>
      <c r="EA104" s="1017"/>
      <c r="EB104" s="1017"/>
      <c r="EC104" s="1017"/>
      <c r="ED104" s="1017"/>
      <c r="EE104" s="1017"/>
      <c r="EF104" s="1017"/>
      <c r="EG104" s="1017"/>
      <c r="EH104" s="1017"/>
      <c r="EI104" s="1017"/>
      <c r="EJ104" s="1017"/>
      <c r="EK104" s="1017"/>
      <c r="EL104" s="1017"/>
      <c r="EM104" s="1017"/>
      <c r="EN104" s="1017"/>
      <c r="EO104" s="1017"/>
      <c r="EP104" s="1017"/>
      <c r="EQ104" s="1017"/>
      <c r="ER104" s="1017"/>
      <c r="ES104" s="1017"/>
      <c r="ET104" s="1017"/>
      <c r="EU104" s="1017"/>
      <c r="EV104" s="1017"/>
      <c r="EW104" s="1017"/>
      <c r="EX104" s="1017"/>
      <c r="EY104" s="1017"/>
      <c r="EZ104" s="1017"/>
      <c r="FA104" s="1017"/>
      <c r="FB104" s="1017"/>
      <c r="FC104" s="1017"/>
      <c r="FD104" s="1017"/>
      <c r="FE104" s="1017"/>
      <c r="FF104" s="1017"/>
      <c r="FG104" s="1017"/>
      <c r="FH104" s="1017"/>
      <c r="FI104" s="1017"/>
      <c r="FJ104" s="1017"/>
      <c r="FK104" s="1017"/>
      <c r="FL104" s="1017"/>
      <c r="FM104" s="1017"/>
      <c r="FN104" s="1017"/>
      <c r="FO104" s="1017"/>
      <c r="FP104" s="1017"/>
      <c r="FQ104" s="1017"/>
      <c r="FR104" s="1017"/>
      <c r="FS104" s="1017"/>
      <c r="FT104" s="1017"/>
      <c r="FU104" s="1017"/>
      <c r="FV104" s="1017"/>
      <c r="FW104" s="1017"/>
      <c r="FX104" s="1017"/>
      <c r="FY104" s="1017"/>
      <c r="FZ104" s="1017"/>
      <c r="GA104" s="1017"/>
      <c r="GB104" s="1017"/>
      <c r="GC104" s="1017"/>
      <c r="GD104" s="1017"/>
      <c r="GE104" s="1017"/>
      <c r="GF104" s="1017"/>
      <c r="GG104" s="1017"/>
      <c r="GH104" s="1017"/>
      <c r="GI104" s="1017"/>
      <c r="GJ104" s="1017"/>
      <c r="GK104" s="1017"/>
      <c r="GL104" s="1017"/>
      <c r="GM104" s="1017"/>
      <c r="GN104" s="1017"/>
      <c r="GO104" s="1017"/>
      <c r="GP104" s="1017"/>
      <c r="GQ104" s="1017"/>
      <c r="GR104" s="1017"/>
      <c r="GS104" s="1017"/>
      <c r="GT104" s="1017"/>
      <c r="GU104" s="1017"/>
      <c r="GV104" s="1017"/>
      <c r="GW104" s="1017"/>
      <c r="GX104" s="1017"/>
      <c r="GY104" s="1017"/>
      <c r="GZ104" s="1017"/>
      <c r="HA104" s="1017"/>
      <c r="HB104" s="1017"/>
      <c r="HC104" s="1017"/>
      <c r="HD104" s="1017"/>
      <c r="HE104" s="1017"/>
      <c r="HF104" s="1017"/>
      <c r="HG104" s="1017"/>
      <c r="HH104" s="1017"/>
      <c r="HI104" s="1017"/>
      <c r="HJ104" s="1017"/>
      <c r="HK104" s="1017"/>
      <c r="HL104" s="1017"/>
      <c r="HM104" s="1017"/>
      <c r="HN104" s="1017"/>
      <c r="HO104" s="1017"/>
      <c r="HP104" s="1017"/>
      <c r="HQ104" s="1017"/>
      <c r="HR104" s="1017"/>
      <c r="HS104" s="1017"/>
      <c r="HT104" s="1017"/>
      <c r="HU104" s="1017"/>
      <c r="HV104" s="1017"/>
      <c r="HW104" s="1017"/>
      <c r="HX104" s="1017"/>
      <c r="HY104" s="1017"/>
      <c r="HZ104" s="1017"/>
      <c r="IA104" s="1017"/>
      <c r="IB104" s="1017"/>
      <c r="IC104" s="1017"/>
      <c r="ID104" s="1017"/>
      <c r="IE104" s="1017"/>
      <c r="IF104" s="1017"/>
      <c r="IG104" s="1017"/>
      <c r="IH104" s="1017"/>
      <c r="II104" s="1017"/>
      <c r="IJ104" s="1017"/>
      <c r="IK104" s="1017"/>
      <c r="IL104" s="1017"/>
      <c r="IM104" s="1017"/>
    </row>
    <row r="105" spans="1:247">
      <c r="A105" s="1052" t="s">
        <v>976</v>
      </c>
      <c r="B105" s="1053"/>
      <c r="C105" s="1050">
        <v>44.402000000000001</v>
      </c>
      <c r="D105" s="1068">
        <v>50.25</v>
      </c>
      <c r="E105" s="1046">
        <v>53.304000000000002</v>
      </c>
      <c r="F105" s="1046">
        <v>56.984000000000002</v>
      </c>
      <c r="G105" s="1047">
        <v>60.206000000000003</v>
      </c>
      <c r="H105" s="1048">
        <v>50.25</v>
      </c>
      <c r="I105" s="1048">
        <v>53.304000000000002</v>
      </c>
      <c r="J105" s="1048">
        <v>56.984000000000002</v>
      </c>
      <c r="K105" s="1049">
        <v>60.206000000000003</v>
      </c>
      <c r="L105" s="1028"/>
      <c r="M105" s="1045"/>
      <c r="N105" s="1050">
        <f t="shared" si="59"/>
        <v>50.25</v>
      </c>
      <c r="O105" s="1045">
        <v>51.917279906554093</v>
      </c>
      <c r="P105" s="1046">
        <v>53.626505819256224</v>
      </c>
      <c r="Q105" s="1046">
        <v>55.598252287618635</v>
      </c>
      <c r="R105" s="1045">
        <f t="shared" si="76"/>
        <v>1.3867200934459092</v>
      </c>
      <c r="S105" s="1046">
        <f t="shared" si="76"/>
        <v>3.3574941807437781</v>
      </c>
      <c r="T105" s="1046">
        <f t="shared" si="76"/>
        <v>4.6077477123813679</v>
      </c>
      <c r="U105" s="1050">
        <f t="shared" si="56"/>
        <v>1.6672799065540929</v>
      </c>
      <c r="V105" s="948"/>
      <c r="W105" s="1045">
        <f t="shared" si="77"/>
        <v>51.917279906554093</v>
      </c>
      <c r="X105" s="1046">
        <v>53.304000000000002</v>
      </c>
      <c r="Y105" s="1045">
        <f t="shared" si="7"/>
        <v>1.3867200934459092</v>
      </c>
      <c r="Z105" s="1051">
        <f t="shared" si="42"/>
        <v>1.5494887101246025E-3</v>
      </c>
      <c r="AA105" s="1017"/>
      <c r="AB105" s="952"/>
      <c r="AC105" s="1017"/>
      <c r="AD105" s="1017"/>
      <c r="AE105" s="1017"/>
      <c r="AF105" s="1017"/>
      <c r="AG105" s="1017"/>
      <c r="AH105" s="1017"/>
      <c r="AI105" s="1017"/>
      <c r="AJ105" s="1017"/>
      <c r="AK105" s="1017"/>
      <c r="AL105" s="1017"/>
      <c r="AM105" s="1017"/>
      <c r="AN105" s="1017"/>
      <c r="AO105" s="1017"/>
      <c r="AP105" s="1017"/>
      <c r="AQ105" s="1017"/>
      <c r="AR105" s="1017"/>
      <c r="AS105" s="1017"/>
      <c r="AT105" s="1017"/>
      <c r="AU105" s="1017"/>
      <c r="AV105" s="1017"/>
      <c r="AW105" s="1017"/>
      <c r="AX105" s="1017"/>
      <c r="AY105" s="1017"/>
      <c r="AZ105" s="1017"/>
      <c r="BA105" s="1017"/>
      <c r="BB105" s="1017"/>
      <c r="BC105" s="1017"/>
      <c r="BD105" s="1017"/>
      <c r="BE105" s="1017"/>
      <c r="BF105" s="1017"/>
      <c r="BG105" s="1017"/>
      <c r="BH105" s="1017"/>
      <c r="BI105" s="1017"/>
      <c r="BJ105" s="1017"/>
      <c r="BK105" s="1017"/>
      <c r="BL105" s="1017"/>
      <c r="BM105" s="1017"/>
      <c r="BN105" s="1017"/>
      <c r="BO105" s="1017"/>
      <c r="BP105" s="1017"/>
      <c r="BQ105" s="1017"/>
      <c r="BR105" s="1017"/>
      <c r="BS105" s="1017"/>
      <c r="BT105" s="1017"/>
      <c r="BU105" s="1017"/>
      <c r="BV105" s="1017"/>
      <c r="BW105" s="1017"/>
      <c r="BX105" s="1017"/>
      <c r="BY105" s="1017"/>
      <c r="BZ105" s="1017"/>
      <c r="CA105" s="1017"/>
      <c r="CB105" s="1017"/>
      <c r="CC105" s="1017"/>
      <c r="CD105" s="1017"/>
      <c r="CE105" s="1017"/>
      <c r="CF105" s="1017"/>
      <c r="CG105" s="1017"/>
      <c r="CH105" s="1017"/>
      <c r="CI105" s="1017"/>
      <c r="CJ105" s="1017"/>
      <c r="CK105" s="1017"/>
      <c r="CL105" s="1017"/>
      <c r="CM105" s="1017"/>
      <c r="CN105" s="1017"/>
      <c r="CO105" s="1017"/>
      <c r="CP105" s="1017"/>
      <c r="CQ105" s="1017"/>
      <c r="CR105" s="1017"/>
      <c r="CS105" s="1017"/>
      <c r="CT105" s="1017"/>
      <c r="CU105" s="1017"/>
      <c r="CV105" s="1017"/>
      <c r="CW105" s="1017"/>
      <c r="CX105" s="1017"/>
      <c r="CY105" s="1017"/>
      <c r="CZ105" s="1017"/>
      <c r="DA105" s="1017"/>
      <c r="DB105" s="1017"/>
      <c r="DC105" s="1017"/>
      <c r="DD105" s="1017"/>
      <c r="DE105" s="1017"/>
      <c r="DF105" s="1017"/>
      <c r="DG105" s="1017"/>
      <c r="DH105" s="1017"/>
      <c r="DI105" s="1017"/>
      <c r="DJ105" s="1017"/>
      <c r="DK105" s="1017"/>
      <c r="DL105" s="1017"/>
      <c r="DM105" s="1017"/>
      <c r="DN105" s="1017"/>
      <c r="DO105" s="1017"/>
      <c r="DP105" s="1017"/>
      <c r="DQ105" s="1017"/>
      <c r="DR105" s="1017"/>
      <c r="DS105" s="1017"/>
      <c r="DT105" s="1017"/>
      <c r="DU105" s="1017"/>
      <c r="DV105" s="1017"/>
      <c r="DW105" s="1017"/>
      <c r="DX105" s="1017"/>
      <c r="DY105" s="1017"/>
      <c r="DZ105" s="1017"/>
      <c r="EA105" s="1017"/>
      <c r="EB105" s="1017"/>
      <c r="EC105" s="1017"/>
      <c r="ED105" s="1017"/>
      <c r="EE105" s="1017"/>
      <c r="EF105" s="1017"/>
      <c r="EG105" s="1017"/>
      <c r="EH105" s="1017"/>
      <c r="EI105" s="1017"/>
      <c r="EJ105" s="1017"/>
      <c r="EK105" s="1017"/>
      <c r="EL105" s="1017"/>
      <c r="EM105" s="1017"/>
      <c r="EN105" s="1017"/>
      <c r="EO105" s="1017"/>
      <c r="EP105" s="1017"/>
      <c r="EQ105" s="1017"/>
      <c r="ER105" s="1017"/>
      <c r="ES105" s="1017"/>
      <c r="ET105" s="1017"/>
      <c r="EU105" s="1017"/>
      <c r="EV105" s="1017"/>
      <c r="EW105" s="1017"/>
      <c r="EX105" s="1017"/>
      <c r="EY105" s="1017"/>
      <c r="EZ105" s="1017"/>
      <c r="FA105" s="1017"/>
      <c r="FB105" s="1017"/>
      <c r="FC105" s="1017"/>
      <c r="FD105" s="1017"/>
      <c r="FE105" s="1017"/>
      <c r="FF105" s="1017"/>
      <c r="FG105" s="1017"/>
      <c r="FH105" s="1017"/>
      <c r="FI105" s="1017"/>
      <c r="FJ105" s="1017"/>
      <c r="FK105" s="1017"/>
      <c r="FL105" s="1017"/>
      <c r="FM105" s="1017"/>
      <c r="FN105" s="1017"/>
      <c r="FO105" s="1017"/>
      <c r="FP105" s="1017"/>
      <c r="FQ105" s="1017"/>
      <c r="FR105" s="1017"/>
      <c r="FS105" s="1017"/>
      <c r="FT105" s="1017"/>
      <c r="FU105" s="1017"/>
      <c r="FV105" s="1017"/>
      <c r="FW105" s="1017"/>
      <c r="FX105" s="1017"/>
      <c r="FY105" s="1017"/>
      <c r="FZ105" s="1017"/>
      <c r="GA105" s="1017"/>
      <c r="GB105" s="1017"/>
      <c r="GC105" s="1017"/>
      <c r="GD105" s="1017"/>
      <c r="GE105" s="1017"/>
      <c r="GF105" s="1017"/>
      <c r="GG105" s="1017"/>
      <c r="GH105" s="1017"/>
      <c r="GI105" s="1017"/>
      <c r="GJ105" s="1017"/>
      <c r="GK105" s="1017"/>
      <c r="GL105" s="1017"/>
      <c r="GM105" s="1017"/>
      <c r="GN105" s="1017"/>
      <c r="GO105" s="1017"/>
      <c r="GP105" s="1017"/>
      <c r="GQ105" s="1017"/>
      <c r="GR105" s="1017"/>
      <c r="GS105" s="1017"/>
      <c r="GT105" s="1017"/>
      <c r="GU105" s="1017"/>
      <c r="GV105" s="1017"/>
      <c r="GW105" s="1017"/>
      <c r="GX105" s="1017"/>
      <c r="GY105" s="1017"/>
      <c r="GZ105" s="1017"/>
      <c r="HA105" s="1017"/>
      <c r="HB105" s="1017"/>
      <c r="HC105" s="1017"/>
      <c r="HD105" s="1017"/>
      <c r="HE105" s="1017"/>
      <c r="HF105" s="1017"/>
      <c r="HG105" s="1017"/>
      <c r="HH105" s="1017"/>
      <c r="HI105" s="1017"/>
      <c r="HJ105" s="1017"/>
      <c r="HK105" s="1017"/>
      <c r="HL105" s="1017"/>
      <c r="HM105" s="1017"/>
      <c r="HN105" s="1017"/>
      <c r="HO105" s="1017"/>
      <c r="HP105" s="1017"/>
      <c r="HQ105" s="1017"/>
      <c r="HR105" s="1017"/>
      <c r="HS105" s="1017"/>
      <c r="HT105" s="1017"/>
      <c r="HU105" s="1017"/>
      <c r="HV105" s="1017"/>
      <c r="HW105" s="1017"/>
      <c r="HX105" s="1017"/>
      <c r="HY105" s="1017"/>
      <c r="HZ105" s="1017"/>
      <c r="IA105" s="1017"/>
      <c r="IB105" s="1017"/>
      <c r="IC105" s="1017"/>
      <c r="ID105" s="1017"/>
      <c r="IE105" s="1017"/>
      <c r="IF105" s="1017"/>
      <c r="IG105" s="1017"/>
      <c r="IH105" s="1017"/>
      <c r="II105" s="1017"/>
      <c r="IJ105" s="1017"/>
      <c r="IK105" s="1017"/>
      <c r="IL105" s="1017"/>
      <c r="IM105" s="1017"/>
    </row>
    <row r="106" spans="1:247">
      <c r="A106" s="1052" t="s">
        <v>977</v>
      </c>
      <c r="B106" s="1053"/>
      <c r="C106" s="1050">
        <v>171.63</v>
      </c>
      <c r="D106" s="1068">
        <v>172.86</v>
      </c>
      <c r="E106" s="1046">
        <v>162.90100000000001</v>
      </c>
      <c r="F106" s="1046">
        <v>154.874</v>
      </c>
      <c r="G106" s="1047">
        <v>146.56399999999999</v>
      </c>
      <c r="H106" s="1048">
        <v>172.86</v>
      </c>
      <c r="I106" s="1048">
        <v>162.90100000000001</v>
      </c>
      <c r="J106" s="1048">
        <v>164.874</v>
      </c>
      <c r="K106" s="1049">
        <v>166.56399999999999</v>
      </c>
      <c r="L106" s="1028"/>
      <c r="M106" s="1045"/>
      <c r="N106" s="1050">
        <f t="shared" si="59"/>
        <v>172.86</v>
      </c>
      <c r="O106" s="1045">
        <v>153.18545261986228</v>
      </c>
      <c r="P106" s="1046">
        <v>140.23585864929643</v>
      </c>
      <c r="Q106" s="1046">
        <v>133.32505400170621</v>
      </c>
      <c r="R106" s="1045">
        <f t="shared" si="76"/>
        <v>9.7155473801377354</v>
      </c>
      <c r="S106" s="1046">
        <f t="shared" si="76"/>
        <v>24.638141350703563</v>
      </c>
      <c r="T106" s="1046">
        <f t="shared" si="76"/>
        <v>33.238945998293786</v>
      </c>
      <c r="U106" s="1050">
        <f t="shared" si="56"/>
        <v>-19.674547380137739</v>
      </c>
      <c r="V106" s="948"/>
      <c r="W106" s="1045">
        <f t="shared" si="77"/>
        <v>153.18545261986228</v>
      </c>
      <c r="X106" s="1046">
        <v>162.90100000000001</v>
      </c>
      <c r="Y106" s="1045">
        <f t="shared" si="7"/>
        <v>9.7155473801377354</v>
      </c>
      <c r="Z106" s="1051">
        <f t="shared" si="42"/>
        <v>1.0855926188244337E-2</v>
      </c>
      <c r="AA106" s="1017"/>
      <c r="AB106" s="952"/>
      <c r="AC106" s="1017"/>
      <c r="AD106" s="1017"/>
      <c r="AE106" s="1017"/>
      <c r="AF106" s="1017"/>
      <c r="AG106" s="1017"/>
      <c r="AH106" s="1017"/>
      <c r="AI106" s="1017"/>
      <c r="AJ106" s="1017"/>
      <c r="AK106" s="1017"/>
      <c r="AL106" s="1017"/>
      <c r="AM106" s="1017"/>
      <c r="AN106" s="1017"/>
      <c r="AO106" s="1017"/>
      <c r="AP106" s="1017"/>
      <c r="AQ106" s="1017"/>
      <c r="AR106" s="1017"/>
      <c r="AS106" s="1017"/>
      <c r="AT106" s="1017"/>
      <c r="AU106" s="1017"/>
      <c r="AV106" s="1017"/>
      <c r="AW106" s="1017"/>
      <c r="AX106" s="1017"/>
      <c r="AY106" s="1017"/>
      <c r="AZ106" s="1017"/>
      <c r="BA106" s="1017"/>
      <c r="BB106" s="1017"/>
      <c r="BC106" s="1017"/>
      <c r="BD106" s="1017"/>
      <c r="BE106" s="1017"/>
      <c r="BF106" s="1017"/>
      <c r="BG106" s="1017"/>
      <c r="BH106" s="1017"/>
      <c r="BI106" s="1017"/>
      <c r="BJ106" s="1017"/>
      <c r="BK106" s="1017"/>
      <c r="BL106" s="1017"/>
      <c r="BM106" s="1017"/>
      <c r="BN106" s="1017"/>
      <c r="BO106" s="1017"/>
      <c r="BP106" s="1017"/>
      <c r="BQ106" s="1017"/>
      <c r="BR106" s="1017"/>
      <c r="BS106" s="1017"/>
      <c r="BT106" s="1017"/>
      <c r="BU106" s="1017"/>
      <c r="BV106" s="1017"/>
      <c r="BW106" s="1017"/>
      <c r="BX106" s="1017"/>
      <c r="BY106" s="1017"/>
      <c r="BZ106" s="1017"/>
      <c r="CA106" s="1017"/>
      <c r="CB106" s="1017"/>
      <c r="CC106" s="1017"/>
      <c r="CD106" s="1017"/>
      <c r="CE106" s="1017"/>
      <c r="CF106" s="1017"/>
      <c r="CG106" s="1017"/>
      <c r="CH106" s="1017"/>
      <c r="CI106" s="1017"/>
      <c r="CJ106" s="1017"/>
      <c r="CK106" s="1017"/>
      <c r="CL106" s="1017"/>
      <c r="CM106" s="1017"/>
      <c r="CN106" s="1017"/>
      <c r="CO106" s="1017"/>
      <c r="CP106" s="1017"/>
      <c r="CQ106" s="1017"/>
      <c r="CR106" s="1017"/>
      <c r="CS106" s="1017"/>
      <c r="CT106" s="1017"/>
      <c r="CU106" s="1017"/>
      <c r="CV106" s="1017"/>
      <c r="CW106" s="1017"/>
      <c r="CX106" s="1017"/>
      <c r="CY106" s="1017"/>
      <c r="CZ106" s="1017"/>
      <c r="DA106" s="1017"/>
      <c r="DB106" s="1017"/>
      <c r="DC106" s="1017"/>
      <c r="DD106" s="1017"/>
      <c r="DE106" s="1017"/>
      <c r="DF106" s="1017"/>
      <c r="DG106" s="1017"/>
      <c r="DH106" s="1017"/>
      <c r="DI106" s="1017"/>
      <c r="DJ106" s="1017"/>
      <c r="DK106" s="1017"/>
      <c r="DL106" s="1017"/>
      <c r="DM106" s="1017"/>
      <c r="DN106" s="1017"/>
      <c r="DO106" s="1017"/>
      <c r="DP106" s="1017"/>
      <c r="DQ106" s="1017"/>
      <c r="DR106" s="1017"/>
      <c r="DS106" s="1017"/>
      <c r="DT106" s="1017"/>
      <c r="DU106" s="1017"/>
      <c r="DV106" s="1017"/>
      <c r="DW106" s="1017"/>
      <c r="DX106" s="1017"/>
      <c r="DY106" s="1017"/>
      <c r="DZ106" s="1017"/>
      <c r="EA106" s="1017"/>
      <c r="EB106" s="1017"/>
      <c r="EC106" s="1017"/>
      <c r="ED106" s="1017"/>
      <c r="EE106" s="1017"/>
      <c r="EF106" s="1017"/>
      <c r="EG106" s="1017"/>
      <c r="EH106" s="1017"/>
      <c r="EI106" s="1017"/>
      <c r="EJ106" s="1017"/>
      <c r="EK106" s="1017"/>
      <c r="EL106" s="1017"/>
      <c r="EM106" s="1017"/>
      <c r="EN106" s="1017"/>
      <c r="EO106" s="1017"/>
      <c r="EP106" s="1017"/>
      <c r="EQ106" s="1017"/>
      <c r="ER106" s="1017"/>
      <c r="ES106" s="1017"/>
      <c r="ET106" s="1017"/>
      <c r="EU106" s="1017"/>
      <c r="EV106" s="1017"/>
      <c r="EW106" s="1017"/>
      <c r="EX106" s="1017"/>
      <c r="EY106" s="1017"/>
      <c r="EZ106" s="1017"/>
      <c r="FA106" s="1017"/>
      <c r="FB106" s="1017"/>
      <c r="FC106" s="1017"/>
      <c r="FD106" s="1017"/>
      <c r="FE106" s="1017"/>
      <c r="FF106" s="1017"/>
      <c r="FG106" s="1017"/>
      <c r="FH106" s="1017"/>
      <c r="FI106" s="1017"/>
      <c r="FJ106" s="1017"/>
      <c r="FK106" s="1017"/>
      <c r="FL106" s="1017"/>
      <c r="FM106" s="1017"/>
      <c r="FN106" s="1017"/>
      <c r="FO106" s="1017"/>
      <c r="FP106" s="1017"/>
      <c r="FQ106" s="1017"/>
      <c r="FR106" s="1017"/>
      <c r="FS106" s="1017"/>
      <c r="FT106" s="1017"/>
      <c r="FU106" s="1017"/>
      <c r="FV106" s="1017"/>
      <c r="FW106" s="1017"/>
      <c r="FX106" s="1017"/>
      <c r="FY106" s="1017"/>
      <c r="FZ106" s="1017"/>
      <c r="GA106" s="1017"/>
      <c r="GB106" s="1017"/>
      <c r="GC106" s="1017"/>
      <c r="GD106" s="1017"/>
      <c r="GE106" s="1017"/>
      <c r="GF106" s="1017"/>
      <c r="GG106" s="1017"/>
      <c r="GH106" s="1017"/>
      <c r="GI106" s="1017"/>
      <c r="GJ106" s="1017"/>
      <c r="GK106" s="1017"/>
      <c r="GL106" s="1017"/>
      <c r="GM106" s="1017"/>
      <c r="GN106" s="1017"/>
      <c r="GO106" s="1017"/>
      <c r="GP106" s="1017"/>
      <c r="GQ106" s="1017"/>
      <c r="GR106" s="1017"/>
      <c r="GS106" s="1017"/>
      <c r="GT106" s="1017"/>
      <c r="GU106" s="1017"/>
      <c r="GV106" s="1017"/>
      <c r="GW106" s="1017"/>
      <c r="GX106" s="1017"/>
      <c r="GY106" s="1017"/>
      <c r="GZ106" s="1017"/>
      <c r="HA106" s="1017"/>
      <c r="HB106" s="1017"/>
      <c r="HC106" s="1017"/>
      <c r="HD106" s="1017"/>
      <c r="HE106" s="1017"/>
      <c r="HF106" s="1017"/>
      <c r="HG106" s="1017"/>
      <c r="HH106" s="1017"/>
      <c r="HI106" s="1017"/>
      <c r="HJ106" s="1017"/>
      <c r="HK106" s="1017"/>
      <c r="HL106" s="1017"/>
      <c r="HM106" s="1017"/>
      <c r="HN106" s="1017"/>
      <c r="HO106" s="1017"/>
      <c r="HP106" s="1017"/>
      <c r="HQ106" s="1017"/>
      <c r="HR106" s="1017"/>
      <c r="HS106" s="1017"/>
      <c r="HT106" s="1017"/>
      <c r="HU106" s="1017"/>
      <c r="HV106" s="1017"/>
      <c r="HW106" s="1017"/>
      <c r="HX106" s="1017"/>
      <c r="HY106" s="1017"/>
      <c r="HZ106" s="1017"/>
      <c r="IA106" s="1017"/>
      <c r="IB106" s="1017"/>
      <c r="IC106" s="1017"/>
      <c r="ID106" s="1017"/>
      <c r="IE106" s="1017"/>
      <c r="IF106" s="1017"/>
      <c r="IG106" s="1017"/>
      <c r="IH106" s="1017"/>
      <c r="II106" s="1017"/>
      <c r="IJ106" s="1017"/>
      <c r="IK106" s="1017"/>
      <c r="IL106" s="1017"/>
      <c r="IM106" s="1017"/>
    </row>
    <row r="107" spans="1:247">
      <c r="A107" s="1052" t="s">
        <v>978</v>
      </c>
      <c r="B107" s="1053"/>
      <c r="C107" s="1050">
        <v>4238.4309999999996</v>
      </c>
      <c r="D107" s="1068">
        <v>4375.9259999999995</v>
      </c>
      <c r="E107" s="1046">
        <v>4466.88</v>
      </c>
      <c r="F107" s="1046">
        <v>4762.9939999999997</v>
      </c>
      <c r="G107" s="1047">
        <v>5061.7550000000001</v>
      </c>
      <c r="H107" s="1048">
        <v>4365.6117346700003</v>
      </c>
      <c r="I107" s="1048">
        <v>4498.1132724501322</v>
      </c>
      <c r="J107" s="1048">
        <v>4707.7642554270005</v>
      </c>
      <c r="K107" s="1049">
        <v>4894.1390085930207</v>
      </c>
      <c r="L107" s="1028"/>
      <c r="M107" s="1045"/>
      <c r="N107" s="1050">
        <f t="shared" si="59"/>
        <v>4365.6117346700003</v>
      </c>
      <c r="O107" s="1045">
        <v>4627.2963620296787</v>
      </c>
      <c r="P107" s="1046">
        <v>4934.5929789240763</v>
      </c>
      <c r="Q107" s="1046">
        <v>5264.5962740115147</v>
      </c>
      <c r="R107" s="1045">
        <f t="shared" si="76"/>
        <v>-129.1830895795465</v>
      </c>
      <c r="S107" s="1046">
        <f t="shared" si="76"/>
        <v>-226.82872349707577</v>
      </c>
      <c r="T107" s="1046">
        <f t="shared" si="76"/>
        <v>-370.45726541849399</v>
      </c>
      <c r="U107" s="1050">
        <f t="shared" si="56"/>
        <v>261.68462735967842</v>
      </c>
      <c r="V107" s="948"/>
      <c r="W107" s="1045">
        <f t="shared" si="77"/>
        <v>4627.2963620296787</v>
      </c>
      <c r="X107" s="1046">
        <v>4466.88</v>
      </c>
      <c r="Y107" s="1045">
        <f t="shared" si="7"/>
        <v>-160.41636202967857</v>
      </c>
      <c r="Z107" s="1051">
        <f t="shared" si="42"/>
        <v>-0.17924550387568422</v>
      </c>
      <c r="AA107" s="1017"/>
      <c r="AB107" s="952"/>
      <c r="AC107" s="1017"/>
      <c r="AD107" s="1017"/>
      <c r="AE107" s="1017"/>
      <c r="AF107" s="1017"/>
      <c r="AG107" s="1017"/>
      <c r="AH107" s="1017"/>
      <c r="AI107" s="1017"/>
      <c r="AJ107" s="1017"/>
      <c r="AK107" s="1017"/>
      <c r="AL107" s="1017"/>
      <c r="AM107" s="1017"/>
      <c r="AN107" s="1017"/>
      <c r="AO107" s="1017"/>
      <c r="AP107" s="1017"/>
      <c r="AQ107" s="1017"/>
      <c r="AR107" s="1017"/>
      <c r="AS107" s="1017"/>
      <c r="AT107" s="1017"/>
      <c r="AU107" s="1017"/>
      <c r="AV107" s="1017"/>
      <c r="AW107" s="1017"/>
      <c r="AX107" s="1017"/>
      <c r="AY107" s="1017"/>
      <c r="AZ107" s="1017"/>
      <c r="BA107" s="1017"/>
      <c r="BB107" s="1017"/>
      <c r="BC107" s="1017"/>
      <c r="BD107" s="1017"/>
      <c r="BE107" s="1017"/>
      <c r="BF107" s="1017"/>
      <c r="BG107" s="1017"/>
      <c r="BH107" s="1017"/>
      <c r="BI107" s="1017"/>
      <c r="BJ107" s="1017"/>
      <c r="BK107" s="1017"/>
      <c r="BL107" s="1017"/>
      <c r="BM107" s="1017"/>
      <c r="BN107" s="1017"/>
      <c r="BO107" s="1017"/>
      <c r="BP107" s="1017"/>
      <c r="BQ107" s="1017"/>
      <c r="BR107" s="1017"/>
      <c r="BS107" s="1017"/>
      <c r="BT107" s="1017"/>
      <c r="BU107" s="1017"/>
      <c r="BV107" s="1017"/>
      <c r="BW107" s="1017"/>
      <c r="BX107" s="1017"/>
      <c r="BY107" s="1017"/>
      <c r="BZ107" s="1017"/>
      <c r="CA107" s="1017"/>
      <c r="CB107" s="1017"/>
      <c r="CC107" s="1017"/>
      <c r="CD107" s="1017"/>
      <c r="CE107" s="1017"/>
      <c r="CF107" s="1017"/>
      <c r="CG107" s="1017"/>
      <c r="CH107" s="1017"/>
      <c r="CI107" s="1017"/>
      <c r="CJ107" s="1017"/>
      <c r="CK107" s="1017"/>
      <c r="CL107" s="1017"/>
      <c r="CM107" s="1017"/>
      <c r="CN107" s="1017"/>
      <c r="CO107" s="1017"/>
      <c r="CP107" s="1017"/>
      <c r="CQ107" s="1017"/>
      <c r="CR107" s="1017"/>
      <c r="CS107" s="1017"/>
      <c r="CT107" s="1017"/>
      <c r="CU107" s="1017"/>
      <c r="CV107" s="1017"/>
      <c r="CW107" s="1017"/>
      <c r="CX107" s="1017"/>
      <c r="CY107" s="1017"/>
      <c r="CZ107" s="1017"/>
      <c r="DA107" s="1017"/>
      <c r="DB107" s="1017"/>
      <c r="DC107" s="1017"/>
      <c r="DD107" s="1017"/>
      <c r="DE107" s="1017"/>
      <c r="DF107" s="1017"/>
      <c r="DG107" s="1017"/>
      <c r="DH107" s="1017"/>
      <c r="DI107" s="1017"/>
      <c r="DJ107" s="1017"/>
      <c r="DK107" s="1017"/>
      <c r="DL107" s="1017"/>
      <c r="DM107" s="1017"/>
      <c r="DN107" s="1017"/>
      <c r="DO107" s="1017"/>
      <c r="DP107" s="1017"/>
      <c r="DQ107" s="1017"/>
      <c r="DR107" s="1017"/>
      <c r="DS107" s="1017"/>
      <c r="DT107" s="1017"/>
      <c r="DU107" s="1017"/>
      <c r="DV107" s="1017"/>
      <c r="DW107" s="1017"/>
      <c r="DX107" s="1017"/>
      <c r="DY107" s="1017"/>
      <c r="DZ107" s="1017"/>
      <c r="EA107" s="1017"/>
      <c r="EB107" s="1017"/>
      <c r="EC107" s="1017"/>
      <c r="ED107" s="1017"/>
      <c r="EE107" s="1017"/>
      <c r="EF107" s="1017"/>
      <c r="EG107" s="1017"/>
      <c r="EH107" s="1017"/>
      <c r="EI107" s="1017"/>
      <c r="EJ107" s="1017"/>
      <c r="EK107" s="1017"/>
      <c r="EL107" s="1017"/>
      <c r="EM107" s="1017"/>
      <c r="EN107" s="1017"/>
      <c r="EO107" s="1017"/>
      <c r="EP107" s="1017"/>
      <c r="EQ107" s="1017"/>
      <c r="ER107" s="1017"/>
      <c r="ES107" s="1017"/>
      <c r="ET107" s="1017"/>
      <c r="EU107" s="1017"/>
      <c r="EV107" s="1017"/>
      <c r="EW107" s="1017"/>
      <c r="EX107" s="1017"/>
      <c r="EY107" s="1017"/>
      <c r="EZ107" s="1017"/>
      <c r="FA107" s="1017"/>
      <c r="FB107" s="1017"/>
      <c r="FC107" s="1017"/>
      <c r="FD107" s="1017"/>
      <c r="FE107" s="1017"/>
      <c r="FF107" s="1017"/>
      <c r="FG107" s="1017"/>
      <c r="FH107" s="1017"/>
      <c r="FI107" s="1017"/>
      <c r="FJ107" s="1017"/>
      <c r="FK107" s="1017"/>
      <c r="FL107" s="1017"/>
      <c r="FM107" s="1017"/>
      <c r="FN107" s="1017"/>
      <c r="FO107" s="1017"/>
      <c r="FP107" s="1017"/>
      <c r="FQ107" s="1017"/>
      <c r="FR107" s="1017"/>
      <c r="FS107" s="1017"/>
      <c r="FT107" s="1017"/>
      <c r="FU107" s="1017"/>
      <c r="FV107" s="1017"/>
      <c r="FW107" s="1017"/>
      <c r="FX107" s="1017"/>
      <c r="FY107" s="1017"/>
      <c r="FZ107" s="1017"/>
      <c r="GA107" s="1017"/>
      <c r="GB107" s="1017"/>
      <c r="GC107" s="1017"/>
      <c r="GD107" s="1017"/>
      <c r="GE107" s="1017"/>
      <c r="GF107" s="1017"/>
      <c r="GG107" s="1017"/>
      <c r="GH107" s="1017"/>
      <c r="GI107" s="1017"/>
      <c r="GJ107" s="1017"/>
      <c r="GK107" s="1017"/>
      <c r="GL107" s="1017"/>
      <c r="GM107" s="1017"/>
      <c r="GN107" s="1017"/>
      <c r="GO107" s="1017"/>
      <c r="GP107" s="1017"/>
      <c r="GQ107" s="1017"/>
      <c r="GR107" s="1017"/>
      <c r="GS107" s="1017"/>
      <c r="GT107" s="1017"/>
      <c r="GU107" s="1017"/>
      <c r="GV107" s="1017"/>
      <c r="GW107" s="1017"/>
      <c r="GX107" s="1017"/>
      <c r="GY107" s="1017"/>
      <c r="GZ107" s="1017"/>
      <c r="HA107" s="1017"/>
      <c r="HB107" s="1017"/>
      <c r="HC107" s="1017"/>
      <c r="HD107" s="1017"/>
      <c r="HE107" s="1017"/>
      <c r="HF107" s="1017"/>
      <c r="HG107" s="1017"/>
      <c r="HH107" s="1017"/>
      <c r="HI107" s="1017"/>
      <c r="HJ107" s="1017"/>
      <c r="HK107" s="1017"/>
      <c r="HL107" s="1017"/>
      <c r="HM107" s="1017"/>
      <c r="HN107" s="1017"/>
      <c r="HO107" s="1017"/>
      <c r="HP107" s="1017"/>
      <c r="HQ107" s="1017"/>
      <c r="HR107" s="1017"/>
      <c r="HS107" s="1017"/>
      <c r="HT107" s="1017"/>
      <c r="HU107" s="1017"/>
      <c r="HV107" s="1017"/>
      <c r="HW107" s="1017"/>
      <c r="HX107" s="1017"/>
      <c r="HY107" s="1017"/>
      <c r="HZ107" s="1017"/>
      <c r="IA107" s="1017"/>
      <c r="IB107" s="1017"/>
      <c r="IC107" s="1017"/>
      <c r="ID107" s="1017"/>
      <c r="IE107" s="1017"/>
      <c r="IF107" s="1017"/>
      <c r="IG107" s="1017"/>
      <c r="IH107" s="1017"/>
      <c r="II107" s="1017"/>
      <c r="IJ107" s="1017"/>
      <c r="IK107" s="1017"/>
      <c r="IL107" s="1017"/>
      <c r="IM107" s="1017"/>
    </row>
    <row r="108" spans="1:247">
      <c r="A108" s="1052" t="s">
        <v>979</v>
      </c>
      <c r="B108" s="1053"/>
      <c r="C108" s="1050">
        <v>1320.384</v>
      </c>
      <c r="D108" s="1068">
        <v>1354.5269999999998</v>
      </c>
      <c r="E108" s="1046">
        <v>1337.7739999999999</v>
      </c>
      <c r="F108" s="1046">
        <v>1391.828</v>
      </c>
      <c r="G108" s="1047">
        <v>1409.04</v>
      </c>
      <c r="H108" s="1048">
        <v>1329.5269999999998</v>
      </c>
      <c r="I108" s="1048">
        <v>1347.7739999999999</v>
      </c>
      <c r="J108" s="1048">
        <v>1401.828</v>
      </c>
      <c r="K108" s="1049">
        <v>1419.04</v>
      </c>
      <c r="L108" s="1028"/>
      <c r="M108" s="1045"/>
      <c r="N108" s="1050">
        <f t="shared" si="59"/>
        <v>1329.5269999999998</v>
      </c>
      <c r="O108" s="1045">
        <v>1351.6980430283008</v>
      </c>
      <c r="P108" s="1046">
        <v>1373.5647678786497</v>
      </c>
      <c r="Q108" s="1046">
        <v>1399.4446893360002</v>
      </c>
      <c r="R108" s="1045">
        <f t="shared" si="76"/>
        <v>-3.9240430283009573</v>
      </c>
      <c r="S108" s="1046">
        <f t="shared" si="76"/>
        <v>28.263232121350256</v>
      </c>
      <c r="T108" s="1046">
        <f t="shared" si="76"/>
        <v>19.595310663999726</v>
      </c>
      <c r="U108" s="1050">
        <f t="shared" si="56"/>
        <v>22.171043028301028</v>
      </c>
      <c r="V108" s="948"/>
      <c r="W108" s="1045">
        <f t="shared" si="77"/>
        <v>1351.6980430283008</v>
      </c>
      <c r="X108" s="1046">
        <v>1337.7739999999999</v>
      </c>
      <c r="Y108" s="1045">
        <f t="shared" ref="Y108:Y179" si="78">X108-W108</f>
        <v>-13.924043028300957</v>
      </c>
      <c r="Z108" s="1051">
        <f t="shared" si="42"/>
        <v>-1.5558401132003991E-2</v>
      </c>
      <c r="AA108" s="1017"/>
      <c r="AB108" s="952"/>
      <c r="AC108" s="1017"/>
      <c r="AD108" s="1017"/>
      <c r="AE108" s="1017"/>
      <c r="AF108" s="1017"/>
      <c r="AG108" s="1017"/>
      <c r="AH108" s="1017"/>
      <c r="AI108" s="1017"/>
      <c r="AJ108" s="1017"/>
      <c r="AK108" s="1017"/>
      <c r="AL108" s="1017"/>
      <c r="AM108" s="1017"/>
      <c r="AN108" s="1017"/>
      <c r="AO108" s="1017"/>
      <c r="AP108" s="1017"/>
      <c r="AQ108" s="1017"/>
      <c r="AR108" s="1017"/>
      <c r="AS108" s="1017"/>
      <c r="AT108" s="1017"/>
      <c r="AU108" s="1017"/>
      <c r="AV108" s="1017"/>
      <c r="AW108" s="1017"/>
      <c r="AX108" s="1017"/>
      <c r="AY108" s="1017"/>
      <c r="AZ108" s="1017"/>
      <c r="BA108" s="1017"/>
      <c r="BB108" s="1017"/>
      <c r="BC108" s="1017"/>
      <c r="BD108" s="1017"/>
      <c r="BE108" s="1017"/>
      <c r="BF108" s="1017"/>
      <c r="BG108" s="1017"/>
      <c r="BH108" s="1017"/>
      <c r="BI108" s="1017"/>
      <c r="BJ108" s="1017"/>
      <c r="BK108" s="1017"/>
      <c r="BL108" s="1017"/>
      <c r="BM108" s="1017"/>
      <c r="BN108" s="1017"/>
      <c r="BO108" s="1017"/>
      <c r="BP108" s="1017"/>
      <c r="BQ108" s="1017"/>
      <c r="BR108" s="1017"/>
      <c r="BS108" s="1017"/>
      <c r="BT108" s="1017"/>
      <c r="BU108" s="1017"/>
      <c r="BV108" s="1017"/>
      <c r="BW108" s="1017"/>
      <c r="BX108" s="1017"/>
      <c r="BY108" s="1017"/>
      <c r="BZ108" s="1017"/>
      <c r="CA108" s="1017"/>
      <c r="CB108" s="1017"/>
      <c r="CC108" s="1017"/>
      <c r="CD108" s="1017"/>
      <c r="CE108" s="1017"/>
      <c r="CF108" s="1017"/>
      <c r="CG108" s="1017"/>
      <c r="CH108" s="1017"/>
      <c r="CI108" s="1017"/>
      <c r="CJ108" s="1017"/>
      <c r="CK108" s="1017"/>
      <c r="CL108" s="1017"/>
      <c r="CM108" s="1017"/>
      <c r="CN108" s="1017"/>
      <c r="CO108" s="1017"/>
      <c r="CP108" s="1017"/>
      <c r="CQ108" s="1017"/>
      <c r="CR108" s="1017"/>
      <c r="CS108" s="1017"/>
      <c r="CT108" s="1017"/>
      <c r="CU108" s="1017"/>
      <c r="CV108" s="1017"/>
      <c r="CW108" s="1017"/>
      <c r="CX108" s="1017"/>
      <c r="CY108" s="1017"/>
      <c r="CZ108" s="1017"/>
      <c r="DA108" s="1017"/>
      <c r="DB108" s="1017"/>
      <c r="DC108" s="1017"/>
      <c r="DD108" s="1017"/>
      <c r="DE108" s="1017"/>
      <c r="DF108" s="1017"/>
      <c r="DG108" s="1017"/>
      <c r="DH108" s="1017"/>
      <c r="DI108" s="1017"/>
      <c r="DJ108" s="1017"/>
      <c r="DK108" s="1017"/>
      <c r="DL108" s="1017"/>
      <c r="DM108" s="1017"/>
      <c r="DN108" s="1017"/>
      <c r="DO108" s="1017"/>
      <c r="DP108" s="1017"/>
      <c r="DQ108" s="1017"/>
      <c r="DR108" s="1017"/>
      <c r="DS108" s="1017"/>
      <c r="DT108" s="1017"/>
      <c r="DU108" s="1017"/>
      <c r="DV108" s="1017"/>
      <c r="DW108" s="1017"/>
      <c r="DX108" s="1017"/>
      <c r="DY108" s="1017"/>
      <c r="DZ108" s="1017"/>
      <c r="EA108" s="1017"/>
      <c r="EB108" s="1017"/>
      <c r="EC108" s="1017"/>
      <c r="ED108" s="1017"/>
      <c r="EE108" s="1017"/>
      <c r="EF108" s="1017"/>
      <c r="EG108" s="1017"/>
      <c r="EH108" s="1017"/>
      <c r="EI108" s="1017"/>
      <c r="EJ108" s="1017"/>
      <c r="EK108" s="1017"/>
      <c r="EL108" s="1017"/>
      <c r="EM108" s="1017"/>
      <c r="EN108" s="1017"/>
      <c r="EO108" s="1017"/>
      <c r="EP108" s="1017"/>
      <c r="EQ108" s="1017"/>
      <c r="ER108" s="1017"/>
      <c r="ES108" s="1017"/>
      <c r="ET108" s="1017"/>
      <c r="EU108" s="1017"/>
      <c r="EV108" s="1017"/>
      <c r="EW108" s="1017"/>
      <c r="EX108" s="1017"/>
      <c r="EY108" s="1017"/>
      <c r="EZ108" s="1017"/>
      <c r="FA108" s="1017"/>
      <c r="FB108" s="1017"/>
      <c r="FC108" s="1017"/>
      <c r="FD108" s="1017"/>
      <c r="FE108" s="1017"/>
      <c r="FF108" s="1017"/>
      <c r="FG108" s="1017"/>
      <c r="FH108" s="1017"/>
      <c r="FI108" s="1017"/>
      <c r="FJ108" s="1017"/>
      <c r="FK108" s="1017"/>
      <c r="FL108" s="1017"/>
      <c r="FM108" s="1017"/>
      <c r="FN108" s="1017"/>
      <c r="FO108" s="1017"/>
      <c r="FP108" s="1017"/>
      <c r="FQ108" s="1017"/>
      <c r="FR108" s="1017"/>
      <c r="FS108" s="1017"/>
      <c r="FT108" s="1017"/>
      <c r="FU108" s="1017"/>
      <c r="FV108" s="1017"/>
      <c r="FW108" s="1017"/>
      <c r="FX108" s="1017"/>
      <c r="FY108" s="1017"/>
      <c r="FZ108" s="1017"/>
      <c r="GA108" s="1017"/>
      <c r="GB108" s="1017"/>
      <c r="GC108" s="1017"/>
      <c r="GD108" s="1017"/>
      <c r="GE108" s="1017"/>
      <c r="GF108" s="1017"/>
      <c r="GG108" s="1017"/>
      <c r="GH108" s="1017"/>
      <c r="GI108" s="1017"/>
      <c r="GJ108" s="1017"/>
      <c r="GK108" s="1017"/>
      <c r="GL108" s="1017"/>
      <c r="GM108" s="1017"/>
      <c r="GN108" s="1017"/>
      <c r="GO108" s="1017"/>
      <c r="GP108" s="1017"/>
      <c r="GQ108" s="1017"/>
      <c r="GR108" s="1017"/>
      <c r="GS108" s="1017"/>
      <c r="GT108" s="1017"/>
      <c r="GU108" s="1017"/>
      <c r="GV108" s="1017"/>
      <c r="GW108" s="1017"/>
      <c r="GX108" s="1017"/>
      <c r="GY108" s="1017"/>
      <c r="GZ108" s="1017"/>
      <c r="HA108" s="1017"/>
      <c r="HB108" s="1017"/>
      <c r="HC108" s="1017"/>
      <c r="HD108" s="1017"/>
      <c r="HE108" s="1017"/>
      <c r="HF108" s="1017"/>
      <c r="HG108" s="1017"/>
      <c r="HH108" s="1017"/>
      <c r="HI108" s="1017"/>
      <c r="HJ108" s="1017"/>
      <c r="HK108" s="1017"/>
      <c r="HL108" s="1017"/>
      <c r="HM108" s="1017"/>
      <c r="HN108" s="1017"/>
      <c r="HO108" s="1017"/>
      <c r="HP108" s="1017"/>
      <c r="HQ108" s="1017"/>
      <c r="HR108" s="1017"/>
      <c r="HS108" s="1017"/>
      <c r="HT108" s="1017"/>
      <c r="HU108" s="1017"/>
      <c r="HV108" s="1017"/>
      <c r="HW108" s="1017"/>
      <c r="HX108" s="1017"/>
      <c r="HY108" s="1017"/>
      <c r="HZ108" s="1017"/>
      <c r="IA108" s="1017"/>
      <c r="IB108" s="1017"/>
      <c r="IC108" s="1017"/>
      <c r="ID108" s="1017"/>
      <c r="IE108" s="1017"/>
      <c r="IF108" s="1017"/>
      <c r="IG108" s="1017"/>
      <c r="IH108" s="1017"/>
      <c r="II108" s="1017"/>
      <c r="IJ108" s="1017"/>
      <c r="IK108" s="1017"/>
      <c r="IL108" s="1017"/>
      <c r="IM108" s="1017"/>
    </row>
    <row r="109" spans="1:247">
      <c r="A109" s="1052" t="s">
        <v>980</v>
      </c>
      <c r="B109" s="1053"/>
      <c r="C109" s="1050">
        <v>231.49600000000001</v>
      </c>
      <c r="D109" s="1045">
        <v>224.91499999999999</v>
      </c>
      <c r="E109" s="1046">
        <v>304.38099999999997</v>
      </c>
      <c r="F109" s="1046">
        <v>321.036</v>
      </c>
      <c r="G109" s="1047">
        <v>335.26400000000001</v>
      </c>
      <c r="H109" s="1048">
        <v>224.91499999999999</v>
      </c>
      <c r="I109" s="1048">
        <v>304.38099999999997</v>
      </c>
      <c r="J109" s="1048">
        <v>321.036</v>
      </c>
      <c r="K109" s="1049">
        <v>335.26400000000001</v>
      </c>
      <c r="L109" s="1028"/>
      <c r="M109" s="1045"/>
      <c r="N109" s="1050">
        <f t="shared" si="59"/>
        <v>224.91499999999999</v>
      </c>
      <c r="O109" s="1045">
        <v>232.30178935447333</v>
      </c>
      <c r="P109" s="1046">
        <v>241.88426683522928</v>
      </c>
      <c r="Q109" s="1046">
        <v>252.85645689161396</v>
      </c>
      <c r="R109" s="1045">
        <f t="shared" si="76"/>
        <v>72.079210645526643</v>
      </c>
      <c r="S109" s="1046">
        <f t="shared" si="76"/>
        <v>79.151733164770718</v>
      </c>
      <c r="T109" s="1046">
        <f t="shared" si="76"/>
        <v>82.407543108386051</v>
      </c>
      <c r="U109" s="1050">
        <f t="shared" si="56"/>
        <v>7.3867893544733363</v>
      </c>
      <c r="V109" s="948"/>
      <c r="W109" s="1045">
        <f t="shared" si="77"/>
        <v>232.30178935447333</v>
      </c>
      <c r="X109" s="1046">
        <v>304.38099999999997</v>
      </c>
      <c r="Y109" s="1045">
        <f t="shared" si="78"/>
        <v>72.079210645526643</v>
      </c>
      <c r="Z109" s="1051">
        <f t="shared" si="42"/>
        <v>8.0539629920847511E-2</v>
      </c>
      <c r="AA109" s="1017"/>
      <c r="AB109" s="952"/>
      <c r="AC109" s="1017"/>
      <c r="AD109" s="1017"/>
      <c r="AE109" s="1017"/>
      <c r="AF109" s="1017"/>
      <c r="AG109" s="1017"/>
      <c r="AH109" s="1017"/>
      <c r="AI109" s="1017"/>
      <c r="AJ109" s="1017"/>
      <c r="AK109" s="1017"/>
      <c r="AL109" s="1017"/>
      <c r="AM109" s="1017"/>
      <c r="AN109" s="1017"/>
      <c r="AO109" s="1017"/>
      <c r="AP109" s="1017"/>
      <c r="AQ109" s="1017"/>
      <c r="AR109" s="1017"/>
      <c r="AS109" s="1017"/>
      <c r="AT109" s="1017"/>
      <c r="AU109" s="1017"/>
      <c r="AV109" s="1017"/>
      <c r="AW109" s="1017"/>
      <c r="AX109" s="1017"/>
      <c r="AY109" s="1017"/>
      <c r="AZ109" s="1017"/>
      <c r="BA109" s="1017"/>
      <c r="BB109" s="1017"/>
      <c r="BC109" s="1017"/>
      <c r="BD109" s="1017"/>
      <c r="BE109" s="1017"/>
      <c r="BF109" s="1017"/>
      <c r="BG109" s="1017"/>
      <c r="BH109" s="1017"/>
      <c r="BI109" s="1017"/>
      <c r="BJ109" s="1017"/>
      <c r="BK109" s="1017"/>
      <c r="BL109" s="1017"/>
      <c r="BM109" s="1017"/>
      <c r="BN109" s="1017"/>
      <c r="BO109" s="1017"/>
      <c r="BP109" s="1017"/>
      <c r="BQ109" s="1017"/>
      <c r="BR109" s="1017"/>
      <c r="BS109" s="1017"/>
      <c r="BT109" s="1017"/>
      <c r="BU109" s="1017"/>
      <c r="BV109" s="1017"/>
      <c r="BW109" s="1017"/>
      <c r="BX109" s="1017"/>
      <c r="BY109" s="1017"/>
      <c r="BZ109" s="1017"/>
      <c r="CA109" s="1017"/>
      <c r="CB109" s="1017"/>
      <c r="CC109" s="1017"/>
      <c r="CD109" s="1017"/>
      <c r="CE109" s="1017"/>
      <c r="CF109" s="1017"/>
      <c r="CG109" s="1017"/>
      <c r="CH109" s="1017"/>
      <c r="CI109" s="1017"/>
      <c r="CJ109" s="1017"/>
      <c r="CK109" s="1017"/>
      <c r="CL109" s="1017"/>
      <c r="CM109" s="1017"/>
      <c r="CN109" s="1017"/>
      <c r="CO109" s="1017"/>
      <c r="CP109" s="1017"/>
      <c r="CQ109" s="1017"/>
      <c r="CR109" s="1017"/>
      <c r="CS109" s="1017"/>
      <c r="CT109" s="1017"/>
      <c r="CU109" s="1017"/>
      <c r="CV109" s="1017"/>
      <c r="CW109" s="1017"/>
      <c r="CX109" s="1017"/>
      <c r="CY109" s="1017"/>
      <c r="CZ109" s="1017"/>
      <c r="DA109" s="1017"/>
      <c r="DB109" s="1017"/>
      <c r="DC109" s="1017"/>
      <c r="DD109" s="1017"/>
      <c r="DE109" s="1017"/>
      <c r="DF109" s="1017"/>
      <c r="DG109" s="1017"/>
      <c r="DH109" s="1017"/>
      <c r="DI109" s="1017"/>
      <c r="DJ109" s="1017"/>
      <c r="DK109" s="1017"/>
      <c r="DL109" s="1017"/>
      <c r="DM109" s="1017"/>
      <c r="DN109" s="1017"/>
      <c r="DO109" s="1017"/>
      <c r="DP109" s="1017"/>
      <c r="DQ109" s="1017"/>
      <c r="DR109" s="1017"/>
      <c r="DS109" s="1017"/>
      <c r="DT109" s="1017"/>
      <c r="DU109" s="1017"/>
      <c r="DV109" s="1017"/>
      <c r="DW109" s="1017"/>
      <c r="DX109" s="1017"/>
      <c r="DY109" s="1017"/>
      <c r="DZ109" s="1017"/>
      <c r="EA109" s="1017"/>
      <c r="EB109" s="1017"/>
      <c r="EC109" s="1017"/>
      <c r="ED109" s="1017"/>
      <c r="EE109" s="1017"/>
      <c r="EF109" s="1017"/>
      <c r="EG109" s="1017"/>
      <c r="EH109" s="1017"/>
      <c r="EI109" s="1017"/>
      <c r="EJ109" s="1017"/>
      <c r="EK109" s="1017"/>
      <c r="EL109" s="1017"/>
      <c r="EM109" s="1017"/>
      <c r="EN109" s="1017"/>
      <c r="EO109" s="1017"/>
      <c r="EP109" s="1017"/>
      <c r="EQ109" s="1017"/>
      <c r="ER109" s="1017"/>
      <c r="ES109" s="1017"/>
      <c r="ET109" s="1017"/>
      <c r="EU109" s="1017"/>
      <c r="EV109" s="1017"/>
      <c r="EW109" s="1017"/>
      <c r="EX109" s="1017"/>
      <c r="EY109" s="1017"/>
      <c r="EZ109" s="1017"/>
      <c r="FA109" s="1017"/>
      <c r="FB109" s="1017"/>
      <c r="FC109" s="1017"/>
      <c r="FD109" s="1017"/>
      <c r="FE109" s="1017"/>
      <c r="FF109" s="1017"/>
      <c r="FG109" s="1017"/>
      <c r="FH109" s="1017"/>
      <c r="FI109" s="1017"/>
      <c r="FJ109" s="1017"/>
      <c r="FK109" s="1017"/>
      <c r="FL109" s="1017"/>
      <c r="FM109" s="1017"/>
      <c r="FN109" s="1017"/>
      <c r="FO109" s="1017"/>
      <c r="FP109" s="1017"/>
      <c r="FQ109" s="1017"/>
      <c r="FR109" s="1017"/>
      <c r="FS109" s="1017"/>
      <c r="FT109" s="1017"/>
      <c r="FU109" s="1017"/>
      <c r="FV109" s="1017"/>
      <c r="FW109" s="1017"/>
      <c r="FX109" s="1017"/>
      <c r="FY109" s="1017"/>
      <c r="FZ109" s="1017"/>
      <c r="GA109" s="1017"/>
      <c r="GB109" s="1017"/>
      <c r="GC109" s="1017"/>
      <c r="GD109" s="1017"/>
      <c r="GE109" s="1017"/>
      <c r="GF109" s="1017"/>
      <c r="GG109" s="1017"/>
      <c r="GH109" s="1017"/>
      <c r="GI109" s="1017"/>
      <c r="GJ109" s="1017"/>
      <c r="GK109" s="1017"/>
      <c r="GL109" s="1017"/>
      <c r="GM109" s="1017"/>
      <c r="GN109" s="1017"/>
      <c r="GO109" s="1017"/>
      <c r="GP109" s="1017"/>
      <c r="GQ109" s="1017"/>
      <c r="GR109" s="1017"/>
      <c r="GS109" s="1017"/>
      <c r="GT109" s="1017"/>
      <c r="GU109" s="1017"/>
      <c r="GV109" s="1017"/>
      <c r="GW109" s="1017"/>
      <c r="GX109" s="1017"/>
      <c r="GY109" s="1017"/>
      <c r="GZ109" s="1017"/>
      <c r="HA109" s="1017"/>
      <c r="HB109" s="1017"/>
      <c r="HC109" s="1017"/>
      <c r="HD109" s="1017"/>
      <c r="HE109" s="1017"/>
      <c r="HF109" s="1017"/>
      <c r="HG109" s="1017"/>
      <c r="HH109" s="1017"/>
      <c r="HI109" s="1017"/>
      <c r="HJ109" s="1017"/>
      <c r="HK109" s="1017"/>
      <c r="HL109" s="1017"/>
      <c r="HM109" s="1017"/>
      <c r="HN109" s="1017"/>
      <c r="HO109" s="1017"/>
      <c r="HP109" s="1017"/>
      <c r="HQ109" s="1017"/>
      <c r="HR109" s="1017"/>
      <c r="HS109" s="1017"/>
      <c r="HT109" s="1017"/>
      <c r="HU109" s="1017"/>
      <c r="HV109" s="1017"/>
      <c r="HW109" s="1017"/>
      <c r="HX109" s="1017"/>
      <c r="HY109" s="1017"/>
      <c r="HZ109" s="1017"/>
      <c r="IA109" s="1017"/>
      <c r="IB109" s="1017"/>
      <c r="IC109" s="1017"/>
      <c r="ID109" s="1017"/>
      <c r="IE109" s="1017"/>
      <c r="IF109" s="1017"/>
      <c r="IG109" s="1017"/>
      <c r="IH109" s="1017"/>
      <c r="II109" s="1017"/>
      <c r="IJ109" s="1017"/>
      <c r="IK109" s="1017"/>
      <c r="IL109" s="1017"/>
      <c r="IM109" s="1017"/>
    </row>
    <row r="110" spans="1:247">
      <c r="A110" s="1052" t="s">
        <v>981</v>
      </c>
      <c r="B110" s="1053"/>
      <c r="C110" s="1050">
        <v>1392.1</v>
      </c>
      <c r="D110" s="1045">
        <v>1326.796</v>
      </c>
      <c r="E110" s="1046">
        <v>1219.4469999999999</v>
      </c>
      <c r="F110" s="1046">
        <v>1262.329</v>
      </c>
      <c r="G110" s="1047">
        <v>1317.271</v>
      </c>
      <c r="H110" s="1048">
        <v>1326.796</v>
      </c>
      <c r="I110" s="1048">
        <v>1269.4469999999999</v>
      </c>
      <c r="J110" s="1048">
        <v>1262.329</v>
      </c>
      <c r="K110" s="1049">
        <v>1317.271</v>
      </c>
      <c r="L110" s="1028"/>
      <c r="M110" s="1045">
        <v>-92</v>
      </c>
      <c r="N110" s="1050">
        <f t="shared" si="59"/>
        <v>1234.796</v>
      </c>
      <c r="O110" s="1045">
        <v>1275.3498890147223</v>
      </c>
      <c r="P110" s="1046">
        <v>1327.9582293358549</v>
      </c>
      <c r="Q110" s="1046">
        <v>1388.1961698594464</v>
      </c>
      <c r="R110" s="1045">
        <f t="shared" si="76"/>
        <v>-5.9028890147224047</v>
      </c>
      <c r="S110" s="1046">
        <f t="shared" si="76"/>
        <v>-65.629229335854916</v>
      </c>
      <c r="T110" s="1046">
        <f t="shared" si="76"/>
        <v>-70.925169859446441</v>
      </c>
      <c r="U110" s="1050">
        <f t="shared" si="56"/>
        <v>40.553889014722245</v>
      </c>
      <c r="V110" s="948"/>
      <c r="W110" s="1045">
        <f t="shared" si="77"/>
        <v>1275.3498890147223</v>
      </c>
      <c r="X110" s="1046">
        <v>1219.4469999999999</v>
      </c>
      <c r="Y110" s="1045">
        <f t="shared" si="78"/>
        <v>-55.902889014722405</v>
      </c>
      <c r="Z110" s="1051">
        <f t="shared" si="42"/>
        <v>-6.246458517552287E-2</v>
      </c>
      <c r="AA110" s="1017"/>
      <c r="AB110" s="952"/>
      <c r="AC110" s="1017"/>
      <c r="AD110" s="1017"/>
      <c r="AE110" s="1017"/>
      <c r="AF110" s="1017"/>
      <c r="AG110" s="1017"/>
      <c r="AH110" s="1017"/>
      <c r="AI110" s="1017"/>
      <c r="AJ110" s="1017"/>
      <c r="AK110" s="1017"/>
      <c r="AL110" s="1017"/>
      <c r="AM110" s="1017"/>
      <c r="AN110" s="1017"/>
      <c r="AO110" s="1017"/>
      <c r="AP110" s="1017"/>
      <c r="AQ110" s="1017"/>
      <c r="AR110" s="1017"/>
      <c r="AS110" s="1017"/>
      <c r="AT110" s="1017"/>
      <c r="AU110" s="1017"/>
      <c r="AV110" s="1017"/>
      <c r="AW110" s="1017"/>
      <c r="AX110" s="1017"/>
      <c r="AY110" s="1017"/>
      <c r="AZ110" s="1017"/>
      <c r="BA110" s="1017"/>
      <c r="BB110" s="1017"/>
      <c r="BC110" s="1017"/>
      <c r="BD110" s="1017"/>
      <c r="BE110" s="1017"/>
      <c r="BF110" s="1017"/>
      <c r="BG110" s="1017"/>
      <c r="BH110" s="1017"/>
      <c r="BI110" s="1017"/>
      <c r="BJ110" s="1017"/>
      <c r="BK110" s="1017"/>
      <c r="BL110" s="1017"/>
      <c r="BM110" s="1017"/>
      <c r="BN110" s="1017"/>
      <c r="BO110" s="1017"/>
      <c r="BP110" s="1017"/>
      <c r="BQ110" s="1017"/>
      <c r="BR110" s="1017"/>
      <c r="BS110" s="1017"/>
      <c r="BT110" s="1017"/>
      <c r="BU110" s="1017"/>
      <c r="BV110" s="1017"/>
      <c r="BW110" s="1017"/>
      <c r="BX110" s="1017"/>
      <c r="BY110" s="1017"/>
      <c r="BZ110" s="1017"/>
      <c r="CA110" s="1017"/>
      <c r="CB110" s="1017"/>
      <c r="CC110" s="1017"/>
      <c r="CD110" s="1017"/>
      <c r="CE110" s="1017"/>
      <c r="CF110" s="1017"/>
      <c r="CG110" s="1017"/>
      <c r="CH110" s="1017"/>
      <c r="CI110" s="1017"/>
      <c r="CJ110" s="1017"/>
      <c r="CK110" s="1017"/>
      <c r="CL110" s="1017"/>
      <c r="CM110" s="1017"/>
      <c r="CN110" s="1017"/>
      <c r="CO110" s="1017"/>
      <c r="CP110" s="1017"/>
      <c r="CQ110" s="1017"/>
      <c r="CR110" s="1017"/>
      <c r="CS110" s="1017"/>
      <c r="CT110" s="1017"/>
      <c r="CU110" s="1017"/>
      <c r="CV110" s="1017"/>
      <c r="CW110" s="1017"/>
      <c r="CX110" s="1017"/>
      <c r="CY110" s="1017"/>
      <c r="CZ110" s="1017"/>
      <c r="DA110" s="1017"/>
      <c r="DB110" s="1017"/>
      <c r="DC110" s="1017"/>
      <c r="DD110" s="1017"/>
      <c r="DE110" s="1017"/>
      <c r="DF110" s="1017"/>
      <c r="DG110" s="1017"/>
      <c r="DH110" s="1017"/>
      <c r="DI110" s="1017"/>
      <c r="DJ110" s="1017"/>
      <c r="DK110" s="1017"/>
      <c r="DL110" s="1017"/>
      <c r="DM110" s="1017"/>
      <c r="DN110" s="1017"/>
      <c r="DO110" s="1017"/>
      <c r="DP110" s="1017"/>
      <c r="DQ110" s="1017"/>
      <c r="DR110" s="1017"/>
      <c r="DS110" s="1017"/>
      <c r="DT110" s="1017"/>
      <c r="DU110" s="1017"/>
      <c r="DV110" s="1017"/>
      <c r="DW110" s="1017"/>
      <c r="DX110" s="1017"/>
      <c r="DY110" s="1017"/>
      <c r="DZ110" s="1017"/>
      <c r="EA110" s="1017"/>
      <c r="EB110" s="1017"/>
      <c r="EC110" s="1017"/>
      <c r="ED110" s="1017"/>
      <c r="EE110" s="1017"/>
      <c r="EF110" s="1017"/>
      <c r="EG110" s="1017"/>
      <c r="EH110" s="1017"/>
      <c r="EI110" s="1017"/>
      <c r="EJ110" s="1017"/>
      <c r="EK110" s="1017"/>
      <c r="EL110" s="1017"/>
      <c r="EM110" s="1017"/>
      <c r="EN110" s="1017"/>
      <c r="EO110" s="1017"/>
      <c r="EP110" s="1017"/>
      <c r="EQ110" s="1017"/>
      <c r="ER110" s="1017"/>
      <c r="ES110" s="1017"/>
      <c r="ET110" s="1017"/>
      <c r="EU110" s="1017"/>
      <c r="EV110" s="1017"/>
      <c r="EW110" s="1017"/>
      <c r="EX110" s="1017"/>
      <c r="EY110" s="1017"/>
      <c r="EZ110" s="1017"/>
      <c r="FA110" s="1017"/>
      <c r="FB110" s="1017"/>
      <c r="FC110" s="1017"/>
      <c r="FD110" s="1017"/>
      <c r="FE110" s="1017"/>
      <c r="FF110" s="1017"/>
      <c r="FG110" s="1017"/>
      <c r="FH110" s="1017"/>
      <c r="FI110" s="1017"/>
      <c r="FJ110" s="1017"/>
      <c r="FK110" s="1017"/>
      <c r="FL110" s="1017"/>
      <c r="FM110" s="1017"/>
      <c r="FN110" s="1017"/>
      <c r="FO110" s="1017"/>
      <c r="FP110" s="1017"/>
      <c r="FQ110" s="1017"/>
      <c r="FR110" s="1017"/>
      <c r="FS110" s="1017"/>
      <c r="FT110" s="1017"/>
      <c r="FU110" s="1017"/>
      <c r="FV110" s="1017"/>
      <c r="FW110" s="1017"/>
      <c r="FX110" s="1017"/>
      <c r="FY110" s="1017"/>
      <c r="FZ110" s="1017"/>
      <c r="GA110" s="1017"/>
      <c r="GB110" s="1017"/>
      <c r="GC110" s="1017"/>
      <c r="GD110" s="1017"/>
      <c r="GE110" s="1017"/>
      <c r="GF110" s="1017"/>
      <c r="GG110" s="1017"/>
      <c r="GH110" s="1017"/>
      <c r="GI110" s="1017"/>
      <c r="GJ110" s="1017"/>
      <c r="GK110" s="1017"/>
      <c r="GL110" s="1017"/>
      <c r="GM110" s="1017"/>
      <c r="GN110" s="1017"/>
      <c r="GO110" s="1017"/>
      <c r="GP110" s="1017"/>
      <c r="GQ110" s="1017"/>
      <c r="GR110" s="1017"/>
      <c r="GS110" s="1017"/>
      <c r="GT110" s="1017"/>
      <c r="GU110" s="1017"/>
      <c r="GV110" s="1017"/>
      <c r="GW110" s="1017"/>
      <c r="GX110" s="1017"/>
      <c r="GY110" s="1017"/>
      <c r="GZ110" s="1017"/>
      <c r="HA110" s="1017"/>
      <c r="HB110" s="1017"/>
      <c r="HC110" s="1017"/>
      <c r="HD110" s="1017"/>
      <c r="HE110" s="1017"/>
      <c r="HF110" s="1017"/>
      <c r="HG110" s="1017"/>
      <c r="HH110" s="1017"/>
      <c r="HI110" s="1017"/>
      <c r="HJ110" s="1017"/>
      <c r="HK110" s="1017"/>
      <c r="HL110" s="1017"/>
      <c r="HM110" s="1017"/>
      <c r="HN110" s="1017"/>
      <c r="HO110" s="1017"/>
      <c r="HP110" s="1017"/>
      <c r="HQ110" s="1017"/>
      <c r="HR110" s="1017"/>
      <c r="HS110" s="1017"/>
      <c r="HT110" s="1017"/>
      <c r="HU110" s="1017"/>
      <c r="HV110" s="1017"/>
      <c r="HW110" s="1017"/>
      <c r="HX110" s="1017"/>
      <c r="HY110" s="1017"/>
      <c r="HZ110" s="1017"/>
      <c r="IA110" s="1017"/>
      <c r="IB110" s="1017"/>
      <c r="IC110" s="1017"/>
      <c r="ID110" s="1017"/>
      <c r="IE110" s="1017"/>
      <c r="IF110" s="1017"/>
      <c r="IG110" s="1017"/>
      <c r="IH110" s="1017"/>
      <c r="II110" s="1017"/>
      <c r="IJ110" s="1017"/>
      <c r="IK110" s="1017"/>
      <c r="IL110" s="1017"/>
      <c r="IM110" s="1017"/>
    </row>
    <row r="111" spans="1:247">
      <c r="A111" s="1052" t="s">
        <v>953</v>
      </c>
      <c r="B111" s="1060"/>
      <c r="C111" s="1050">
        <v>0</v>
      </c>
      <c r="D111" s="1045">
        <v>0.67800000000000005</v>
      </c>
      <c r="E111" s="1046">
        <v>0.6</v>
      </c>
      <c r="F111" s="1046">
        <f>8.161449</f>
        <v>8.1614489999999993</v>
      </c>
      <c r="G111" s="1047">
        <v>10.997161999999999</v>
      </c>
      <c r="H111" s="1048">
        <v>0</v>
      </c>
      <c r="I111" s="1048">
        <v>0</v>
      </c>
      <c r="J111" s="1048">
        <v>0</v>
      </c>
      <c r="K111" s="1049">
        <v>0</v>
      </c>
      <c r="L111" s="1028"/>
      <c r="M111" s="1045"/>
      <c r="N111" s="1050">
        <f t="shared" si="59"/>
        <v>0</v>
      </c>
      <c r="O111" s="1045">
        <f>I111</f>
        <v>0</v>
      </c>
      <c r="P111" s="1046">
        <f t="shared" ref="P111:Q112" si="79">J111</f>
        <v>0</v>
      </c>
      <c r="Q111" s="1046">
        <f t="shared" si="79"/>
        <v>0</v>
      </c>
      <c r="R111" s="1045">
        <f t="shared" si="76"/>
        <v>0</v>
      </c>
      <c r="S111" s="1046">
        <f t="shared" si="76"/>
        <v>0</v>
      </c>
      <c r="T111" s="1046">
        <f t="shared" si="76"/>
        <v>0</v>
      </c>
      <c r="U111" s="1050">
        <f t="shared" si="56"/>
        <v>0</v>
      </c>
      <c r="V111" s="948"/>
      <c r="W111" s="1045">
        <f t="shared" si="77"/>
        <v>0</v>
      </c>
      <c r="X111" s="1046">
        <v>0.6</v>
      </c>
      <c r="Y111" s="1045">
        <f t="shared" si="78"/>
        <v>0.6</v>
      </c>
      <c r="Z111" s="1051">
        <f t="shared" si="42"/>
        <v>6.7042601493177642E-4</v>
      </c>
      <c r="AA111" s="1017"/>
      <c r="AB111" s="952"/>
      <c r="AC111" s="1017"/>
      <c r="AD111" s="1017"/>
      <c r="AE111" s="1017"/>
      <c r="AF111" s="1017"/>
      <c r="AG111" s="1017"/>
      <c r="AH111" s="1017"/>
      <c r="AI111" s="1017"/>
      <c r="AJ111" s="1017"/>
      <c r="AK111" s="1017"/>
      <c r="AL111" s="1017"/>
      <c r="AM111" s="1017"/>
      <c r="AN111" s="1017"/>
      <c r="AO111" s="1017"/>
      <c r="AP111" s="1017"/>
      <c r="AQ111" s="1017"/>
      <c r="AR111" s="1017"/>
      <c r="AS111" s="1017"/>
      <c r="AT111" s="1017"/>
      <c r="AU111" s="1017"/>
      <c r="AV111" s="1017"/>
      <c r="AW111" s="1017"/>
      <c r="AX111" s="1017"/>
      <c r="AY111" s="1017"/>
      <c r="AZ111" s="1017"/>
      <c r="BA111" s="1017"/>
      <c r="BB111" s="1017"/>
      <c r="BC111" s="1017"/>
      <c r="BD111" s="1017"/>
      <c r="BE111" s="1017"/>
      <c r="BF111" s="1017"/>
      <c r="BG111" s="1017"/>
      <c r="BH111" s="1017"/>
      <c r="BI111" s="1017"/>
      <c r="BJ111" s="1017"/>
      <c r="BK111" s="1017"/>
      <c r="BL111" s="1017"/>
      <c r="BM111" s="1017"/>
      <c r="BN111" s="1017"/>
      <c r="BO111" s="1017"/>
      <c r="BP111" s="1017"/>
      <c r="BQ111" s="1017"/>
      <c r="BR111" s="1017"/>
      <c r="BS111" s="1017"/>
      <c r="BT111" s="1017"/>
      <c r="BU111" s="1017"/>
      <c r="BV111" s="1017"/>
      <c r="BW111" s="1017"/>
      <c r="BX111" s="1017"/>
      <c r="BY111" s="1017"/>
      <c r="BZ111" s="1017"/>
      <c r="CA111" s="1017"/>
      <c r="CB111" s="1017"/>
      <c r="CC111" s="1017"/>
      <c r="CD111" s="1017"/>
      <c r="CE111" s="1017"/>
      <c r="CF111" s="1017"/>
      <c r="CG111" s="1017"/>
      <c r="CH111" s="1017"/>
      <c r="CI111" s="1017"/>
      <c r="CJ111" s="1017"/>
      <c r="CK111" s="1017"/>
      <c r="CL111" s="1017"/>
      <c r="CM111" s="1017"/>
      <c r="CN111" s="1017"/>
      <c r="CO111" s="1017"/>
      <c r="CP111" s="1017"/>
      <c r="CQ111" s="1017"/>
      <c r="CR111" s="1017"/>
      <c r="CS111" s="1017"/>
      <c r="CT111" s="1017"/>
      <c r="CU111" s="1017"/>
      <c r="CV111" s="1017"/>
      <c r="CW111" s="1017"/>
      <c r="CX111" s="1017"/>
      <c r="CY111" s="1017"/>
      <c r="CZ111" s="1017"/>
      <c r="DA111" s="1017"/>
      <c r="DB111" s="1017"/>
      <c r="DC111" s="1017"/>
      <c r="DD111" s="1017"/>
      <c r="DE111" s="1017"/>
      <c r="DF111" s="1017"/>
      <c r="DG111" s="1017"/>
      <c r="DH111" s="1017"/>
      <c r="DI111" s="1017"/>
      <c r="DJ111" s="1017"/>
      <c r="DK111" s="1017"/>
      <c r="DL111" s="1017"/>
      <c r="DM111" s="1017"/>
      <c r="DN111" s="1017"/>
      <c r="DO111" s="1017"/>
      <c r="DP111" s="1017"/>
      <c r="DQ111" s="1017"/>
      <c r="DR111" s="1017"/>
      <c r="DS111" s="1017"/>
      <c r="DT111" s="1017"/>
      <c r="DU111" s="1017"/>
      <c r="DV111" s="1017"/>
      <c r="DW111" s="1017"/>
      <c r="DX111" s="1017"/>
      <c r="DY111" s="1017"/>
      <c r="DZ111" s="1017"/>
      <c r="EA111" s="1017"/>
      <c r="EB111" s="1017"/>
      <c r="EC111" s="1017"/>
      <c r="ED111" s="1017"/>
      <c r="EE111" s="1017"/>
      <c r="EF111" s="1017"/>
      <c r="EG111" s="1017"/>
      <c r="EH111" s="1017"/>
      <c r="EI111" s="1017"/>
      <c r="EJ111" s="1017"/>
      <c r="EK111" s="1017"/>
      <c r="EL111" s="1017"/>
      <c r="EM111" s="1017"/>
      <c r="EN111" s="1017"/>
      <c r="EO111" s="1017"/>
      <c r="EP111" s="1017"/>
      <c r="EQ111" s="1017"/>
      <c r="ER111" s="1017"/>
      <c r="ES111" s="1017"/>
      <c r="ET111" s="1017"/>
      <c r="EU111" s="1017"/>
      <c r="EV111" s="1017"/>
      <c r="EW111" s="1017"/>
      <c r="EX111" s="1017"/>
      <c r="EY111" s="1017"/>
      <c r="EZ111" s="1017"/>
      <c r="FA111" s="1017"/>
      <c r="FB111" s="1017"/>
      <c r="FC111" s="1017"/>
      <c r="FD111" s="1017"/>
      <c r="FE111" s="1017"/>
      <c r="FF111" s="1017"/>
      <c r="FG111" s="1017"/>
      <c r="FH111" s="1017"/>
      <c r="FI111" s="1017"/>
      <c r="FJ111" s="1017"/>
      <c r="FK111" s="1017"/>
      <c r="FL111" s="1017"/>
      <c r="FM111" s="1017"/>
      <c r="FN111" s="1017"/>
      <c r="FO111" s="1017"/>
      <c r="FP111" s="1017"/>
      <c r="FQ111" s="1017"/>
      <c r="FR111" s="1017"/>
      <c r="FS111" s="1017"/>
      <c r="FT111" s="1017"/>
      <c r="FU111" s="1017"/>
      <c r="FV111" s="1017"/>
      <c r="FW111" s="1017"/>
      <c r="FX111" s="1017"/>
      <c r="FY111" s="1017"/>
      <c r="FZ111" s="1017"/>
      <c r="GA111" s="1017"/>
      <c r="GB111" s="1017"/>
      <c r="GC111" s="1017"/>
      <c r="GD111" s="1017"/>
      <c r="GE111" s="1017"/>
      <c r="GF111" s="1017"/>
      <c r="GG111" s="1017"/>
      <c r="GH111" s="1017"/>
      <c r="GI111" s="1017"/>
      <c r="GJ111" s="1017"/>
      <c r="GK111" s="1017"/>
      <c r="GL111" s="1017"/>
      <c r="GM111" s="1017"/>
      <c r="GN111" s="1017"/>
      <c r="GO111" s="1017"/>
      <c r="GP111" s="1017"/>
      <c r="GQ111" s="1017"/>
      <c r="GR111" s="1017"/>
      <c r="GS111" s="1017"/>
      <c r="GT111" s="1017"/>
      <c r="GU111" s="1017"/>
      <c r="GV111" s="1017"/>
      <c r="GW111" s="1017"/>
      <c r="GX111" s="1017"/>
      <c r="GY111" s="1017"/>
      <c r="GZ111" s="1017"/>
      <c r="HA111" s="1017"/>
      <c r="HB111" s="1017"/>
      <c r="HC111" s="1017"/>
      <c r="HD111" s="1017"/>
      <c r="HE111" s="1017"/>
      <c r="HF111" s="1017"/>
      <c r="HG111" s="1017"/>
      <c r="HH111" s="1017"/>
      <c r="HI111" s="1017"/>
      <c r="HJ111" s="1017"/>
      <c r="HK111" s="1017"/>
      <c r="HL111" s="1017"/>
      <c r="HM111" s="1017"/>
      <c r="HN111" s="1017"/>
      <c r="HO111" s="1017"/>
      <c r="HP111" s="1017"/>
      <c r="HQ111" s="1017"/>
      <c r="HR111" s="1017"/>
      <c r="HS111" s="1017"/>
      <c r="HT111" s="1017"/>
      <c r="HU111" s="1017"/>
      <c r="HV111" s="1017"/>
      <c r="HW111" s="1017"/>
      <c r="HX111" s="1017"/>
      <c r="HY111" s="1017"/>
      <c r="HZ111" s="1017"/>
      <c r="IA111" s="1017"/>
      <c r="IB111" s="1017"/>
      <c r="IC111" s="1017"/>
      <c r="ID111" s="1017"/>
      <c r="IE111" s="1017"/>
      <c r="IF111" s="1017"/>
      <c r="IG111" s="1017"/>
      <c r="IH111" s="1017"/>
      <c r="II111" s="1017"/>
      <c r="IJ111" s="1017"/>
      <c r="IK111" s="1017"/>
      <c r="IL111" s="1017"/>
      <c r="IM111" s="1017"/>
    </row>
    <row r="112" spans="1:247">
      <c r="A112" s="1052" t="s">
        <v>960</v>
      </c>
      <c r="B112" s="1060"/>
      <c r="C112" s="1050">
        <v>18.709498849999999</v>
      </c>
      <c r="D112" s="1045">
        <v>19.073</v>
      </c>
      <c r="E112" s="1046">
        <v>20.678612999999999</v>
      </c>
      <c r="F112" s="1046">
        <f>27.715438</f>
        <v>27.715437999999999</v>
      </c>
      <c r="G112" s="1047">
        <v>27.107026000000001</v>
      </c>
      <c r="H112" s="1048">
        <v>24.927756022032707</v>
      </c>
      <c r="I112" s="1048">
        <v>26.74660438593358</v>
      </c>
      <c r="J112" s="1048">
        <v>28.454611187109219</v>
      </c>
      <c r="K112" s="1049">
        <v>30.240740106668952</v>
      </c>
      <c r="L112" s="1028"/>
      <c r="M112" s="1045"/>
      <c r="N112" s="1050">
        <f t="shared" si="59"/>
        <v>24.927756022032707</v>
      </c>
      <c r="O112" s="1045">
        <f>I112</f>
        <v>26.74660438593358</v>
      </c>
      <c r="P112" s="1046">
        <f t="shared" si="79"/>
        <v>28.454611187109219</v>
      </c>
      <c r="Q112" s="1046">
        <f t="shared" si="79"/>
        <v>30.240740106668952</v>
      </c>
      <c r="R112" s="1045">
        <f t="shared" si="76"/>
        <v>0</v>
      </c>
      <c r="S112" s="1046">
        <f t="shared" si="76"/>
        <v>0</v>
      </c>
      <c r="T112" s="1046">
        <f t="shared" si="76"/>
        <v>0</v>
      </c>
      <c r="U112" s="1050">
        <f t="shared" si="56"/>
        <v>1.818848363900873</v>
      </c>
      <c r="V112" s="948"/>
      <c r="W112" s="1045">
        <f t="shared" si="77"/>
        <v>26.74660438593358</v>
      </c>
      <c r="X112" s="1046">
        <v>20.678612999999999</v>
      </c>
      <c r="Y112" s="1045">
        <f t="shared" si="78"/>
        <v>-6.0679913859335812</v>
      </c>
      <c r="Z112" s="1051">
        <f t="shared" ref="Z112:Z138" si="80">Y112/$X$179*100</f>
        <v>-6.7802321391863289E-3</v>
      </c>
      <c r="AA112" s="1017"/>
      <c r="AB112" s="952"/>
      <c r="AC112" s="1017"/>
      <c r="AD112" s="1017"/>
      <c r="AE112" s="1017"/>
      <c r="AF112" s="1017"/>
      <c r="AG112" s="1017"/>
      <c r="AH112" s="1017"/>
      <c r="AI112" s="1017"/>
      <c r="AJ112" s="1017"/>
      <c r="AK112" s="1017"/>
      <c r="AL112" s="1017"/>
      <c r="AM112" s="1017"/>
      <c r="AN112" s="1017"/>
      <c r="AO112" s="1017"/>
      <c r="AP112" s="1017"/>
      <c r="AQ112" s="1017"/>
      <c r="AR112" s="1017"/>
      <c r="AS112" s="1017"/>
      <c r="AT112" s="1017"/>
      <c r="AU112" s="1017"/>
      <c r="AV112" s="1017"/>
      <c r="AW112" s="1017"/>
      <c r="AX112" s="1017"/>
      <c r="AY112" s="1017"/>
      <c r="AZ112" s="1017"/>
      <c r="BA112" s="1017"/>
      <c r="BB112" s="1017"/>
      <c r="BC112" s="1017"/>
      <c r="BD112" s="1017"/>
      <c r="BE112" s="1017"/>
      <c r="BF112" s="1017"/>
      <c r="BG112" s="1017"/>
      <c r="BH112" s="1017"/>
      <c r="BI112" s="1017"/>
      <c r="BJ112" s="1017"/>
      <c r="BK112" s="1017"/>
      <c r="BL112" s="1017"/>
      <c r="BM112" s="1017"/>
      <c r="BN112" s="1017"/>
      <c r="BO112" s="1017"/>
      <c r="BP112" s="1017"/>
      <c r="BQ112" s="1017"/>
      <c r="BR112" s="1017"/>
      <c r="BS112" s="1017"/>
      <c r="BT112" s="1017"/>
      <c r="BU112" s="1017"/>
      <c r="BV112" s="1017"/>
      <c r="BW112" s="1017"/>
      <c r="BX112" s="1017"/>
      <c r="BY112" s="1017"/>
      <c r="BZ112" s="1017"/>
      <c r="CA112" s="1017"/>
      <c r="CB112" s="1017"/>
      <c r="CC112" s="1017"/>
      <c r="CD112" s="1017"/>
      <c r="CE112" s="1017"/>
      <c r="CF112" s="1017"/>
      <c r="CG112" s="1017"/>
      <c r="CH112" s="1017"/>
      <c r="CI112" s="1017"/>
      <c r="CJ112" s="1017"/>
      <c r="CK112" s="1017"/>
      <c r="CL112" s="1017"/>
      <c r="CM112" s="1017"/>
      <c r="CN112" s="1017"/>
      <c r="CO112" s="1017"/>
      <c r="CP112" s="1017"/>
      <c r="CQ112" s="1017"/>
      <c r="CR112" s="1017"/>
      <c r="CS112" s="1017"/>
      <c r="CT112" s="1017"/>
      <c r="CU112" s="1017"/>
      <c r="CV112" s="1017"/>
      <c r="CW112" s="1017"/>
      <c r="CX112" s="1017"/>
      <c r="CY112" s="1017"/>
      <c r="CZ112" s="1017"/>
      <c r="DA112" s="1017"/>
      <c r="DB112" s="1017"/>
      <c r="DC112" s="1017"/>
      <c r="DD112" s="1017"/>
      <c r="DE112" s="1017"/>
      <c r="DF112" s="1017"/>
      <c r="DG112" s="1017"/>
      <c r="DH112" s="1017"/>
      <c r="DI112" s="1017"/>
      <c r="DJ112" s="1017"/>
      <c r="DK112" s="1017"/>
      <c r="DL112" s="1017"/>
      <c r="DM112" s="1017"/>
      <c r="DN112" s="1017"/>
      <c r="DO112" s="1017"/>
      <c r="DP112" s="1017"/>
      <c r="DQ112" s="1017"/>
      <c r="DR112" s="1017"/>
      <c r="DS112" s="1017"/>
      <c r="DT112" s="1017"/>
      <c r="DU112" s="1017"/>
      <c r="DV112" s="1017"/>
      <c r="DW112" s="1017"/>
      <c r="DX112" s="1017"/>
      <c r="DY112" s="1017"/>
      <c r="DZ112" s="1017"/>
      <c r="EA112" s="1017"/>
      <c r="EB112" s="1017"/>
      <c r="EC112" s="1017"/>
      <c r="ED112" s="1017"/>
      <c r="EE112" s="1017"/>
      <c r="EF112" s="1017"/>
      <c r="EG112" s="1017"/>
      <c r="EH112" s="1017"/>
      <c r="EI112" s="1017"/>
      <c r="EJ112" s="1017"/>
      <c r="EK112" s="1017"/>
      <c r="EL112" s="1017"/>
      <c r="EM112" s="1017"/>
      <c r="EN112" s="1017"/>
      <c r="EO112" s="1017"/>
      <c r="EP112" s="1017"/>
      <c r="EQ112" s="1017"/>
      <c r="ER112" s="1017"/>
      <c r="ES112" s="1017"/>
      <c r="ET112" s="1017"/>
      <c r="EU112" s="1017"/>
      <c r="EV112" s="1017"/>
      <c r="EW112" s="1017"/>
      <c r="EX112" s="1017"/>
      <c r="EY112" s="1017"/>
      <c r="EZ112" s="1017"/>
      <c r="FA112" s="1017"/>
      <c r="FB112" s="1017"/>
      <c r="FC112" s="1017"/>
      <c r="FD112" s="1017"/>
      <c r="FE112" s="1017"/>
      <c r="FF112" s="1017"/>
      <c r="FG112" s="1017"/>
      <c r="FH112" s="1017"/>
      <c r="FI112" s="1017"/>
      <c r="FJ112" s="1017"/>
      <c r="FK112" s="1017"/>
      <c r="FL112" s="1017"/>
      <c r="FM112" s="1017"/>
      <c r="FN112" s="1017"/>
      <c r="FO112" s="1017"/>
      <c r="FP112" s="1017"/>
      <c r="FQ112" s="1017"/>
      <c r="FR112" s="1017"/>
      <c r="FS112" s="1017"/>
      <c r="FT112" s="1017"/>
      <c r="FU112" s="1017"/>
      <c r="FV112" s="1017"/>
      <c r="FW112" s="1017"/>
      <c r="FX112" s="1017"/>
      <c r="FY112" s="1017"/>
      <c r="FZ112" s="1017"/>
      <c r="GA112" s="1017"/>
      <c r="GB112" s="1017"/>
      <c r="GC112" s="1017"/>
      <c r="GD112" s="1017"/>
      <c r="GE112" s="1017"/>
      <c r="GF112" s="1017"/>
      <c r="GG112" s="1017"/>
      <c r="GH112" s="1017"/>
      <c r="GI112" s="1017"/>
      <c r="GJ112" s="1017"/>
      <c r="GK112" s="1017"/>
      <c r="GL112" s="1017"/>
      <c r="GM112" s="1017"/>
      <c r="GN112" s="1017"/>
      <c r="GO112" s="1017"/>
      <c r="GP112" s="1017"/>
      <c r="GQ112" s="1017"/>
      <c r="GR112" s="1017"/>
      <c r="GS112" s="1017"/>
      <c r="GT112" s="1017"/>
      <c r="GU112" s="1017"/>
      <c r="GV112" s="1017"/>
      <c r="GW112" s="1017"/>
      <c r="GX112" s="1017"/>
      <c r="GY112" s="1017"/>
      <c r="GZ112" s="1017"/>
      <c r="HA112" s="1017"/>
      <c r="HB112" s="1017"/>
      <c r="HC112" s="1017"/>
      <c r="HD112" s="1017"/>
      <c r="HE112" s="1017"/>
      <c r="HF112" s="1017"/>
      <c r="HG112" s="1017"/>
      <c r="HH112" s="1017"/>
      <c r="HI112" s="1017"/>
      <c r="HJ112" s="1017"/>
      <c r="HK112" s="1017"/>
      <c r="HL112" s="1017"/>
      <c r="HM112" s="1017"/>
      <c r="HN112" s="1017"/>
      <c r="HO112" s="1017"/>
      <c r="HP112" s="1017"/>
      <c r="HQ112" s="1017"/>
      <c r="HR112" s="1017"/>
      <c r="HS112" s="1017"/>
      <c r="HT112" s="1017"/>
      <c r="HU112" s="1017"/>
      <c r="HV112" s="1017"/>
      <c r="HW112" s="1017"/>
      <c r="HX112" s="1017"/>
      <c r="HY112" s="1017"/>
      <c r="HZ112" s="1017"/>
      <c r="IA112" s="1017"/>
      <c r="IB112" s="1017"/>
      <c r="IC112" s="1017"/>
      <c r="ID112" s="1017"/>
      <c r="IE112" s="1017"/>
      <c r="IF112" s="1017"/>
      <c r="IG112" s="1017"/>
      <c r="IH112" s="1017"/>
      <c r="II112" s="1017"/>
      <c r="IJ112" s="1017"/>
      <c r="IK112" s="1017"/>
      <c r="IL112" s="1017"/>
      <c r="IM112" s="1017"/>
    </row>
    <row r="113" spans="1:247">
      <c r="A113" s="1052" t="s">
        <v>982</v>
      </c>
      <c r="B113" s="1053"/>
      <c r="C113" s="1050">
        <v>180.63499999999999</v>
      </c>
      <c r="D113" s="1045">
        <v>176.696</v>
      </c>
      <c r="E113" s="1046">
        <v>166.386</v>
      </c>
      <c r="F113" s="1046">
        <v>166.80699999999999</v>
      </c>
      <c r="G113" s="1047">
        <v>170.61099999999999</v>
      </c>
      <c r="H113" s="1048">
        <v>176.696</v>
      </c>
      <c r="I113" s="1048">
        <v>166.386</v>
      </c>
      <c r="J113" s="1048">
        <v>166.80699999999999</v>
      </c>
      <c r="K113" s="1049">
        <v>170.61099999999999</v>
      </c>
      <c r="L113" s="1028"/>
      <c r="M113" s="1045"/>
      <c r="N113" s="1050">
        <f t="shared" si="59"/>
        <v>176.696</v>
      </c>
      <c r="O113" s="1045">
        <v>180.21356856766809</v>
      </c>
      <c r="P113" s="1046">
        <v>183.37722935910614</v>
      </c>
      <c r="Q113" s="1046">
        <v>187.17014183090706</v>
      </c>
      <c r="R113" s="1045">
        <f t="shared" si="76"/>
        <v>-13.827568567668095</v>
      </c>
      <c r="S113" s="1046">
        <f t="shared" si="76"/>
        <v>-16.57022935910615</v>
      </c>
      <c r="T113" s="1046">
        <f t="shared" si="76"/>
        <v>-16.559141830907066</v>
      </c>
      <c r="U113" s="1050">
        <f t="shared" si="56"/>
        <v>3.5175685676680928</v>
      </c>
      <c r="V113" s="948"/>
      <c r="W113" s="1045">
        <f t="shared" si="77"/>
        <v>180.21356856766809</v>
      </c>
      <c r="X113" s="1046">
        <v>166.386</v>
      </c>
      <c r="Y113" s="1045">
        <f t="shared" si="78"/>
        <v>-13.827568567668095</v>
      </c>
      <c r="Z113" s="1051">
        <f t="shared" si="80"/>
        <v>-1.5450602818362687E-2</v>
      </c>
      <c r="AA113" s="1017"/>
      <c r="AB113" s="952"/>
      <c r="AC113" s="1017"/>
      <c r="AD113" s="1017"/>
      <c r="AE113" s="1017"/>
      <c r="AF113" s="1017"/>
      <c r="AG113" s="1017"/>
      <c r="AH113" s="1017"/>
      <c r="AI113" s="1017"/>
      <c r="AJ113" s="1017"/>
      <c r="AK113" s="1017"/>
      <c r="AL113" s="1017"/>
      <c r="AM113" s="1017"/>
      <c r="AN113" s="1017"/>
      <c r="AO113" s="1017"/>
      <c r="AP113" s="1017"/>
      <c r="AQ113" s="1017"/>
      <c r="AR113" s="1017"/>
      <c r="AS113" s="1017"/>
      <c r="AT113" s="1017"/>
      <c r="AU113" s="1017"/>
      <c r="AV113" s="1017"/>
      <c r="AW113" s="1017"/>
      <c r="AX113" s="1017"/>
      <c r="AY113" s="1017"/>
      <c r="AZ113" s="1017"/>
      <c r="BA113" s="1017"/>
      <c r="BB113" s="1017"/>
      <c r="BC113" s="1017"/>
      <c r="BD113" s="1017"/>
      <c r="BE113" s="1017"/>
      <c r="BF113" s="1017"/>
      <c r="BG113" s="1017"/>
      <c r="BH113" s="1017"/>
      <c r="BI113" s="1017"/>
      <c r="BJ113" s="1017"/>
      <c r="BK113" s="1017"/>
      <c r="BL113" s="1017"/>
      <c r="BM113" s="1017"/>
      <c r="BN113" s="1017"/>
      <c r="BO113" s="1017"/>
      <c r="BP113" s="1017"/>
      <c r="BQ113" s="1017"/>
      <c r="BR113" s="1017"/>
      <c r="BS113" s="1017"/>
      <c r="BT113" s="1017"/>
      <c r="BU113" s="1017"/>
      <c r="BV113" s="1017"/>
      <c r="BW113" s="1017"/>
      <c r="BX113" s="1017"/>
      <c r="BY113" s="1017"/>
      <c r="BZ113" s="1017"/>
      <c r="CA113" s="1017"/>
      <c r="CB113" s="1017"/>
      <c r="CC113" s="1017"/>
      <c r="CD113" s="1017"/>
      <c r="CE113" s="1017"/>
      <c r="CF113" s="1017"/>
      <c r="CG113" s="1017"/>
      <c r="CH113" s="1017"/>
      <c r="CI113" s="1017"/>
      <c r="CJ113" s="1017"/>
      <c r="CK113" s="1017"/>
      <c r="CL113" s="1017"/>
      <c r="CM113" s="1017"/>
      <c r="CN113" s="1017"/>
      <c r="CO113" s="1017"/>
      <c r="CP113" s="1017"/>
      <c r="CQ113" s="1017"/>
      <c r="CR113" s="1017"/>
      <c r="CS113" s="1017"/>
      <c r="CT113" s="1017"/>
      <c r="CU113" s="1017"/>
      <c r="CV113" s="1017"/>
      <c r="CW113" s="1017"/>
      <c r="CX113" s="1017"/>
      <c r="CY113" s="1017"/>
      <c r="CZ113" s="1017"/>
      <c r="DA113" s="1017"/>
      <c r="DB113" s="1017"/>
      <c r="DC113" s="1017"/>
      <c r="DD113" s="1017"/>
      <c r="DE113" s="1017"/>
      <c r="DF113" s="1017"/>
      <c r="DG113" s="1017"/>
      <c r="DH113" s="1017"/>
      <c r="DI113" s="1017"/>
      <c r="DJ113" s="1017"/>
      <c r="DK113" s="1017"/>
      <c r="DL113" s="1017"/>
      <c r="DM113" s="1017"/>
      <c r="DN113" s="1017"/>
      <c r="DO113" s="1017"/>
      <c r="DP113" s="1017"/>
      <c r="DQ113" s="1017"/>
      <c r="DR113" s="1017"/>
      <c r="DS113" s="1017"/>
      <c r="DT113" s="1017"/>
      <c r="DU113" s="1017"/>
      <c r="DV113" s="1017"/>
      <c r="DW113" s="1017"/>
      <c r="DX113" s="1017"/>
      <c r="DY113" s="1017"/>
      <c r="DZ113" s="1017"/>
      <c r="EA113" s="1017"/>
      <c r="EB113" s="1017"/>
      <c r="EC113" s="1017"/>
      <c r="ED113" s="1017"/>
      <c r="EE113" s="1017"/>
      <c r="EF113" s="1017"/>
      <c r="EG113" s="1017"/>
      <c r="EH113" s="1017"/>
      <c r="EI113" s="1017"/>
      <c r="EJ113" s="1017"/>
      <c r="EK113" s="1017"/>
      <c r="EL113" s="1017"/>
      <c r="EM113" s="1017"/>
      <c r="EN113" s="1017"/>
      <c r="EO113" s="1017"/>
      <c r="EP113" s="1017"/>
      <c r="EQ113" s="1017"/>
      <c r="ER113" s="1017"/>
      <c r="ES113" s="1017"/>
      <c r="ET113" s="1017"/>
      <c r="EU113" s="1017"/>
      <c r="EV113" s="1017"/>
      <c r="EW113" s="1017"/>
      <c r="EX113" s="1017"/>
      <c r="EY113" s="1017"/>
      <c r="EZ113" s="1017"/>
      <c r="FA113" s="1017"/>
      <c r="FB113" s="1017"/>
      <c r="FC113" s="1017"/>
      <c r="FD113" s="1017"/>
      <c r="FE113" s="1017"/>
      <c r="FF113" s="1017"/>
      <c r="FG113" s="1017"/>
      <c r="FH113" s="1017"/>
      <c r="FI113" s="1017"/>
      <c r="FJ113" s="1017"/>
      <c r="FK113" s="1017"/>
      <c r="FL113" s="1017"/>
      <c r="FM113" s="1017"/>
      <c r="FN113" s="1017"/>
      <c r="FO113" s="1017"/>
      <c r="FP113" s="1017"/>
      <c r="FQ113" s="1017"/>
      <c r="FR113" s="1017"/>
      <c r="FS113" s="1017"/>
      <c r="FT113" s="1017"/>
      <c r="FU113" s="1017"/>
      <c r="FV113" s="1017"/>
      <c r="FW113" s="1017"/>
      <c r="FX113" s="1017"/>
      <c r="FY113" s="1017"/>
      <c r="FZ113" s="1017"/>
      <c r="GA113" s="1017"/>
      <c r="GB113" s="1017"/>
      <c r="GC113" s="1017"/>
      <c r="GD113" s="1017"/>
      <c r="GE113" s="1017"/>
      <c r="GF113" s="1017"/>
      <c r="GG113" s="1017"/>
      <c r="GH113" s="1017"/>
      <c r="GI113" s="1017"/>
      <c r="GJ113" s="1017"/>
      <c r="GK113" s="1017"/>
      <c r="GL113" s="1017"/>
      <c r="GM113" s="1017"/>
      <c r="GN113" s="1017"/>
      <c r="GO113" s="1017"/>
      <c r="GP113" s="1017"/>
      <c r="GQ113" s="1017"/>
      <c r="GR113" s="1017"/>
      <c r="GS113" s="1017"/>
      <c r="GT113" s="1017"/>
      <c r="GU113" s="1017"/>
      <c r="GV113" s="1017"/>
      <c r="GW113" s="1017"/>
      <c r="GX113" s="1017"/>
      <c r="GY113" s="1017"/>
      <c r="GZ113" s="1017"/>
      <c r="HA113" s="1017"/>
      <c r="HB113" s="1017"/>
      <c r="HC113" s="1017"/>
      <c r="HD113" s="1017"/>
      <c r="HE113" s="1017"/>
      <c r="HF113" s="1017"/>
      <c r="HG113" s="1017"/>
      <c r="HH113" s="1017"/>
      <c r="HI113" s="1017"/>
      <c r="HJ113" s="1017"/>
      <c r="HK113" s="1017"/>
      <c r="HL113" s="1017"/>
      <c r="HM113" s="1017"/>
      <c r="HN113" s="1017"/>
      <c r="HO113" s="1017"/>
      <c r="HP113" s="1017"/>
      <c r="HQ113" s="1017"/>
      <c r="HR113" s="1017"/>
      <c r="HS113" s="1017"/>
      <c r="HT113" s="1017"/>
      <c r="HU113" s="1017"/>
      <c r="HV113" s="1017"/>
      <c r="HW113" s="1017"/>
      <c r="HX113" s="1017"/>
      <c r="HY113" s="1017"/>
      <c r="HZ113" s="1017"/>
      <c r="IA113" s="1017"/>
      <c r="IB113" s="1017"/>
      <c r="IC113" s="1017"/>
      <c r="ID113" s="1017"/>
      <c r="IE113" s="1017"/>
      <c r="IF113" s="1017"/>
      <c r="IG113" s="1017"/>
      <c r="IH113" s="1017"/>
      <c r="II113" s="1017"/>
      <c r="IJ113" s="1017"/>
      <c r="IK113" s="1017"/>
      <c r="IL113" s="1017"/>
      <c r="IM113" s="1017"/>
    </row>
    <row r="114" spans="1:247">
      <c r="A114" s="1052" t="s">
        <v>983</v>
      </c>
      <c r="B114" s="1053"/>
      <c r="C114" s="1050">
        <v>263.37099999999998</v>
      </c>
      <c r="D114" s="1045">
        <v>263.97500000000002</v>
      </c>
      <c r="E114" s="1046">
        <f>268.577+0.88</f>
        <v>269.45699999999999</v>
      </c>
      <c r="F114" s="1046">
        <f>272.655+5.263</f>
        <v>277.91799999999995</v>
      </c>
      <c r="G114" s="1047">
        <f>277.137+12.198</f>
        <v>289.33499999999998</v>
      </c>
      <c r="H114" s="1048">
        <v>263.97500000000002</v>
      </c>
      <c r="I114" s="1048">
        <v>269.45699999999999</v>
      </c>
      <c r="J114" s="1048">
        <v>277.91799999999995</v>
      </c>
      <c r="K114" s="1049">
        <v>289.33499999999998</v>
      </c>
      <c r="L114" s="1028"/>
      <c r="M114" s="1045"/>
      <c r="N114" s="1050">
        <f t="shared" si="59"/>
        <v>263.97500000000002</v>
      </c>
      <c r="O114" s="1045">
        <f>E114</f>
        <v>269.45699999999999</v>
      </c>
      <c r="P114" s="1046">
        <f>F114</f>
        <v>277.91799999999995</v>
      </c>
      <c r="Q114" s="1046">
        <f>G114</f>
        <v>289.33499999999998</v>
      </c>
      <c r="R114" s="1045">
        <f t="shared" si="76"/>
        <v>0</v>
      </c>
      <c r="S114" s="1046">
        <f t="shared" si="76"/>
        <v>0</v>
      </c>
      <c r="T114" s="1046">
        <f t="shared" si="76"/>
        <v>0</v>
      </c>
      <c r="U114" s="1050">
        <f t="shared" si="56"/>
        <v>5.4819999999999709</v>
      </c>
      <c r="V114" s="948"/>
      <c r="W114" s="1045">
        <f t="shared" si="77"/>
        <v>269.45699999999999</v>
      </c>
      <c r="X114" s="1046">
        <v>269.45699999999999</v>
      </c>
      <c r="Y114" s="1045">
        <f t="shared" si="78"/>
        <v>0</v>
      </c>
      <c r="Z114" s="1051">
        <f t="shared" si="80"/>
        <v>0</v>
      </c>
      <c r="AA114" s="1017"/>
      <c r="AB114" s="952"/>
      <c r="AC114" s="1017"/>
      <c r="AD114" s="1017"/>
      <c r="AE114" s="1017"/>
      <c r="AF114" s="1017"/>
      <c r="AG114" s="1017"/>
      <c r="AH114" s="1017"/>
      <c r="AI114" s="1017"/>
      <c r="AJ114" s="1017"/>
      <c r="AK114" s="1017"/>
      <c r="AL114" s="1017"/>
      <c r="AM114" s="1017"/>
      <c r="AN114" s="1017"/>
      <c r="AO114" s="1017"/>
      <c r="AP114" s="1017"/>
      <c r="AQ114" s="1017"/>
      <c r="AR114" s="1017"/>
      <c r="AS114" s="1017"/>
      <c r="AT114" s="1017"/>
      <c r="AU114" s="1017"/>
      <c r="AV114" s="1017"/>
      <c r="AW114" s="1017"/>
      <c r="AX114" s="1017"/>
      <c r="AY114" s="1017"/>
      <c r="AZ114" s="1017"/>
      <c r="BA114" s="1017"/>
      <c r="BB114" s="1017"/>
      <c r="BC114" s="1017"/>
      <c r="BD114" s="1017"/>
      <c r="BE114" s="1017"/>
      <c r="BF114" s="1017"/>
      <c r="BG114" s="1017"/>
      <c r="BH114" s="1017"/>
      <c r="BI114" s="1017"/>
      <c r="BJ114" s="1017"/>
      <c r="BK114" s="1017"/>
      <c r="BL114" s="1017"/>
      <c r="BM114" s="1017"/>
      <c r="BN114" s="1017"/>
      <c r="BO114" s="1017"/>
      <c r="BP114" s="1017"/>
      <c r="BQ114" s="1017"/>
      <c r="BR114" s="1017"/>
      <c r="BS114" s="1017"/>
      <c r="BT114" s="1017"/>
      <c r="BU114" s="1017"/>
      <c r="BV114" s="1017"/>
      <c r="BW114" s="1017"/>
      <c r="BX114" s="1017"/>
      <c r="BY114" s="1017"/>
      <c r="BZ114" s="1017"/>
      <c r="CA114" s="1017"/>
      <c r="CB114" s="1017"/>
      <c r="CC114" s="1017"/>
      <c r="CD114" s="1017"/>
      <c r="CE114" s="1017"/>
      <c r="CF114" s="1017"/>
      <c r="CG114" s="1017"/>
      <c r="CH114" s="1017"/>
      <c r="CI114" s="1017"/>
      <c r="CJ114" s="1017"/>
      <c r="CK114" s="1017"/>
      <c r="CL114" s="1017"/>
      <c r="CM114" s="1017"/>
      <c r="CN114" s="1017"/>
      <c r="CO114" s="1017"/>
      <c r="CP114" s="1017"/>
      <c r="CQ114" s="1017"/>
      <c r="CR114" s="1017"/>
      <c r="CS114" s="1017"/>
      <c r="CT114" s="1017"/>
      <c r="CU114" s="1017"/>
      <c r="CV114" s="1017"/>
      <c r="CW114" s="1017"/>
      <c r="CX114" s="1017"/>
      <c r="CY114" s="1017"/>
      <c r="CZ114" s="1017"/>
      <c r="DA114" s="1017"/>
      <c r="DB114" s="1017"/>
      <c r="DC114" s="1017"/>
      <c r="DD114" s="1017"/>
      <c r="DE114" s="1017"/>
      <c r="DF114" s="1017"/>
      <c r="DG114" s="1017"/>
      <c r="DH114" s="1017"/>
      <c r="DI114" s="1017"/>
      <c r="DJ114" s="1017"/>
      <c r="DK114" s="1017"/>
      <c r="DL114" s="1017"/>
      <c r="DM114" s="1017"/>
      <c r="DN114" s="1017"/>
      <c r="DO114" s="1017"/>
      <c r="DP114" s="1017"/>
      <c r="DQ114" s="1017"/>
      <c r="DR114" s="1017"/>
      <c r="DS114" s="1017"/>
      <c r="DT114" s="1017"/>
      <c r="DU114" s="1017"/>
      <c r="DV114" s="1017"/>
      <c r="DW114" s="1017"/>
      <c r="DX114" s="1017"/>
      <c r="DY114" s="1017"/>
      <c r="DZ114" s="1017"/>
      <c r="EA114" s="1017"/>
      <c r="EB114" s="1017"/>
      <c r="EC114" s="1017"/>
      <c r="ED114" s="1017"/>
      <c r="EE114" s="1017"/>
      <c r="EF114" s="1017"/>
      <c r="EG114" s="1017"/>
      <c r="EH114" s="1017"/>
      <c r="EI114" s="1017"/>
      <c r="EJ114" s="1017"/>
      <c r="EK114" s="1017"/>
      <c r="EL114" s="1017"/>
      <c r="EM114" s="1017"/>
      <c r="EN114" s="1017"/>
      <c r="EO114" s="1017"/>
      <c r="EP114" s="1017"/>
      <c r="EQ114" s="1017"/>
      <c r="ER114" s="1017"/>
      <c r="ES114" s="1017"/>
      <c r="ET114" s="1017"/>
      <c r="EU114" s="1017"/>
      <c r="EV114" s="1017"/>
      <c r="EW114" s="1017"/>
      <c r="EX114" s="1017"/>
      <c r="EY114" s="1017"/>
      <c r="EZ114" s="1017"/>
      <c r="FA114" s="1017"/>
      <c r="FB114" s="1017"/>
      <c r="FC114" s="1017"/>
      <c r="FD114" s="1017"/>
      <c r="FE114" s="1017"/>
      <c r="FF114" s="1017"/>
      <c r="FG114" s="1017"/>
      <c r="FH114" s="1017"/>
      <c r="FI114" s="1017"/>
      <c r="FJ114" s="1017"/>
      <c r="FK114" s="1017"/>
      <c r="FL114" s="1017"/>
      <c r="FM114" s="1017"/>
      <c r="FN114" s="1017"/>
      <c r="FO114" s="1017"/>
      <c r="FP114" s="1017"/>
      <c r="FQ114" s="1017"/>
      <c r="FR114" s="1017"/>
      <c r="FS114" s="1017"/>
      <c r="FT114" s="1017"/>
      <c r="FU114" s="1017"/>
      <c r="FV114" s="1017"/>
      <c r="FW114" s="1017"/>
      <c r="FX114" s="1017"/>
      <c r="FY114" s="1017"/>
      <c r="FZ114" s="1017"/>
      <c r="GA114" s="1017"/>
      <c r="GB114" s="1017"/>
      <c r="GC114" s="1017"/>
      <c r="GD114" s="1017"/>
      <c r="GE114" s="1017"/>
      <c r="GF114" s="1017"/>
      <c r="GG114" s="1017"/>
      <c r="GH114" s="1017"/>
      <c r="GI114" s="1017"/>
      <c r="GJ114" s="1017"/>
      <c r="GK114" s="1017"/>
      <c r="GL114" s="1017"/>
      <c r="GM114" s="1017"/>
      <c r="GN114" s="1017"/>
      <c r="GO114" s="1017"/>
      <c r="GP114" s="1017"/>
      <c r="GQ114" s="1017"/>
      <c r="GR114" s="1017"/>
      <c r="GS114" s="1017"/>
      <c r="GT114" s="1017"/>
      <c r="GU114" s="1017"/>
      <c r="GV114" s="1017"/>
      <c r="GW114" s="1017"/>
      <c r="GX114" s="1017"/>
      <c r="GY114" s="1017"/>
      <c r="GZ114" s="1017"/>
      <c r="HA114" s="1017"/>
      <c r="HB114" s="1017"/>
      <c r="HC114" s="1017"/>
      <c r="HD114" s="1017"/>
      <c r="HE114" s="1017"/>
      <c r="HF114" s="1017"/>
      <c r="HG114" s="1017"/>
      <c r="HH114" s="1017"/>
      <c r="HI114" s="1017"/>
      <c r="HJ114" s="1017"/>
      <c r="HK114" s="1017"/>
      <c r="HL114" s="1017"/>
      <c r="HM114" s="1017"/>
      <c r="HN114" s="1017"/>
      <c r="HO114" s="1017"/>
      <c r="HP114" s="1017"/>
      <c r="HQ114" s="1017"/>
      <c r="HR114" s="1017"/>
      <c r="HS114" s="1017"/>
      <c r="HT114" s="1017"/>
      <c r="HU114" s="1017"/>
      <c r="HV114" s="1017"/>
      <c r="HW114" s="1017"/>
      <c r="HX114" s="1017"/>
      <c r="HY114" s="1017"/>
      <c r="HZ114" s="1017"/>
      <c r="IA114" s="1017"/>
      <c r="IB114" s="1017"/>
      <c r="IC114" s="1017"/>
      <c r="ID114" s="1017"/>
      <c r="IE114" s="1017"/>
      <c r="IF114" s="1017"/>
      <c r="IG114" s="1017"/>
      <c r="IH114" s="1017"/>
      <c r="II114" s="1017"/>
      <c r="IJ114" s="1017"/>
      <c r="IK114" s="1017"/>
      <c r="IL114" s="1017"/>
      <c r="IM114" s="1017"/>
    </row>
    <row r="115" spans="1:247">
      <c r="A115" s="1052" t="s">
        <v>984</v>
      </c>
      <c r="B115" s="1053"/>
      <c r="C115" s="1050">
        <v>46.1</v>
      </c>
      <c r="D115" s="1045">
        <v>0</v>
      </c>
      <c r="E115" s="1046">
        <v>0</v>
      </c>
      <c r="F115" s="1046">
        <v>0</v>
      </c>
      <c r="G115" s="1047">
        <v>0</v>
      </c>
      <c r="H115" s="1048">
        <v>0</v>
      </c>
      <c r="I115" s="1048">
        <v>0</v>
      </c>
      <c r="J115" s="1048">
        <v>0</v>
      </c>
      <c r="K115" s="1049">
        <v>0</v>
      </c>
      <c r="L115" s="1028"/>
      <c r="M115" s="1045"/>
      <c r="N115" s="1050">
        <f t="shared" si="59"/>
        <v>0</v>
      </c>
      <c r="O115" s="1045">
        <v>0</v>
      </c>
      <c r="P115" s="1046">
        <v>0</v>
      </c>
      <c r="Q115" s="1046">
        <v>0</v>
      </c>
      <c r="R115" s="1045">
        <f t="shared" si="76"/>
        <v>0</v>
      </c>
      <c r="S115" s="1046">
        <f t="shared" si="76"/>
        <v>0</v>
      </c>
      <c r="T115" s="1046">
        <f t="shared" si="76"/>
        <v>0</v>
      </c>
      <c r="U115" s="1050">
        <f t="shared" si="56"/>
        <v>0</v>
      </c>
      <c r="V115" s="948"/>
      <c r="W115" s="1045">
        <f t="shared" si="77"/>
        <v>0</v>
      </c>
      <c r="X115" s="1046">
        <v>0</v>
      </c>
      <c r="Y115" s="1045">
        <f t="shared" si="78"/>
        <v>0</v>
      </c>
      <c r="Z115" s="1051">
        <f t="shared" si="80"/>
        <v>0</v>
      </c>
      <c r="AA115" s="1017"/>
      <c r="AB115" s="952"/>
      <c r="AC115" s="1017"/>
      <c r="AD115" s="1017"/>
      <c r="AE115" s="1017"/>
      <c r="AF115" s="1017"/>
      <c r="AG115" s="1017"/>
      <c r="AH115" s="1017"/>
      <c r="AI115" s="1017"/>
      <c r="AJ115" s="1017"/>
      <c r="AK115" s="1017"/>
      <c r="AL115" s="1017"/>
      <c r="AM115" s="1017"/>
      <c r="AN115" s="1017"/>
      <c r="AO115" s="1017"/>
      <c r="AP115" s="1017"/>
      <c r="AQ115" s="1017"/>
      <c r="AR115" s="1017"/>
      <c r="AS115" s="1017"/>
      <c r="AT115" s="1017"/>
      <c r="AU115" s="1017"/>
      <c r="AV115" s="1017"/>
      <c r="AW115" s="1017"/>
      <c r="AX115" s="1017"/>
      <c r="AY115" s="1017"/>
      <c r="AZ115" s="1017"/>
      <c r="BA115" s="1017"/>
      <c r="BB115" s="1017"/>
      <c r="BC115" s="1017"/>
      <c r="BD115" s="1017"/>
      <c r="BE115" s="1017"/>
      <c r="BF115" s="1017"/>
      <c r="BG115" s="1017"/>
      <c r="BH115" s="1017"/>
      <c r="BI115" s="1017"/>
      <c r="BJ115" s="1017"/>
      <c r="BK115" s="1017"/>
      <c r="BL115" s="1017"/>
      <c r="BM115" s="1017"/>
      <c r="BN115" s="1017"/>
      <c r="BO115" s="1017"/>
      <c r="BP115" s="1017"/>
      <c r="BQ115" s="1017"/>
      <c r="BR115" s="1017"/>
      <c r="BS115" s="1017"/>
      <c r="BT115" s="1017"/>
      <c r="BU115" s="1017"/>
      <c r="BV115" s="1017"/>
      <c r="BW115" s="1017"/>
      <c r="BX115" s="1017"/>
      <c r="BY115" s="1017"/>
      <c r="BZ115" s="1017"/>
      <c r="CA115" s="1017"/>
      <c r="CB115" s="1017"/>
      <c r="CC115" s="1017"/>
      <c r="CD115" s="1017"/>
      <c r="CE115" s="1017"/>
      <c r="CF115" s="1017"/>
      <c r="CG115" s="1017"/>
      <c r="CH115" s="1017"/>
      <c r="CI115" s="1017"/>
      <c r="CJ115" s="1017"/>
      <c r="CK115" s="1017"/>
      <c r="CL115" s="1017"/>
      <c r="CM115" s="1017"/>
      <c r="CN115" s="1017"/>
      <c r="CO115" s="1017"/>
      <c r="CP115" s="1017"/>
      <c r="CQ115" s="1017"/>
      <c r="CR115" s="1017"/>
      <c r="CS115" s="1017"/>
      <c r="CT115" s="1017"/>
      <c r="CU115" s="1017"/>
      <c r="CV115" s="1017"/>
      <c r="CW115" s="1017"/>
      <c r="CX115" s="1017"/>
      <c r="CY115" s="1017"/>
      <c r="CZ115" s="1017"/>
      <c r="DA115" s="1017"/>
      <c r="DB115" s="1017"/>
      <c r="DC115" s="1017"/>
      <c r="DD115" s="1017"/>
      <c r="DE115" s="1017"/>
      <c r="DF115" s="1017"/>
      <c r="DG115" s="1017"/>
      <c r="DH115" s="1017"/>
      <c r="DI115" s="1017"/>
      <c r="DJ115" s="1017"/>
      <c r="DK115" s="1017"/>
      <c r="DL115" s="1017"/>
      <c r="DM115" s="1017"/>
      <c r="DN115" s="1017"/>
      <c r="DO115" s="1017"/>
      <c r="DP115" s="1017"/>
      <c r="DQ115" s="1017"/>
      <c r="DR115" s="1017"/>
      <c r="DS115" s="1017"/>
      <c r="DT115" s="1017"/>
      <c r="DU115" s="1017"/>
      <c r="DV115" s="1017"/>
      <c r="DW115" s="1017"/>
      <c r="DX115" s="1017"/>
      <c r="DY115" s="1017"/>
      <c r="DZ115" s="1017"/>
      <c r="EA115" s="1017"/>
      <c r="EB115" s="1017"/>
      <c r="EC115" s="1017"/>
      <c r="ED115" s="1017"/>
      <c r="EE115" s="1017"/>
      <c r="EF115" s="1017"/>
      <c r="EG115" s="1017"/>
      <c r="EH115" s="1017"/>
      <c r="EI115" s="1017"/>
      <c r="EJ115" s="1017"/>
      <c r="EK115" s="1017"/>
      <c r="EL115" s="1017"/>
      <c r="EM115" s="1017"/>
      <c r="EN115" s="1017"/>
      <c r="EO115" s="1017"/>
      <c r="EP115" s="1017"/>
      <c r="EQ115" s="1017"/>
      <c r="ER115" s="1017"/>
      <c r="ES115" s="1017"/>
      <c r="ET115" s="1017"/>
      <c r="EU115" s="1017"/>
      <c r="EV115" s="1017"/>
      <c r="EW115" s="1017"/>
      <c r="EX115" s="1017"/>
      <c r="EY115" s="1017"/>
      <c r="EZ115" s="1017"/>
      <c r="FA115" s="1017"/>
      <c r="FB115" s="1017"/>
      <c r="FC115" s="1017"/>
      <c r="FD115" s="1017"/>
      <c r="FE115" s="1017"/>
      <c r="FF115" s="1017"/>
      <c r="FG115" s="1017"/>
      <c r="FH115" s="1017"/>
      <c r="FI115" s="1017"/>
      <c r="FJ115" s="1017"/>
      <c r="FK115" s="1017"/>
      <c r="FL115" s="1017"/>
      <c r="FM115" s="1017"/>
      <c r="FN115" s="1017"/>
      <c r="FO115" s="1017"/>
      <c r="FP115" s="1017"/>
      <c r="FQ115" s="1017"/>
      <c r="FR115" s="1017"/>
      <c r="FS115" s="1017"/>
      <c r="FT115" s="1017"/>
      <c r="FU115" s="1017"/>
      <c r="FV115" s="1017"/>
      <c r="FW115" s="1017"/>
      <c r="FX115" s="1017"/>
      <c r="FY115" s="1017"/>
      <c r="FZ115" s="1017"/>
      <c r="GA115" s="1017"/>
      <c r="GB115" s="1017"/>
      <c r="GC115" s="1017"/>
      <c r="GD115" s="1017"/>
      <c r="GE115" s="1017"/>
      <c r="GF115" s="1017"/>
      <c r="GG115" s="1017"/>
      <c r="GH115" s="1017"/>
      <c r="GI115" s="1017"/>
      <c r="GJ115" s="1017"/>
      <c r="GK115" s="1017"/>
      <c r="GL115" s="1017"/>
      <c r="GM115" s="1017"/>
      <c r="GN115" s="1017"/>
      <c r="GO115" s="1017"/>
      <c r="GP115" s="1017"/>
      <c r="GQ115" s="1017"/>
      <c r="GR115" s="1017"/>
      <c r="GS115" s="1017"/>
      <c r="GT115" s="1017"/>
      <c r="GU115" s="1017"/>
      <c r="GV115" s="1017"/>
      <c r="GW115" s="1017"/>
      <c r="GX115" s="1017"/>
      <c r="GY115" s="1017"/>
      <c r="GZ115" s="1017"/>
      <c r="HA115" s="1017"/>
      <c r="HB115" s="1017"/>
      <c r="HC115" s="1017"/>
      <c r="HD115" s="1017"/>
      <c r="HE115" s="1017"/>
      <c r="HF115" s="1017"/>
      <c r="HG115" s="1017"/>
      <c r="HH115" s="1017"/>
      <c r="HI115" s="1017"/>
      <c r="HJ115" s="1017"/>
      <c r="HK115" s="1017"/>
      <c r="HL115" s="1017"/>
      <c r="HM115" s="1017"/>
      <c r="HN115" s="1017"/>
      <c r="HO115" s="1017"/>
      <c r="HP115" s="1017"/>
      <c r="HQ115" s="1017"/>
      <c r="HR115" s="1017"/>
      <c r="HS115" s="1017"/>
      <c r="HT115" s="1017"/>
      <c r="HU115" s="1017"/>
      <c r="HV115" s="1017"/>
      <c r="HW115" s="1017"/>
      <c r="HX115" s="1017"/>
      <c r="HY115" s="1017"/>
      <c r="HZ115" s="1017"/>
      <c r="IA115" s="1017"/>
      <c r="IB115" s="1017"/>
      <c r="IC115" s="1017"/>
      <c r="ID115" s="1017"/>
      <c r="IE115" s="1017"/>
      <c r="IF115" s="1017"/>
      <c r="IG115" s="1017"/>
      <c r="IH115" s="1017"/>
      <c r="II115" s="1017"/>
      <c r="IJ115" s="1017"/>
      <c r="IK115" s="1017"/>
      <c r="IL115" s="1017"/>
      <c r="IM115" s="1017"/>
    </row>
    <row r="116" spans="1:247">
      <c r="A116" s="1052" t="s">
        <v>940</v>
      </c>
      <c r="B116" s="1053"/>
      <c r="C116" s="1050">
        <v>1.094463</v>
      </c>
      <c r="D116" s="1045">
        <v>0.14000000000000001</v>
      </c>
      <c r="E116" s="1046">
        <f>0.116957</f>
        <v>0.11695700000000001</v>
      </c>
      <c r="F116" s="1046">
        <f>0.118</f>
        <v>0.11799999999999999</v>
      </c>
      <c r="G116" s="1047">
        <f>0.119</f>
        <v>0.11899999999999999</v>
      </c>
      <c r="H116" s="1048">
        <v>0.14000000000000001</v>
      </c>
      <c r="I116" s="1048">
        <v>0.11695700000000001</v>
      </c>
      <c r="J116" s="1048">
        <v>0.11799999999999999</v>
      </c>
      <c r="K116" s="1049">
        <v>0.11899999999999999</v>
      </c>
      <c r="L116" s="1028"/>
      <c r="M116" s="1045"/>
      <c r="N116" s="1050">
        <f t="shared" si="59"/>
        <v>0.14000000000000001</v>
      </c>
      <c r="O116" s="1045">
        <v>0.14839191619799977</v>
      </c>
      <c r="P116" s="1046">
        <v>0.15824655490156458</v>
      </c>
      <c r="Q116" s="1046">
        <v>0.16882936989295175</v>
      </c>
      <c r="R116" s="1045">
        <f t="shared" si="76"/>
        <v>-3.1434916197999763E-2</v>
      </c>
      <c r="S116" s="1046">
        <f t="shared" si="76"/>
        <v>-4.0246554901564591E-2</v>
      </c>
      <c r="T116" s="1046">
        <f t="shared" si="76"/>
        <v>-4.9829369892951753E-2</v>
      </c>
      <c r="U116" s="1050">
        <f t="shared" si="56"/>
        <v>8.3919161979997547E-3</v>
      </c>
      <c r="V116" s="948"/>
      <c r="W116" s="1045">
        <f>O116</f>
        <v>0.14839191619799977</v>
      </c>
      <c r="X116" s="1046">
        <v>0.11695700000000001</v>
      </c>
      <c r="Y116" s="1045">
        <f>X116-W116</f>
        <v>-3.1434916197999763E-2</v>
      </c>
      <c r="Z116" s="1051">
        <f t="shared" si="80"/>
        <v>-3.512464266056555E-5</v>
      </c>
      <c r="AA116" s="1017"/>
      <c r="AB116" s="952"/>
      <c r="AC116" s="1017"/>
      <c r="AD116" s="1017"/>
      <c r="AE116" s="1017"/>
      <c r="AF116" s="1017"/>
      <c r="AG116" s="1017"/>
      <c r="AH116" s="1017"/>
      <c r="AI116" s="1017"/>
      <c r="AJ116" s="1017"/>
      <c r="AK116" s="1017"/>
      <c r="AL116" s="1017"/>
      <c r="AM116" s="1017"/>
      <c r="AN116" s="1017"/>
      <c r="AO116" s="1017"/>
      <c r="AP116" s="1017"/>
      <c r="AQ116" s="1017"/>
      <c r="AR116" s="1017"/>
      <c r="AS116" s="1017"/>
      <c r="AT116" s="1017"/>
      <c r="AU116" s="1017"/>
      <c r="AV116" s="1017"/>
      <c r="AW116" s="1017"/>
      <c r="AX116" s="1017"/>
      <c r="AY116" s="1017"/>
      <c r="AZ116" s="1017"/>
      <c r="BA116" s="1017"/>
      <c r="BB116" s="1017"/>
      <c r="BC116" s="1017"/>
      <c r="BD116" s="1017"/>
      <c r="BE116" s="1017"/>
      <c r="BF116" s="1017"/>
      <c r="BG116" s="1017"/>
      <c r="BH116" s="1017"/>
      <c r="BI116" s="1017"/>
      <c r="BJ116" s="1017"/>
      <c r="BK116" s="1017"/>
      <c r="BL116" s="1017"/>
      <c r="BM116" s="1017"/>
      <c r="BN116" s="1017"/>
      <c r="BO116" s="1017"/>
      <c r="BP116" s="1017"/>
      <c r="BQ116" s="1017"/>
      <c r="BR116" s="1017"/>
      <c r="BS116" s="1017"/>
      <c r="BT116" s="1017"/>
      <c r="BU116" s="1017"/>
      <c r="BV116" s="1017"/>
      <c r="BW116" s="1017"/>
      <c r="BX116" s="1017"/>
      <c r="BY116" s="1017"/>
      <c r="BZ116" s="1017"/>
      <c r="CA116" s="1017"/>
      <c r="CB116" s="1017"/>
      <c r="CC116" s="1017"/>
      <c r="CD116" s="1017"/>
      <c r="CE116" s="1017"/>
      <c r="CF116" s="1017"/>
      <c r="CG116" s="1017"/>
      <c r="CH116" s="1017"/>
      <c r="CI116" s="1017"/>
      <c r="CJ116" s="1017"/>
      <c r="CK116" s="1017"/>
      <c r="CL116" s="1017"/>
      <c r="CM116" s="1017"/>
      <c r="CN116" s="1017"/>
      <c r="CO116" s="1017"/>
      <c r="CP116" s="1017"/>
      <c r="CQ116" s="1017"/>
      <c r="CR116" s="1017"/>
      <c r="CS116" s="1017"/>
      <c r="CT116" s="1017"/>
      <c r="CU116" s="1017"/>
      <c r="CV116" s="1017"/>
      <c r="CW116" s="1017"/>
      <c r="CX116" s="1017"/>
      <c r="CY116" s="1017"/>
      <c r="CZ116" s="1017"/>
      <c r="DA116" s="1017"/>
      <c r="DB116" s="1017"/>
      <c r="DC116" s="1017"/>
      <c r="DD116" s="1017"/>
      <c r="DE116" s="1017"/>
      <c r="DF116" s="1017"/>
      <c r="DG116" s="1017"/>
      <c r="DH116" s="1017"/>
      <c r="DI116" s="1017"/>
      <c r="DJ116" s="1017"/>
      <c r="DK116" s="1017"/>
      <c r="DL116" s="1017"/>
      <c r="DM116" s="1017"/>
      <c r="DN116" s="1017"/>
      <c r="DO116" s="1017"/>
      <c r="DP116" s="1017"/>
      <c r="DQ116" s="1017"/>
      <c r="DR116" s="1017"/>
      <c r="DS116" s="1017"/>
      <c r="DT116" s="1017"/>
      <c r="DU116" s="1017"/>
      <c r="DV116" s="1017"/>
      <c r="DW116" s="1017"/>
      <c r="DX116" s="1017"/>
      <c r="DY116" s="1017"/>
      <c r="DZ116" s="1017"/>
      <c r="EA116" s="1017"/>
      <c r="EB116" s="1017"/>
      <c r="EC116" s="1017"/>
      <c r="ED116" s="1017"/>
      <c r="EE116" s="1017"/>
      <c r="EF116" s="1017"/>
      <c r="EG116" s="1017"/>
      <c r="EH116" s="1017"/>
      <c r="EI116" s="1017"/>
      <c r="EJ116" s="1017"/>
      <c r="EK116" s="1017"/>
      <c r="EL116" s="1017"/>
      <c r="EM116" s="1017"/>
      <c r="EN116" s="1017"/>
      <c r="EO116" s="1017"/>
      <c r="EP116" s="1017"/>
      <c r="EQ116" s="1017"/>
      <c r="ER116" s="1017"/>
      <c r="ES116" s="1017"/>
      <c r="ET116" s="1017"/>
      <c r="EU116" s="1017"/>
      <c r="EV116" s="1017"/>
      <c r="EW116" s="1017"/>
      <c r="EX116" s="1017"/>
      <c r="EY116" s="1017"/>
      <c r="EZ116" s="1017"/>
      <c r="FA116" s="1017"/>
      <c r="FB116" s="1017"/>
      <c r="FC116" s="1017"/>
      <c r="FD116" s="1017"/>
      <c r="FE116" s="1017"/>
      <c r="FF116" s="1017"/>
      <c r="FG116" s="1017"/>
      <c r="FH116" s="1017"/>
      <c r="FI116" s="1017"/>
      <c r="FJ116" s="1017"/>
      <c r="FK116" s="1017"/>
      <c r="FL116" s="1017"/>
      <c r="FM116" s="1017"/>
      <c r="FN116" s="1017"/>
      <c r="FO116" s="1017"/>
      <c r="FP116" s="1017"/>
      <c r="FQ116" s="1017"/>
      <c r="FR116" s="1017"/>
      <c r="FS116" s="1017"/>
      <c r="FT116" s="1017"/>
      <c r="FU116" s="1017"/>
      <c r="FV116" s="1017"/>
      <c r="FW116" s="1017"/>
      <c r="FX116" s="1017"/>
      <c r="FY116" s="1017"/>
      <c r="FZ116" s="1017"/>
      <c r="GA116" s="1017"/>
      <c r="GB116" s="1017"/>
      <c r="GC116" s="1017"/>
      <c r="GD116" s="1017"/>
      <c r="GE116" s="1017"/>
      <c r="GF116" s="1017"/>
      <c r="GG116" s="1017"/>
      <c r="GH116" s="1017"/>
      <c r="GI116" s="1017"/>
      <c r="GJ116" s="1017"/>
      <c r="GK116" s="1017"/>
      <c r="GL116" s="1017"/>
      <c r="GM116" s="1017"/>
      <c r="GN116" s="1017"/>
      <c r="GO116" s="1017"/>
      <c r="GP116" s="1017"/>
      <c r="GQ116" s="1017"/>
      <c r="GR116" s="1017"/>
      <c r="GS116" s="1017"/>
      <c r="GT116" s="1017"/>
      <c r="GU116" s="1017"/>
      <c r="GV116" s="1017"/>
      <c r="GW116" s="1017"/>
      <c r="GX116" s="1017"/>
      <c r="GY116" s="1017"/>
      <c r="GZ116" s="1017"/>
      <c r="HA116" s="1017"/>
      <c r="HB116" s="1017"/>
      <c r="HC116" s="1017"/>
      <c r="HD116" s="1017"/>
      <c r="HE116" s="1017"/>
      <c r="HF116" s="1017"/>
      <c r="HG116" s="1017"/>
      <c r="HH116" s="1017"/>
      <c r="HI116" s="1017"/>
      <c r="HJ116" s="1017"/>
      <c r="HK116" s="1017"/>
      <c r="HL116" s="1017"/>
      <c r="HM116" s="1017"/>
      <c r="HN116" s="1017"/>
      <c r="HO116" s="1017"/>
      <c r="HP116" s="1017"/>
      <c r="HQ116" s="1017"/>
      <c r="HR116" s="1017"/>
      <c r="HS116" s="1017"/>
      <c r="HT116" s="1017"/>
      <c r="HU116" s="1017"/>
      <c r="HV116" s="1017"/>
      <c r="HW116" s="1017"/>
      <c r="HX116" s="1017"/>
      <c r="HY116" s="1017"/>
      <c r="HZ116" s="1017"/>
      <c r="IA116" s="1017"/>
      <c r="IB116" s="1017"/>
      <c r="IC116" s="1017"/>
      <c r="ID116" s="1017"/>
      <c r="IE116" s="1017"/>
      <c r="IF116" s="1017"/>
      <c r="IG116" s="1017"/>
      <c r="IH116" s="1017"/>
      <c r="II116" s="1017"/>
      <c r="IJ116" s="1017"/>
      <c r="IK116" s="1017"/>
      <c r="IL116" s="1017"/>
      <c r="IM116" s="1017"/>
    </row>
    <row r="117" spans="1:247">
      <c r="A117" s="1052" t="s">
        <v>936</v>
      </c>
      <c r="B117" s="1053"/>
      <c r="C117" s="1071">
        <v>346.726</v>
      </c>
      <c r="D117" s="1068">
        <f>372.299</f>
        <v>372.29899999999998</v>
      </c>
      <c r="E117" s="1069">
        <v>390.23500000000001</v>
      </c>
      <c r="F117" s="1069">
        <f>396.135</f>
        <v>396.13499999999999</v>
      </c>
      <c r="G117" s="1070">
        <v>402.024</v>
      </c>
      <c r="H117" s="1072">
        <v>372.29899999999998</v>
      </c>
      <c r="I117" s="1072">
        <v>390.23500000000001</v>
      </c>
      <c r="J117" s="1072">
        <v>396.13499999999999</v>
      </c>
      <c r="K117" s="1073">
        <v>402.024</v>
      </c>
      <c r="L117" s="1028"/>
      <c r="M117" s="1068"/>
      <c r="N117" s="1050">
        <f t="shared" si="59"/>
        <v>372.29899999999998</v>
      </c>
      <c r="O117" s="1068">
        <f>E117</f>
        <v>390.23500000000001</v>
      </c>
      <c r="P117" s="1069">
        <f>F117</f>
        <v>396.13499999999999</v>
      </c>
      <c r="Q117" s="1069">
        <f>G117</f>
        <v>402.024</v>
      </c>
      <c r="R117" s="1068">
        <f t="shared" si="76"/>
        <v>0</v>
      </c>
      <c r="S117" s="1069">
        <f t="shared" si="76"/>
        <v>0</v>
      </c>
      <c r="T117" s="1069">
        <f t="shared" si="76"/>
        <v>0</v>
      </c>
      <c r="U117" s="1071">
        <f t="shared" si="56"/>
        <v>17.936000000000035</v>
      </c>
      <c r="V117" s="948"/>
      <c r="W117" s="1045">
        <f>O117</f>
        <v>390.23500000000001</v>
      </c>
      <c r="X117" s="1046">
        <v>390.23500000000001</v>
      </c>
      <c r="Y117" s="1045">
        <f>X117-W117</f>
        <v>0</v>
      </c>
      <c r="Z117" s="1051">
        <f t="shared" si="80"/>
        <v>0</v>
      </c>
      <c r="AA117" s="1017"/>
      <c r="AB117" s="952"/>
      <c r="AC117" s="1017"/>
      <c r="AD117" s="1017"/>
      <c r="AE117" s="1017"/>
      <c r="AF117" s="1017"/>
      <c r="AG117" s="1017"/>
      <c r="AH117" s="1017"/>
      <c r="AI117" s="1017"/>
      <c r="AJ117" s="1017"/>
      <c r="AK117" s="1017"/>
      <c r="AL117" s="1017"/>
      <c r="AM117" s="1017"/>
      <c r="AN117" s="1017"/>
      <c r="AO117" s="1017"/>
      <c r="AP117" s="1017"/>
      <c r="AQ117" s="1017"/>
      <c r="AR117" s="1017"/>
      <c r="AS117" s="1017"/>
      <c r="AT117" s="1017"/>
      <c r="AU117" s="1017"/>
      <c r="AV117" s="1017"/>
      <c r="AW117" s="1017"/>
      <c r="AX117" s="1017"/>
      <c r="AY117" s="1017"/>
      <c r="AZ117" s="1017"/>
      <c r="BA117" s="1017"/>
      <c r="BB117" s="1017"/>
      <c r="BC117" s="1017"/>
      <c r="BD117" s="1017"/>
      <c r="BE117" s="1017"/>
      <c r="BF117" s="1017"/>
      <c r="BG117" s="1017"/>
      <c r="BH117" s="1017"/>
      <c r="BI117" s="1017"/>
      <c r="BJ117" s="1017"/>
      <c r="BK117" s="1017"/>
      <c r="BL117" s="1017"/>
      <c r="BM117" s="1017"/>
      <c r="BN117" s="1017"/>
      <c r="BO117" s="1017"/>
      <c r="BP117" s="1017"/>
      <c r="BQ117" s="1017"/>
      <c r="BR117" s="1017"/>
      <c r="BS117" s="1017"/>
      <c r="BT117" s="1017"/>
      <c r="BU117" s="1017"/>
      <c r="BV117" s="1017"/>
      <c r="BW117" s="1017"/>
      <c r="BX117" s="1017"/>
      <c r="BY117" s="1017"/>
      <c r="BZ117" s="1017"/>
      <c r="CA117" s="1017"/>
      <c r="CB117" s="1017"/>
      <c r="CC117" s="1017"/>
      <c r="CD117" s="1017"/>
      <c r="CE117" s="1017"/>
      <c r="CF117" s="1017"/>
      <c r="CG117" s="1017"/>
      <c r="CH117" s="1017"/>
      <c r="CI117" s="1017"/>
      <c r="CJ117" s="1017"/>
      <c r="CK117" s="1017"/>
      <c r="CL117" s="1017"/>
      <c r="CM117" s="1017"/>
      <c r="CN117" s="1017"/>
      <c r="CO117" s="1017"/>
      <c r="CP117" s="1017"/>
      <c r="CQ117" s="1017"/>
      <c r="CR117" s="1017"/>
      <c r="CS117" s="1017"/>
      <c r="CT117" s="1017"/>
      <c r="CU117" s="1017"/>
      <c r="CV117" s="1017"/>
      <c r="CW117" s="1017"/>
      <c r="CX117" s="1017"/>
      <c r="CY117" s="1017"/>
      <c r="CZ117" s="1017"/>
      <c r="DA117" s="1017"/>
      <c r="DB117" s="1017"/>
      <c r="DC117" s="1017"/>
      <c r="DD117" s="1017"/>
      <c r="DE117" s="1017"/>
      <c r="DF117" s="1017"/>
      <c r="DG117" s="1017"/>
      <c r="DH117" s="1017"/>
      <c r="DI117" s="1017"/>
      <c r="DJ117" s="1017"/>
      <c r="DK117" s="1017"/>
      <c r="DL117" s="1017"/>
      <c r="DM117" s="1017"/>
      <c r="DN117" s="1017"/>
      <c r="DO117" s="1017"/>
      <c r="DP117" s="1017"/>
      <c r="DQ117" s="1017"/>
      <c r="DR117" s="1017"/>
      <c r="DS117" s="1017"/>
      <c r="DT117" s="1017"/>
      <c r="DU117" s="1017"/>
      <c r="DV117" s="1017"/>
      <c r="DW117" s="1017"/>
      <c r="DX117" s="1017"/>
      <c r="DY117" s="1017"/>
      <c r="DZ117" s="1017"/>
      <c r="EA117" s="1017"/>
      <c r="EB117" s="1017"/>
      <c r="EC117" s="1017"/>
      <c r="ED117" s="1017"/>
      <c r="EE117" s="1017"/>
      <c r="EF117" s="1017"/>
      <c r="EG117" s="1017"/>
      <c r="EH117" s="1017"/>
      <c r="EI117" s="1017"/>
      <c r="EJ117" s="1017"/>
      <c r="EK117" s="1017"/>
      <c r="EL117" s="1017"/>
      <c r="EM117" s="1017"/>
      <c r="EN117" s="1017"/>
      <c r="EO117" s="1017"/>
      <c r="EP117" s="1017"/>
      <c r="EQ117" s="1017"/>
      <c r="ER117" s="1017"/>
      <c r="ES117" s="1017"/>
      <c r="ET117" s="1017"/>
      <c r="EU117" s="1017"/>
      <c r="EV117" s="1017"/>
      <c r="EW117" s="1017"/>
      <c r="EX117" s="1017"/>
      <c r="EY117" s="1017"/>
      <c r="EZ117" s="1017"/>
      <c r="FA117" s="1017"/>
      <c r="FB117" s="1017"/>
      <c r="FC117" s="1017"/>
      <c r="FD117" s="1017"/>
      <c r="FE117" s="1017"/>
      <c r="FF117" s="1017"/>
      <c r="FG117" s="1017"/>
      <c r="FH117" s="1017"/>
      <c r="FI117" s="1017"/>
      <c r="FJ117" s="1017"/>
      <c r="FK117" s="1017"/>
      <c r="FL117" s="1017"/>
      <c r="FM117" s="1017"/>
      <c r="FN117" s="1017"/>
      <c r="FO117" s="1017"/>
      <c r="FP117" s="1017"/>
      <c r="FQ117" s="1017"/>
      <c r="FR117" s="1017"/>
      <c r="FS117" s="1017"/>
      <c r="FT117" s="1017"/>
      <c r="FU117" s="1017"/>
      <c r="FV117" s="1017"/>
      <c r="FW117" s="1017"/>
      <c r="FX117" s="1017"/>
      <c r="FY117" s="1017"/>
      <c r="FZ117" s="1017"/>
      <c r="GA117" s="1017"/>
      <c r="GB117" s="1017"/>
      <c r="GC117" s="1017"/>
      <c r="GD117" s="1017"/>
      <c r="GE117" s="1017"/>
      <c r="GF117" s="1017"/>
      <c r="GG117" s="1017"/>
      <c r="GH117" s="1017"/>
      <c r="GI117" s="1017"/>
      <c r="GJ117" s="1017"/>
      <c r="GK117" s="1017"/>
      <c r="GL117" s="1017"/>
      <c r="GM117" s="1017"/>
      <c r="GN117" s="1017"/>
      <c r="GO117" s="1017"/>
      <c r="GP117" s="1017"/>
      <c r="GQ117" s="1017"/>
      <c r="GR117" s="1017"/>
      <c r="GS117" s="1017"/>
      <c r="GT117" s="1017"/>
      <c r="GU117" s="1017"/>
      <c r="GV117" s="1017"/>
      <c r="GW117" s="1017"/>
      <c r="GX117" s="1017"/>
      <c r="GY117" s="1017"/>
      <c r="GZ117" s="1017"/>
      <c r="HA117" s="1017"/>
      <c r="HB117" s="1017"/>
      <c r="HC117" s="1017"/>
      <c r="HD117" s="1017"/>
      <c r="HE117" s="1017"/>
      <c r="HF117" s="1017"/>
      <c r="HG117" s="1017"/>
      <c r="HH117" s="1017"/>
      <c r="HI117" s="1017"/>
      <c r="HJ117" s="1017"/>
      <c r="HK117" s="1017"/>
      <c r="HL117" s="1017"/>
      <c r="HM117" s="1017"/>
      <c r="HN117" s="1017"/>
      <c r="HO117" s="1017"/>
      <c r="HP117" s="1017"/>
      <c r="HQ117" s="1017"/>
      <c r="HR117" s="1017"/>
      <c r="HS117" s="1017"/>
      <c r="HT117" s="1017"/>
      <c r="HU117" s="1017"/>
      <c r="HV117" s="1017"/>
      <c r="HW117" s="1017"/>
      <c r="HX117" s="1017"/>
      <c r="HY117" s="1017"/>
      <c r="HZ117" s="1017"/>
      <c r="IA117" s="1017"/>
      <c r="IB117" s="1017"/>
      <c r="IC117" s="1017"/>
      <c r="ID117" s="1017"/>
      <c r="IE117" s="1017"/>
      <c r="IF117" s="1017"/>
      <c r="IG117" s="1017"/>
      <c r="IH117" s="1017"/>
      <c r="II117" s="1017"/>
      <c r="IJ117" s="1017"/>
      <c r="IK117" s="1017"/>
      <c r="IL117" s="1017"/>
      <c r="IM117" s="1017"/>
    </row>
    <row r="118" spans="1:247">
      <c r="A118" s="1052" t="s">
        <v>985</v>
      </c>
      <c r="B118" s="1053"/>
      <c r="C118" s="1071">
        <v>0</v>
      </c>
      <c r="D118" s="1068">
        <v>0</v>
      </c>
      <c r="E118" s="1069">
        <v>97.84</v>
      </c>
      <c r="F118" s="1069">
        <v>98.34</v>
      </c>
      <c r="G118" s="1070">
        <v>98.84</v>
      </c>
      <c r="H118" s="1072">
        <v>0</v>
      </c>
      <c r="I118" s="1072">
        <v>0</v>
      </c>
      <c r="J118" s="1072">
        <v>0</v>
      </c>
      <c r="K118" s="1073">
        <v>0</v>
      </c>
      <c r="L118" s="1028"/>
      <c r="M118" s="1068"/>
      <c r="N118" s="1050">
        <f t="shared" si="59"/>
        <v>0</v>
      </c>
      <c r="O118" s="1068">
        <v>0</v>
      </c>
      <c r="P118" s="1069">
        <v>0</v>
      </c>
      <c r="Q118" s="1069">
        <v>0</v>
      </c>
      <c r="R118" s="1068">
        <f t="shared" si="76"/>
        <v>0</v>
      </c>
      <c r="S118" s="1069">
        <f t="shared" si="76"/>
        <v>0</v>
      </c>
      <c r="T118" s="1069">
        <f t="shared" si="76"/>
        <v>0</v>
      </c>
      <c r="U118" s="1071">
        <f t="shared" si="56"/>
        <v>0</v>
      </c>
      <c r="V118" s="948"/>
      <c r="W118" s="1045">
        <f>O118</f>
        <v>0</v>
      </c>
      <c r="X118" s="1046">
        <v>0</v>
      </c>
      <c r="Y118" s="1045">
        <f>X118-W118</f>
        <v>0</v>
      </c>
      <c r="Z118" s="1051">
        <f t="shared" si="80"/>
        <v>0</v>
      </c>
      <c r="AA118" s="1017"/>
      <c r="AB118" s="952"/>
      <c r="AC118" s="1017"/>
      <c r="AD118" s="1017"/>
      <c r="AE118" s="1017"/>
      <c r="AF118" s="1017"/>
      <c r="AG118" s="1017"/>
      <c r="AH118" s="1017"/>
      <c r="AI118" s="1017"/>
      <c r="AJ118" s="1017"/>
      <c r="AK118" s="1017"/>
      <c r="AL118" s="1017"/>
      <c r="AM118" s="1017"/>
      <c r="AN118" s="1017"/>
      <c r="AO118" s="1017"/>
      <c r="AP118" s="1017"/>
      <c r="AQ118" s="1017"/>
      <c r="AR118" s="1017"/>
      <c r="AS118" s="1017"/>
      <c r="AT118" s="1017"/>
      <c r="AU118" s="1017"/>
      <c r="AV118" s="1017"/>
      <c r="AW118" s="1017"/>
      <c r="AX118" s="1017"/>
      <c r="AY118" s="1017"/>
      <c r="AZ118" s="1017"/>
      <c r="BA118" s="1017"/>
      <c r="BB118" s="1017"/>
      <c r="BC118" s="1017"/>
      <c r="BD118" s="1017"/>
      <c r="BE118" s="1017"/>
      <c r="BF118" s="1017"/>
      <c r="BG118" s="1017"/>
      <c r="BH118" s="1017"/>
      <c r="BI118" s="1017"/>
      <c r="BJ118" s="1017"/>
      <c r="BK118" s="1017"/>
      <c r="BL118" s="1017"/>
      <c r="BM118" s="1017"/>
      <c r="BN118" s="1017"/>
      <c r="BO118" s="1017"/>
      <c r="BP118" s="1017"/>
      <c r="BQ118" s="1017"/>
      <c r="BR118" s="1017"/>
      <c r="BS118" s="1017"/>
      <c r="BT118" s="1017"/>
      <c r="BU118" s="1017"/>
      <c r="BV118" s="1017"/>
      <c r="BW118" s="1017"/>
      <c r="BX118" s="1017"/>
      <c r="BY118" s="1017"/>
      <c r="BZ118" s="1017"/>
      <c r="CA118" s="1017"/>
      <c r="CB118" s="1017"/>
      <c r="CC118" s="1017"/>
      <c r="CD118" s="1017"/>
      <c r="CE118" s="1017"/>
      <c r="CF118" s="1017"/>
      <c r="CG118" s="1017"/>
      <c r="CH118" s="1017"/>
      <c r="CI118" s="1017"/>
      <c r="CJ118" s="1017"/>
      <c r="CK118" s="1017"/>
      <c r="CL118" s="1017"/>
      <c r="CM118" s="1017"/>
      <c r="CN118" s="1017"/>
      <c r="CO118" s="1017"/>
      <c r="CP118" s="1017"/>
      <c r="CQ118" s="1017"/>
      <c r="CR118" s="1017"/>
      <c r="CS118" s="1017"/>
      <c r="CT118" s="1017"/>
      <c r="CU118" s="1017"/>
      <c r="CV118" s="1017"/>
      <c r="CW118" s="1017"/>
      <c r="CX118" s="1017"/>
      <c r="CY118" s="1017"/>
      <c r="CZ118" s="1017"/>
      <c r="DA118" s="1017"/>
      <c r="DB118" s="1017"/>
      <c r="DC118" s="1017"/>
      <c r="DD118" s="1017"/>
      <c r="DE118" s="1017"/>
      <c r="DF118" s="1017"/>
      <c r="DG118" s="1017"/>
      <c r="DH118" s="1017"/>
      <c r="DI118" s="1017"/>
      <c r="DJ118" s="1017"/>
      <c r="DK118" s="1017"/>
      <c r="DL118" s="1017"/>
      <c r="DM118" s="1017"/>
      <c r="DN118" s="1017"/>
      <c r="DO118" s="1017"/>
      <c r="DP118" s="1017"/>
      <c r="DQ118" s="1017"/>
      <c r="DR118" s="1017"/>
      <c r="DS118" s="1017"/>
      <c r="DT118" s="1017"/>
      <c r="DU118" s="1017"/>
      <c r="DV118" s="1017"/>
      <c r="DW118" s="1017"/>
      <c r="DX118" s="1017"/>
      <c r="DY118" s="1017"/>
      <c r="DZ118" s="1017"/>
      <c r="EA118" s="1017"/>
      <c r="EB118" s="1017"/>
      <c r="EC118" s="1017"/>
      <c r="ED118" s="1017"/>
      <c r="EE118" s="1017"/>
      <c r="EF118" s="1017"/>
      <c r="EG118" s="1017"/>
      <c r="EH118" s="1017"/>
      <c r="EI118" s="1017"/>
      <c r="EJ118" s="1017"/>
      <c r="EK118" s="1017"/>
      <c r="EL118" s="1017"/>
      <c r="EM118" s="1017"/>
      <c r="EN118" s="1017"/>
      <c r="EO118" s="1017"/>
      <c r="EP118" s="1017"/>
      <c r="EQ118" s="1017"/>
      <c r="ER118" s="1017"/>
      <c r="ES118" s="1017"/>
      <c r="ET118" s="1017"/>
      <c r="EU118" s="1017"/>
      <c r="EV118" s="1017"/>
      <c r="EW118" s="1017"/>
      <c r="EX118" s="1017"/>
      <c r="EY118" s="1017"/>
      <c r="EZ118" s="1017"/>
      <c r="FA118" s="1017"/>
      <c r="FB118" s="1017"/>
      <c r="FC118" s="1017"/>
      <c r="FD118" s="1017"/>
      <c r="FE118" s="1017"/>
      <c r="FF118" s="1017"/>
      <c r="FG118" s="1017"/>
      <c r="FH118" s="1017"/>
      <c r="FI118" s="1017"/>
      <c r="FJ118" s="1017"/>
      <c r="FK118" s="1017"/>
      <c r="FL118" s="1017"/>
      <c r="FM118" s="1017"/>
      <c r="FN118" s="1017"/>
      <c r="FO118" s="1017"/>
      <c r="FP118" s="1017"/>
      <c r="FQ118" s="1017"/>
      <c r="FR118" s="1017"/>
      <c r="FS118" s="1017"/>
      <c r="FT118" s="1017"/>
      <c r="FU118" s="1017"/>
      <c r="FV118" s="1017"/>
      <c r="FW118" s="1017"/>
      <c r="FX118" s="1017"/>
      <c r="FY118" s="1017"/>
      <c r="FZ118" s="1017"/>
      <c r="GA118" s="1017"/>
      <c r="GB118" s="1017"/>
      <c r="GC118" s="1017"/>
      <c r="GD118" s="1017"/>
      <c r="GE118" s="1017"/>
      <c r="GF118" s="1017"/>
      <c r="GG118" s="1017"/>
      <c r="GH118" s="1017"/>
      <c r="GI118" s="1017"/>
      <c r="GJ118" s="1017"/>
      <c r="GK118" s="1017"/>
      <c r="GL118" s="1017"/>
      <c r="GM118" s="1017"/>
      <c r="GN118" s="1017"/>
      <c r="GO118" s="1017"/>
      <c r="GP118" s="1017"/>
      <c r="GQ118" s="1017"/>
      <c r="GR118" s="1017"/>
      <c r="GS118" s="1017"/>
      <c r="GT118" s="1017"/>
      <c r="GU118" s="1017"/>
      <c r="GV118" s="1017"/>
      <c r="GW118" s="1017"/>
      <c r="GX118" s="1017"/>
      <c r="GY118" s="1017"/>
      <c r="GZ118" s="1017"/>
      <c r="HA118" s="1017"/>
      <c r="HB118" s="1017"/>
      <c r="HC118" s="1017"/>
      <c r="HD118" s="1017"/>
      <c r="HE118" s="1017"/>
      <c r="HF118" s="1017"/>
      <c r="HG118" s="1017"/>
      <c r="HH118" s="1017"/>
      <c r="HI118" s="1017"/>
      <c r="HJ118" s="1017"/>
      <c r="HK118" s="1017"/>
      <c r="HL118" s="1017"/>
      <c r="HM118" s="1017"/>
      <c r="HN118" s="1017"/>
      <c r="HO118" s="1017"/>
      <c r="HP118" s="1017"/>
      <c r="HQ118" s="1017"/>
      <c r="HR118" s="1017"/>
      <c r="HS118" s="1017"/>
      <c r="HT118" s="1017"/>
      <c r="HU118" s="1017"/>
      <c r="HV118" s="1017"/>
      <c r="HW118" s="1017"/>
      <c r="HX118" s="1017"/>
      <c r="HY118" s="1017"/>
      <c r="HZ118" s="1017"/>
      <c r="IA118" s="1017"/>
      <c r="IB118" s="1017"/>
      <c r="IC118" s="1017"/>
      <c r="ID118" s="1017"/>
      <c r="IE118" s="1017"/>
      <c r="IF118" s="1017"/>
      <c r="IG118" s="1017"/>
      <c r="IH118" s="1017"/>
      <c r="II118" s="1017"/>
      <c r="IJ118" s="1017"/>
      <c r="IK118" s="1017"/>
      <c r="IL118" s="1017"/>
      <c r="IM118" s="1017"/>
    </row>
    <row r="119" spans="1:247">
      <c r="A119" s="1052" t="s">
        <v>986</v>
      </c>
      <c r="B119" s="1053"/>
      <c r="C119" s="1050">
        <f>C102-SUM(C103:C118)</f>
        <v>247.03103815000031</v>
      </c>
      <c r="D119" s="1045">
        <f t="shared" ref="D119:G119" si="81">D102-SUM(D103:D118)</f>
        <v>241.1989999999987</v>
      </c>
      <c r="E119" s="1046">
        <f t="shared" si="81"/>
        <v>264.59542999999758</v>
      </c>
      <c r="F119" s="1046">
        <f t="shared" si="81"/>
        <v>258.30511300000217</v>
      </c>
      <c r="G119" s="1047">
        <f t="shared" si="81"/>
        <v>251.75781199999619</v>
      </c>
      <c r="H119" s="1048">
        <v>241.1989999999987</v>
      </c>
      <c r="I119" s="1048">
        <v>264.59542999999758</v>
      </c>
      <c r="J119" s="1048">
        <v>258.30511300000217</v>
      </c>
      <c r="K119" s="1049">
        <v>251.75781199999619</v>
      </c>
      <c r="L119" s="1028"/>
      <c r="M119" s="1045"/>
      <c r="N119" s="1050">
        <f t="shared" si="59"/>
        <v>241.1989999999987</v>
      </c>
      <c r="O119" s="1045">
        <v>246.00065946570803</v>
      </c>
      <c r="P119" s="1046">
        <v>250.31921687070906</v>
      </c>
      <c r="Q119" s="1046">
        <v>255.49673472785298</v>
      </c>
      <c r="R119" s="1045">
        <f t="shared" ref="R119:T119" si="82">I119-O119</f>
        <v>18.594770534289552</v>
      </c>
      <c r="S119" s="1046">
        <f t="shared" si="82"/>
        <v>7.9858961292931099</v>
      </c>
      <c r="T119" s="1046">
        <f t="shared" si="82"/>
        <v>-3.7389227278567887</v>
      </c>
      <c r="U119" s="1050">
        <f t="shared" si="56"/>
        <v>4.8016594657093208</v>
      </c>
      <c r="V119" s="948"/>
      <c r="W119" s="1045">
        <f>O119</f>
        <v>246.00065946570803</v>
      </c>
      <c r="X119" s="1046">
        <v>264.59542999999758</v>
      </c>
      <c r="Y119" s="1045">
        <f t="shared" si="78"/>
        <v>18.594770534289552</v>
      </c>
      <c r="Z119" s="1051">
        <f t="shared" si="80"/>
        <v>2.0777363179790939E-2</v>
      </c>
      <c r="AA119" s="1017"/>
      <c r="AB119" s="952"/>
      <c r="AC119" s="1017"/>
      <c r="AD119" s="1017"/>
      <c r="AE119" s="1017"/>
      <c r="AF119" s="1017"/>
      <c r="AG119" s="1017"/>
      <c r="AH119" s="1017"/>
      <c r="AI119" s="1017"/>
      <c r="AJ119" s="1017"/>
      <c r="AK119" s="1017"/>
      <c r="AL119" s="1017"/>
      <c r="AM119" s="1017"/>
      <c r="AN119" s="1017"/>
      <c r="AO119" s="1017"/>
      <c r="AP119" s="1017"/>
      <c r="AQ119" s="1017"/>
      <c r="AR119" s="1017"/>
      <c r="AS119" s="1017"/>
      <c r="AT119" s="1017"/>
      <c r="AU119" s="1017"/>
      <c r="AV119" s="1017"/>
      <c r="AW119" s="1017"/>
      <c r="AX119" s="1017"/>
      <c r="AY119" s="1017"/>
      <c r="AZ119" s="1017"/>
      <c r="BA119" s="1017"/>
      <c r="BB119" s="1017"/>
      <c r="BC119" s="1017"/>
      <c r="BD119" s="1017"/>
      <c r="BE119" s="1017"/>
      <c r="BF119" s="1017"/>
      <c r="BG119" s="1017"/>
      <c r="BH119" s="1017"/>
      <c r="BI119" s="1017"/>
      <c r="BJ119" s="1017"/>
      <c r="BK119" s="1017"/>
      <c r="BL119" s="1017"/>
      <c r="BM119" s="1017"/>
      <c r="BN119" s="1017"/>
      <c r="BO119" s="1017"/>
      <c r="BP119" s="1017"/>
      <c r="BQ119" s="1017"/>
      <c r="BR119" s="1017"/>
      <c r="BS119" s="1017"/>
      <c r="BT119" s="1017"/>
      <c r="BU119" s="1017"/>
      <c r="BV119" s="1017"/>
      <c r="BW119" s="1017"/>
      <c r="BX119" s="1017"/>
      <c r="BY119" s="1017"/>
      <c r="BZ119" s="1017"/>
      <c r="CA119" s="1017"/>
      <c r="CB119" s="1017"/>
      <c r="CC119" s="1017"/>
      <c r="CD119" s="1017"/>
      <c r="CE119" s="1017"/>
      <c r="CF119" s="1017"/>
      <c r="CG119" s="1017"/>
      <c r="CH119" s="1017"/>
      <c r="CI119" s="1017"/>
      <c r="CJ119" s="1017"/>
      <c r="CK119" s="1017"/>
      <c r="CL119" s="1017"/>
      <c r="CM119" s="1017"/>
      <c r="CN119" s="1017"/>
      <c r="CO119" s="1017"/>
      <c r="CP119" s="1017"/>
      <c r="CQ119" s="1017"/>
      <c r="CR119" s="1017"/>
      <c r="CS119" s="1017"/>
      <c r="CT119" s="1017"/>
      <c r="CU119" s="1017"/>
      <c r="CV119" s="1017"/>
      <c r="CW119" s="1017"/>
      <c r="CX119" s="1017"/>
      <c r="CY119" s="1017"/>
      <c r="CZ119" s="1017"/>
      <c r="DA119" s="1017"/>
      <c r="DB119" s="1017"/>
      <c r="DC119" s="1017"/>
      <c r="DD119" s="1017"/>
      <c r="DE119" s="1017"/>
      <c r="DF119" s="1017"/>
      <c r="DG119" s="1017"/>
      <c r="DH119" s="1017"/>
      <c r="DI119" s="1017"/>
      <c r="DJ119" s="1017"/>
      <c r="DK119" s="1017"/>
      <c r="DL119" s="1017"/>
      <c r="DM119" s="1017"/>
      <c r="DN119" s="1017"/>
      <c r="DO119" s="1017"/>
      <c r="DP119" s="1017"/>
      <c r="DQ119" s="1017"/>
      <c r="DR119" s="1017"/>
      <c r="DS119" s="1017"/>
      <c r="DT119" s="1017"/>
      <c r="DU119" s="1017"/>
      <c r="DV119" s="1017"/>
      <c r="DW119" s="1017"/>
      <c r="DX119" s="1017"/>
      <c r="DY119" s="1017"/>
      <c r="DZ119" s="1017"/>
      <c r="EA119" s="1017"/>
      <c r="EB119" s="1017"/>
      <c r="EC119" s="1017"/>
      <c r="ED119" s="1017"/>
      <c r="EE119" s="1017"/>
      <c r="EF119" s="1017"/>
      <c r="EG119" s="1017"/>
      <c r="EH119" s="1017"/>
      <c r="EI119" s="1017"/>
      <c r="EJ119" s="1017"/>
      <c r="EK119" s="1017"/>
      <c r="EL119" s="1017"/>
      <c r="EM119" s="1017"/>
      <c r="EN119" s="1017"/>
      <c r="EO119" s="1017"/>
      <c r="EP119" s="1017"/>
      <c r="EQ119" s="1017"/>
      <c r="ER119" s="1017"/>
      <c r="ES119" s="1017"/>
      <c r="ET119" s="1017"/>
      <c r="EU119" s="1017"/>
      <c r="EV119" s="1017"/>
      <c r="EW119" s="1017"/>
      <c r="EX119" s="1017"/>
      <c r="EY119" s="1017"/>
      <c r="EZ119" s="1017"/>
      <c r="FA119" s="1017"/>
      <c r="FB119" s="1017"/>
      <c r="FC119" s="1017"/>
      <c r="FD119" s="1017"/>
      <c r="FE119" s="1017"/>
      <c r="FF119" s="1017"/>
      <c r="FG119" s="1017"/>
      <c r="FH119" s="1017"/>
      <c r="FI119" s="1017"/>
      <c r="FJ119" s="1017"/>
      <c r="FK119" s="1017"/>
      <c r="FL119" s="1017"/>
      <c r="FM119" s="1017"/>
      <c r="FN119" s="1017"/>
      <c r="FO119" s="1017"/>
      <c r="FP119" s="1017"/>
      <c r="FQ119" s="1017"/>
      <c r="FR119" s="1017"/>
      <c r="FS119" s="1017"/>
      <c r="FT119" s="1017"/>
      <c r="FU119" s="1017"/>
      <c r="FV119" s="1017"/>
      <c r="FW119" s="1017"/>
      <c r="FX119" s="1017"/>
      <c r="FY119" s="1017"/>
      <c r="FZ119" s="1017"/>
      <c r="GA119" s="1017"/>
      <c r="GB119" s="1017"/>
      <c r="GC119" s="1017"/>
      <c r="GD119" s="1017"/>
      <c r="GE119" s="1017"/>
      <c r="GF119" s="1017"/>
      <c r="GG119" s="1017"/>
      <c r="GH119" s="1017"/>
      <c r="GI119" s="1017"/>
      <c r="GJ119" s="1017"/>
      <c r="GK119" s="1017"/>
      <c r="GL119" s="1017"/>
      <c r="GM119" s="1017"/>
      <c r="GN119" s="1017"/>
      <c r="GO119" s="1017"/>
      <c r="GP119" s="1017"/>
      <c r="GQ119" s="1017"/>
      <c r="GR119" s="1017"/>
      <c r="GS119" s="1017"/>
      <c r="GT119" s="1017"/>
      <c r="GU119" s="1017"/>
      <c r="GV119" s="1017"/>
      <c r="GW119" s="1017"/>
      <c r="GX119" s="1017"/>
      <c r="GY119" s="1017"/>
      <c r="GZ119" s="1017"/>
      <c r="HA119" s="1017"/>
      <c r="HB119" s="1017"/>
      <c r="HC119" s="1017"/>
      <c r="HD119" s="1017"/>
      <c r="HE119" s="1017"/>
      <c r="HF119" s="1017"/>
      <c r="HG119" s="1017"/>
      <c r="HH119" s="1017"/>
      <c r="HI119" s="1017"/>
      <c r="HJ119" s="1017"/>
      <c r="HK119" s="1017"/>
      <c r="HL119" s="1017"/>
      <c r="HM119" s="1017"/>
      <c r="HN119" s="1017"/>
      <c r="HO119" s="1017"/>
      <c r="HP119" s="1017"/>
      <c r="HQ119" s="1017"/>
      <c r="HR119" s="1017"/>
      <c r="HS119" s="1017"/>
      <c r="HT119" s="1017"/>
      <c r="HU119" s="1017"/>
      <c r="HV119" s="1017"/>
      <c r="HW119" s="1017"/>
      <c r="HX119" s="1017"/>
      <c r="HY119" s="1017"/>
      <c r="HZ119" s="1017"/>
      <c r="IA119" s="1017"/>
      <c r="IB119" s="1017"/>
      <c r="IC119" s="1017"/>
      <c r="ID119" s="1017"/>
      <c r="IE119" s="1017"/>
      <c r="IF119" s="1017"/>
      <c r="IG119" s="1017"/>
      <c r="IH119" s="1017"/>
      <c r="II119" s="1017"/>
      <c r="IJ119" s="1017"/>
      <c r="IK119" s="1017"/>
      <c r="IL119" s="1017"/>
      <c r="IM119" s="1017"/>
    </row>
    <row r="120" spans="1:247" s="957" customFormat="1">
      <c r="A120" s="790" t="s">
        <v>987</v>
      </c>
      <c r="B120" s="1060" t="s">
        <v>988</v>
      </c>
      <c r="C120" s="1034">
        <v>1335.808</v>
      </c>
      <c r="D120" s="1061">
        <v>1109.5999999999999</v>
      </c>
      <c r="E120" s="1062">
        <v>1135.847</v>
      </c>
      <c r="F120" s="1062">
        <v>1125.58</v>
      </c>
      <c r="G120" s="1063">
        <v>1079.204</v>
      </c>
      <c r="H120" s="1064">
        <f>SUM(H121:H125)</f>
        <v>1194.8228552703556</v>
      </c>
      <c r="I120" s="1064">
        <f t="shared" ref="I120:J120" si="83">SUM(I121:I125)</f>
        <v>1232.2651634919832</v>
      </c>
      <c r="J120" s="1064">
        <f t="shared" si="83"/>
        <v>1211.5037011376105</v>
      </c>
      <c r="K120" s="1065">
        <f>SUM(K121:K125)</f>
        <v>1173.1339532772897</v>
      </c>
      <c r="L120" s="1028"/>
      <c r="M120" s="1106"/>
      <c r="N120" s="1034">
        <f t="shared" si="59"/>
        <v>1194.8228552703556</v>
      </c>
      <c r="O120" s="1066">
        <f>SUM(O121:O125)</f>
        <v>1226.6337145013931</v>
      </c>
      <c r="P120" s="1062">
        <f t="shared" ref="P120:Q120" si="84">SUM(P121:P125)</f>
        <v>1234.9821370862244</v>
      </c>
      <c r="Q120" s="1062">
        <f t="shared" si="84"/>
        <v>1189.0721996707234</v>
      </c>
      <c r="R120" s="1066">
        <f>SUM(R121:R125)</f>
        <v>5.6314489905901155</v>
      </c>
      <c r="S120" s="1062">
        <f t="shared" ref="S120:T120" si="85">SUM(S121:S125)</f>
        <v>-23.478435948613878</v>
      </c>
      <c r="T120" s="1062">
        <f t="shared" si="85"/>
        <v>-15.938246393433701</v>
      </c>
      <c r="U120" s="1034">
        <f t="shared" si="56"/>
        <v>31.810859231037512</v>
      </c>
      <c r="V120" s="1100"/>
      <c r="W120" s="1066">
        <f>O120</f>
        <v>1226.6337145013931</v>
      </c>
      <c r="X120" s="1062">
        <f>P120</f>
        <v>1234.9821370862244</v>
      </c>
      <c r="Y120" s="1066">
        <f t="shared" si="78"/>
        <v>8.348422584831269</v>
      </c>
      <c r="Z120" s="1067">
        <f t="shared" si="80"/>
        <v>9.3283328075247796E-3</v>
      </c>
      <c r="AA120" s="1042"/>
      <c r="AB120" s="952"/>
      <c r="AC120" s="1042"/>
      <c r="AD120" s="1042"/>
      <c r="AE120" s="1042"/>
      <c r="AF120" s="1042"/>
      <c r="AG120" s="1042"/>
      <c r="AH120" s="1042"/>
      <c r="AI120" s="1042"/>
      <c r="AJ120" s="1042"/>
      <c r="AK120" s="1042"/>
      <c r="AL120" s="1042"/>
      <c r="AM120" s="1042"/>
      <c r="AN120" s="1042"/>
      <c r="AO120" s="1042"/>
      <c r="AP120" s="1042"/>
      <c r="AQ120" s="1042"/>
      <c r="AR120" s="1042"/>
      <c r="AS120" s="1042"/>
      <c r="AT120" s="1042"/>
      <c r="AU120" s="1042"/>
      <c r="AV120" s="1042"/>
      <c r="AW120" s="1042"/>
      <c r="AX120" s="1042"/>
      <c r="AY120" s="1042"/>
      <c r="AZ120" s="1042"/>
      <c r="BA120" s="1042"/>
      <c r="BB120" s="1042"/>
      <c r="BC120" s="1042"/>
      <c r="BD120" s="1042"/>
      <c r="BE120" s="1042"/>
      <c r="BF120" s="1042"/>
      <c r="BG120" s="1042"/>
      <c r="BH120" s="1042"/>
      <c r="BI120" s="1042"/>
      <c r="BJ120" s="1042"/>
      <c r="BK120" s="1042"/>
      <c r="BL120" s="1042"/>
      <c r="BM120" s="1042"/>
      <c r="BN120" s="1042"/>
      <c r="BO120" s="1042"/>
      <c r="BP120" s="1042"/>
      <c r="BQ120" s="1042"/>
      <c r="BR120" s="1042"/>
      <c r="BS120" s="1042"/>
      <c r="BT120" s="1042"/>
      <c r="BU120" s="1042"/>
      <c r="BV120" s="1042"/>
      <c r="BW120" s="1042"/>
      <c r="BX120" s="1042"/>
      <c r="BY120" s="1042"/>
      <c r="BZ120" s="1042"/>
      <c r="CA120" s="1042"/>
      <c r="CB120" s="1042"/>
      <c r="CC120" s="1042"/>
      <c r="CD120" s="1042"/>
      <c r="CE120" s="1042"/>
      <c r="CF120" s="1042"/>
      <c r="CG120" s="1042"/>
      <c r="CH120" s="1042"/>
      <c r="CI120" s="1042"/>
      <c r="CJ120" s="1042"/>
      <c r="CK120" s="1042"/>
      <c r="CL120" s="1042"/>
      <c r="CM120" s="1042"/>
      <c r="CN120" s="1042"/>
      <c r="CO120" s="1042"/>
      <c r="CP120" s="1042"/>
      <c r="CQ120" s="1042"/>
      <c r="CR120" s="1042"/>
      <c r="CS120" s="1042"/>
      <c r="CT120" s="1042"/>
      <c r="CU120" s="1042"/>
      <c r="CV120" s="1042"/>
      <c r="CW120" s="1042"/>
      <c r="CX120" s="1042"/>
      <c r="CY120" s="1042"/>
      <c r="CZ120" s="1042"/>
      <c r="DA120" s="1042"/>
      <c r="DB120" s="1042"/>
      <c r="DC120" s="1042"/>
      <c r="DD120" s="1042"/>
      <c r="DE120" s="1042"/>
      <c r="DF120" s="1042"/>
      <c r="DG120" s="1042"/>
      <c r="DH120" s="1042"/>
      <c r="DI120" s="1042"/>
      <c r="DJ120" s="1042"/>
      <c r="DK120" s="1042"/>
      <c r="DL120" s="1042"/>
      <c r="DM120" s="1042"/>
      <c r="DN120" s="1042"/>
      <c r="DO120" s="1042"/>
      <c r="DP120" s="1042"/>
      <c r="DQ120" s="1042"/>
      <c r="DR120" s="1042"/>
      <c r="DS120" s="1042"/>
      <c r="DT120" s="1042"/>
      <c r="DU120" s="1042"/>
      <c r="DV120" s="1042"/>
      <c r="DW120" s="1042"/>
      <c r="DX120" s="1042"/>
      <c r="DY120" s="1042"/>
      <c r="DZ120" s="1042"/>
      <c r="EA120" s="1042"/>
      <c r="EB120" s="1042"/>
      <c r="EC120" s="1042"/>
      <c r="ED120" s="1042"/>
      <c r="EE120" s="1042"/>
      <c r="EF120" s="1042"/>
      <c r="EG120" s="1042"/>
      <c r="EH120" s="1042"/>
      <c r="EI120" s="1042"/>
      <c r="EJ120" s="1042"/>
      <c r="EK120" s="1042"/>
      <c r="EL120" s="1042"/>
      <c r="EM120" s="1042"/>
      <c r="EN120" s="1042"/>
      <c r="EO120" s="1042"/>
      <c r="EP120" s="1042"/>
      <c r="EQ120" s="1042"/>
      <c r="ER120" s="1042"/>
      <c r="ES120" s="1042"/>
      <c r="ET120" s="1042"/>
      <c r="EU120" s="1042"/>
      <c r="EV120" s="1042"/>
      <c r="EW120" s="1042"/>
      <c r="EX120" s="1042"/>
      <c r="EY120" s="1042"/>
      <c r="EZ120" s="1042"/>
      <c r="FA120" s="1042"/>
      <c r="FB120" s="1042"/>
      <c r="FC120" s="1042"/>
      <c r="FD120" s="1042"/>
      <c r="FE120" s="1042"/>
      <c r="FF120" s="1042"/>
      <c r="FG120" s="1042"/>
      <c r="FH120" s="1042"/>
      <c r="FI120" s="1042"/>
      <c r="FJ120" s="1042"/>
      <c r="FK120" s="1042"/>
      <c r="FL120" s="1042"/>
      <c r="FM120" s="1042"/>
      <c r="FN120" s="1042"/>
      <c r="FO120" s="1042"/>
      <c r="FP120" s="1042"/>
      <c r="FQ120" s="1042"/>
      <c r="FR120" s="1042"/>
      <c r="FS120" s="1042"/>
      <c r="FT120" s="1042"/>
      <c r="FU120" s="1042"/>
      <c r="FV120" s="1042"/>
      <c r="FW120" s="1042"/>
      <c r="FX120" s="1042"/>
      <c r="FY120" s="1042"/>
      <c r="FZ120" s="1042"/>
      <c r="GA120" s="1042"/>
      <c r="GB120" s="1042"/>
      <c r="GC120" s="1042"/>
      <c r="GD120" s="1042"/>
      <c r="GE120" s="1042"/>
      <c r="GF120" s="1042"/>
      <c r="GG120" s="1042"/>
      <c r="GH120" s="1042"/>
      <c r="GI120" s="1042"/>
      <c r="GJ120" s="1042"/>
      <c r="GK120" s="1042"/>
      <c r="GL120" s="1042"/>
      <c r="GM120" s="1042"/>
      <c r="GN120" s="1042"/>
      <c r="GO120" s="1042"/>
      <c r="GP120" s="1042"/>
      <c r="GQ120" s="1042"/>
      <c r="GR120" s="1042"/>
      <c r="GS120" s="1042"/>
      <c r="GT120" s="1042"/>
      <c r="GU120" s="1042"/>
      <c r="GV120" s="1042"/>
      <c r="GW120" s="1042"/>
      <c r="GX120" s="1042"/>
      <c r="GY120" s="1042"/>
      <c r="GZ120" s="1042"/>
      <c r="HA120" s="1042"/>
      <c r="HB120" s="1042"/>
      <c r="HC120" s="1042"/>
      <c r="HD120" s="1042"/>
      <c r="HE120" s="1042"/>
      <c r="HF120" s="1042"/>
      <c r="HG120" s="1042"/>
      <c r="HH120" s="1042"/>
      <c r="HI120" s="1042"/>
      <c r="HJ120" s="1042"/>
      <c r="HK120" s="1042"/>
      <c r="HL120" s="1042"/>
      <c r="HM120" s="1042"/>
      <c r="HN120" s="1042"/>
      <c r="HO120" s="1042"/>
      <c r="HP120" s="1042"/>
      <c r="HQ120" s="1042"/>
      <c r="HR120" s="1042"/>
      <c r="HS120" s="1042"/>
      <c r="HT120" s="1042"/>
      <c r="HU120" s="1042"/>
      <c r="HV120" s="1042"/>
      <c r="HW120" s="1042"/>
      <c r="HX120" s="1042"/>
      <c r="HY120" s="1042"/>
      <c r="HZ120" s="1042"/>
      <c r="IA120" s="1042"/>
      <c r="IB120" s="1042"/>
      <c r="IC120" s="1042"/>
      <c r="ID120" s="1042"/>
      <c r="IE120" s="1042"/>
      <c r="IF120" s="1042"/>
      <c r="IG120" s="1042"/>
      <c r="IH120" s="1042"/>
      <c r="II120" s="1042"/>
      <c r="IJ120" s="1042"/>
      <c r="IK120" s="1042"/>
      <c r="IL120" s="1042"/>
      <c r="IM120" s="1042"/>
    </row>
    <row r="121" spans="1:247">
      <c r="A121" s="1052" t="s">
        <v>962</v>
      </c>
      <c r="B121" s="1053"/>
      <c r="C121" s="1050">
        <v>26.468</v>
      </c>
      <c r="D121" s="1045">
        <v>0</v>
      </c>
      <c r="E121" s="1046">
        <v>0</v>
      </c>
      <c r="F121" s="1046">
        <v>0</v>
      </c>
      <c r="G121" s="1047">
        <v>0</v>
      </c>
      <c r="H121" s="1046">
        <v>28.38</v>
      </c>
      <c r="I121" s="1046">
        <v>28.38</v>
      </c>
      <c r="J121" s="1046">
        <v>28.38</v>
      </c>
      <c r="K121" s="1047">
        <v>28.38</v>
      </c>
      <c r="L121" s="1028"/>
      <c r="M121" s="1074"/>
      <c r="N121" s="1050">
        <f t="shared" si="59"/>
        <v>28.38</v>
      </c>
      <c r="O121" s="1045">
        <f>N121</f>
        <v>28.38</v>
      </c>
      <c r="P121" s="1046">
        <f t="shared" ref="P121:Q122" si="86">O121</f>
        <v>28.38</v>
      </c>
      <c r="Q121" s="1046">
        <f t="shared" si="86"/>
        <v>28.38</v>
      </c>
      <c r="R121" s="1045">
        <f t="shared" ref="R121:T125" si="87">I121-O121</f>
        <v>0</v>
      </c>
      <c r="S121" s="1046">
        <f t="shared" si="87"/>
        <v>0</v>
      </c>
      <c r="T121" s="1046">
        <f t="shared" si="87"/>
        <v>0</v>
      </c>
      <c r="U121" s="1050">
        <f t="shared" si="56"/>
        <v>0</v>
      </c>
      <c r="V121" s="948"/>
      <c r="W121" s="1045">
        <f t="shared" ref="W121:W124" si="88">O121</f>
        <v>28.38</v>
      </c>
      <c r="X121" s="1046">
        <v>28.38</v>
      </c>
      <c r="Y121" s="1045">
        <f t="shared" si="78"/>
        <v>0</v>
      </c>
      <c r="Z121" s="1051">
        <f t="shared" si="80"/>
        <v>0</v>
      </c>
      <c r="AA121" s="1017"/>
      <c r="AB121" s="952"/>
      <c r="AC121" s="1017"/>
      <c r="AD121" s="1017"/>
      <c r="AE121" s="1017"/>
      <c r="AF121" s="1017"/>
      <c r="AG121" s="1017"/>
      <c r="AH121" s="1017"/>
      <c r="AI121" s="1017"/>
      <c r="AJ121" s="1017"/>
      <c r="AK121" s="1017"/>
      <c r="AL121" s="1017"/>
      <c r="AM121" s="1017"/>
      <c r="AN121" s="1017"/>
      <c r="AO121" s="1017"/>
      <c r="AP121" s="1017"/>
      <c r="AQ121" s="1017"/>
      <c r="AR121" s="1017"/>
      <c r="AS121" s="1017"/>
      <c r="AT121" s="1017"/>
      <c r="AU121" s="1017"/>
      <c r="AV121" s="1017"/>
      <c r="AW121" s="1017"/>
      <c r="AX121" s="1017"/>
      <c r="AY121" s="1017"/>
      <c r="AZ121" s="1017"/>
      <c r="BA121" s="1017"/>
      <c r="BB121" s="1017"/>
      <c r="BC121" s="1017"/>
      <c r="BD121" s="1017"/>
      <c r="BE121" s="1017"/>
      <c r="BF121" s="1017"/>
      <c r="BG121" s="1017"/>
      <c r="BH121" s="1017"/>
      <c r="BI121" s="1017"/>
      <c r="BJ121" s="1017"/>
      <c r="BK121" s="1017"/>
      <c r="BL121" s="1017"/>
      <c r="BM121" s="1017"/>
      <c r="BN121" s="1017"/>
      <c r="BO121" s="1017"/>
      <c r="BP121" s="1017"/>
      <c r="BQ121" s="1017"/>
      <c r="BR121" s="1017"/>
      <c r="BS121" s="1017"/>
      <c r="BT121" s="1017"/>
      <c r="BU121" s="1017"/>
      <c r="BV121" s="1017"/>
      <c r="BW121" s="1017"/>
      <c r="BX121" s="1017"/>
      <c r="BY121" s="1017"/>
      <c r="BZ121" s="1017"/>
      <c r="CA121" s="1017"/>
      <c r="CB121" s="1017"/>
      <c r="CC121" s="1017"/>
      <c r="CD121" s="1017"/>
      <c r="CE121" s="1017"/>
      <c r="CF121" s="1017"/>
      <c r="CG121" s="1017"/>
      <c r="CH121" s="1017"/>
      <c r="CI121" s="1017"/>
      <c r="CJ121" s="1017"/>
      <c r="CK121" s="1017"/>
      <c r="CL121" s="1017"/>
      <c r="CM121" s="1017"/>
      <c r="CN121" s="1017"/>
      <c r="CO121" s="1017"/>
      <c r="CP121" s="1017"/>
      <c r="CQ121" s="1017"/>
      <c r="CR121" s="1017"/>
      <c r="CS121" s="1017"/>
      <c r="CT121" s="1017"/>
      <c r="CU121" s="1017"/>
      <c r="CV121" s="1017"/>
      <c r="CW121" s="1017"/>
      <c r="CX121" s="1017"/>
      <c r="CY121" s="1017"/>
      <c r="CZ121" s="1017"/>
      <c r="DA121" s="1017"/>
      <c r="DB121" s="1017"/>
      <c r="DC121" s="1017"/>
      <c r="DD121" s="1017"/>
      <c r="DE121" s="1017"/>
      <c r="DF121" s="1017"/>
      <c r="DG121" s="1017"/>
      <c r="DH121" s="1017"/>
      <c r="DI121" s="1017"/>
      <c r="DJ121" s="1017"/>
      <c r="DK121" s="1017"/>
      <c r="DL121" s="1017"/>
      <c r="DM121" s="1017"/>
      <c r="DN121" s="1017"/>
      <c r="DO121" s="1017"/>
      <c r="DP121" s="1017"/>
      <c r="DQ121" s="1017"/>
      <c r="DR121" s="1017"/>
      <c r="DS121" s="1017"/>
      <c r="DT121" s="1017"/>
      <c r="DU121" s="1017"/>
      <c r="DV121" s="1017"/>
      <c r="DW121" s="1017"/>
      <c r="DX121" s="1017"/>
      <c r="DY121" s="1017"/>
      <c r="DZ121" s="1017"/>
      <c r="EA121" s="1017"/>
      <c r="EB121" s="1017"/>
      <c r="EC121" s="1017"/>
      <c r="ED121" s="1017"/>
      <c r="EE121" s="1017"/>
      <c r="EF121" s="1017"/>
      <c r="EG121" s="1017"/>
      <c r="EH121" s="1017"/>
      <c r="EI121" s="1017"/>
      <c r="EJ121" s="1017"/>
      <c r="EK121" s="1017"/>
      <c r="EL121" s="1017"/>
      <c r="EM121" s="1017"/>
      <c r="EN121" s="1017"/>
      <c r="EO121" s="1017"/>
      <c r="EP121" s="1017"/>
      <c r="EQ121" s="1017"/>
      <c r="ER121" s="1017"/>
      <c r="ES121" s="1017"/>
      <c r="ET121" s="1017"/>
      <c r="EU121" s="1017"/>
      <c r="EV121" s="1017"/>
      <c r="EW121" s="1017"/>
      <c r="EX121" s="1017"/>
      <c r="EY121" s="1017"/>
      <c r="EZ121" s="1017"/>
      <c r="FA121" s="1017"/>
      <c r="FB121" s="1017"/>
      <c r="FC121" s="1017"/>
      <c r="FD121" s="1017"/>
      <c r="FE121" s="1017"/>
      <c r="FF121" s="1017"/>
      <c r="FG121" s="1017"/>
      <c r="FH121" s="1017"/>
      <c r="FI121" s="1017"/>
      <c r="FJ121" s="1017"/>
      <c r="FK121" s="1017"/>
      <c r="FL121" s="1017"/>
      <c r="FM121" s="1017"/>
      <c r="FN121" s="1017"/>
      <c r="FO121" s="1017"/>
      <c r="FP121" s="1017"/>
      <c r="FQ121" s="1017"/>
      <c r="FR121" s="1017"/>
      <c r="FS121" s="1017"/>
      <c r="FT121" s="1017"/>
      <c r="FU121" s="1017"/>
      <c r="FV121" s="1017"/>
      <c r="FW121" s="1017"/>
      <c r="FX121" s="1017"/>
      <c r="FY121" s="1017"/>
      <c r="FZ121" s="1017"/>
      <c r="GA121" s="1017"/>
      <c r="GB121" s="1017"/>
      <c r="GC121" s="1017"/>
      <c r="GD121" s="1017"/>
      <c r="GE121" s="1017"/>
      <c r="GF121" s="1017"/>
      <c r="GG121" s="1017"/>
      <c r="GH121" s="1017"/>
      <c r="GI121" s="1017"/>
      <c r="GJ121" s="1017"/>
      <c r="GK121" s="1017"/>
      <c r="GL121" s="1017"/>
      <c r="GM121" s="1017"/>
      <c r="GN121" s="1017"/>
      <c r="GO121" s="1017"/>
      <c r="GP121" s="1017"/>
      <c r="GQ121" s="1017"/>
      <c r="GR121" s="1017"/>
      <c r="GS121" s="1017"/>
      <c r="GT121" s="1017"/>
      <c r="GU121" s="1017"/>
      <c r="GV121" s="1017"/>
      <c r="GW121" s="1017"/>
      <c r="GX121" s="1017"/>
      <c r="GY121" s="1017"/>
      <c r="GZ121" s="1017"/>
      <c r="HA121" s="1017"/>
      <c r="HB121" s="1017"/>
      <c r="HC121" s="1017"/>
      <c r="HD121" s="1017"/>
      <c r="HE121" s="1017"/>
      <c r="HF121" s="1017"/>
      <c r="HG121" s="1017"/>
      <c r="HH121" s="1017"/>
      <c r="HI121" s="1017"/>
      <c r="HJ121" s="1017"/>
      <c r="HK121" s="1017"/>
      <c r="HL121" s="1017"/>
      <c r="HM121" s="1017"/>
      <c r="HN121" s="1017"/>
      <c r="HO121" s="1017"/>
      <c r="HP121" s="1017"/>
      <c r="HQ121" s="1017"/>
      <c r="HR121" s="1017"/>
      <c r="HS121" s="1017"/>
      <c r="HT121" s="1017"/>
      <c r="HU121" s="1017"/>
      <c r="HV121" s="1017"/>
      <c r="HW121" s="1017"/>
      <c r="HX121" s="1017"/>
      <c r="HY121" s="1017"/>
      <c r="HZ121" s="1017"/>
      <c r="IA121" s="1017"/>
      <c r="IB121" s="1017"/>
      <c r="IC121" s="1017"/>
      <c r="ID121" s="1017"/>
      <c r="IE121" s="1017"/>
      <c r="IF121" s="1017"/>
      <c r="IG121" s="1017"/>
      <c r="IH121" s="1017"/>
      <c r="II121" s="1017"/>
      <c r="IJ121" s="1017"/>
      <c r="IK121" s="1017"/>
      <c r="IL121" s="1017"/>
      <c r="IM121" s="1017"/>
    </row>
    <row r="122" spans="1:247">
      <c r="A122" s="1052" t="s">
        <v>963</v>
      </c>
      <c r="B122" s="1053"/>
      <c r="C122" s="1050">
        <v>-37.075000000000003</v>
      </c>
      <c r="D122" s="1045">
        <v>0</v>
      </c>
      <c r="E122" s="1046">
        <v>0</v>
      </c>
      <c r="F122" s="1046">
        <v>0</v>
      </c>
      <c r="G122" s="1047">
        <v>0</v>
      </c>
      <c r="H122" s="1048">
        <v>-37.075000000000003</v>
      </c>
      <c r="I122" s="1048">
        <v>-37.075000000000003</v>
      </c>
      <c r="J122" s="1048">
        <v>-37.075000000000003</v>
      </c>
      <c r="K122" s="1049">
        <v>-37.075000000000003</v>
      </c>
      <c r="L122" s="1028"/>
      <c r="M122" s="1074"/>
      <c r="N122" s="1050">
        <f t="shared" si="59"/>
        <v>-37.075000000000003</v>
      </c>
      <c r="O122" s="1045">
        <f>N122</f>
        <v>-37.075000000000003</v>
      </c>
      <c r="P122" s="1046">
        <f t="shared" si="86"/>
        <v>-37.075000000000003</v>
      </c>
      <c r="Q122" s="1046">
        <f t="shared" si="86"/>
        <v>-37.075000000000003</v>
      </c>
      <c r="R122" s="1045">
        <f t="shared" si="87"/>
        <v>0</v>
      </c>
      <c r="S122" s="1046">
        <f t="shared" si="87"/>
        <v>0</v>
      </c>
      <c r="T122" s="1046">
        <f t="shared" si="87"/>
        <v>0</v>
      </c>
      <c r="U122" s="1050">
        <f t="shared" si="56"/>
        <v>0</v>
      </c>
      <c r="V122" s="948"/>
      <c r="W122" s="1045">
        <f t="shared" si="88"/>
        <v>-37.075000000000003</v>
      </c>
      <c r="X122" s="1046">
        <v>-37.075000000000003</v>
      </c>
      <c r="Y122" s="1045">
        <f t="shared" si="78"/>
        <v>0</v>
      </c>
      <c r="Z122" s="1051">
        <f t="shared" si="80"/>
        <v>0</v>
      </c>
      <c r="AA122" s="1017"/>
      <c r="AB122" s="952"/>
      <c r="AC122" s="1017"/>
      <c r="AD122" s="1017"/>
      <c r="AE122" s="1017"/>
      <c r="AF122" s="1017"/>
      <c r="AG122" s="1017"/>
      <c r="AH122" s="1017"/>
      <c r="AI122" s="1017"/>
      <c r="AJ122" s="1017"/>
      <c r="AK122" s="1017"/>
      <c r="AL122" s="1017"/>
      <c r="AM122" s="1017"/>
      <c r="AN122" s="1017"/>
      <c r="AO122" s="1017"/>
      <c r="AP122" s="1017"/>
      <c r="AQ122" s="1017"/>
      <c r="AR122" s="1017"/>
      <c r="AS122" s="1017"/>
      <c r="AT122" s="1017"/>
      <c r="AU122" s="1017"/>
      <c r="AV122" s="1017"/>
      <c r="AW122" s="1017"/>
      <c r="AX122" s="1017"/>
      <c r="AY122" s="1017"/>
      <c r="AZ122" s="1017"/>
      <c r="BA122" s="1017"/>
      <c r="BB122" s="1017"/>
      <c r="BC122" s="1017"/>
      <c r="BD122" s="1017"/>
      <c r="BE122" s="1017"/>
      <c r="BF122" s="1017"/>
      <c r="BG122" s="1017"/>
      <c r="BH122" s="1017"/>
      <c r="BI122" s="1017"/>
      <c r="BJ122" s="1017"/>
      <c r="BK122" s="1017"/>
      <c r="BL122" s="1017"/>
      <c r="BM122" s="1017"/>
      <c r="BN122" s="1017"/>
      <c r="BO122" s="1017"/>
      <c r="BP122" s="1017"/>
      <c r="BQ122" s="1017"/>
      <c r="BR122" s="1017"/>
      <c r="BS122" s="1017"/>
      <c r="BT122" s="1017"/>
      <c r="BU122" s="1017"/>
      <c r="BV122" s="1017"/>
      <c r="BW122" s="1017"/>
      <c r="BX122" s="1017"/>
      <c r="BY122" s="1017"/>
      <c r="BZ122" s="1017"/>
      <c r="CA122" s="1017"/>
      <c r="CB122" s="1017"/>
      <c r="CC122" s="1017"/>
      <c r="CD122" s="1017"/>
      <c r="CE122" s="1017"/>
      <c r="CF122" s="1017"/>
      <c r="CG122" s="1017"/>
      <c r="CH122" s="1017"/>
      <c r="CI122" s="1017"/>
      <c r="CJ122" s="1017"/>
      <c r="CK122" s="1017"/>
      <c r="CL122" s="1017"/>
      <c r="CM122" s="1017"/>
      <c r="CN122" s="1017"/>
      <c r="CO122" s="1017"/>
      <c r="CP122" s="1017"/>
      <c r="CQ122" s="1017"/>
      <c r="CR122" s="1017"/>
      <c r="CS122" s="1017"/>
      <c r="CT122" s="1017"/>
      <c r="CU122" s="1017"/>
      <c r="CV122" s="1017"/>
      <c r="CW122" s="1017"/>
      <c r="CX122" s="1017"/>
      <c r="CY122" s="1017"/>
      <c r="CZ122" s="1017"/>
      <c r="DA122" s="1017"/>
      <c r="DB122" s="1017"/>
      <c r="DC122" s="1017"/>
      <c r="DD122" s="1017"/>
      <c r="DE122" s="1017"/>
      <c r="DF122" s="1017"/>
      <c r="DG122" s="1017"/>
      <c r="DH122" s="1017"/>
      <c r="DI122" s="1017"/>
      <c r="DJ122" s="1017"/>
      <c r="DK122" s="1017"/>
      <c r="DL122" s="1017"/>
      <c r="DM122" s="1017"/>
      <c r="DN122" s="1017"/>
      <c r="DO122" s="1017"/>
      <c r="DP122" s="1017"/>
      <c r="DQ122" s="1017"/>
      <c r="DR122" s="1017"/>
      <c r="DS122" s="1017"/>
      <c r="DT122" s="1017"/>
      <c r="DU122" s="1017"/>
      <c r="DV122" s="1017"/>
      <c r="DW122" s="1017"/>
      <c r="DX122" s="1017"/>
      <c r="DY122" s="1017"/>
      <c r="DZ122" s="1017"/>
      <c r="EA122" s="1017"/>
      <c r="EB122" s="1017"/>
      <c r="EC122" s="1017"/>
      <c r="ED122" s="1017"/>
      <c r="EE122" s="1017"/>
      <c r="EF122" s="1017"/>
      <c r="EG122" s="1017"/>
      <c r="EH122" s="1017"/>
      <c r="EI122" s="1017"/>
      <c r="EJ122" s="1017"/>
      <c r="EK122" s="1017"/>
      <c r="EL122" s="1017"/>
      <c r="EM122" s="1017"/>
      <c r="EN122" s="1017"/>
      <c r="EO122" s="1017"/>
      <c r="EP122" s="1017"/>
      <c r="EQ122" s="1017"/>
      <c r="ER122" s="1017"/>
      <c r="ES122" s="1017"/>
      <c r="ET122" s="1017"/>
      <c r="EU122" s="1017"/>
      <c r="EV122" s="1017"/>
      <c r="EW122" s="1017"/>
      <c r="EX122" s="1017"/>
      <c r="EY122" s="1017"/>
      <c r="EZ122" s="1017"/>
      <c r="FA122" s="1017"/>
      <c r="FB122" s="1017"/>
      <c r="FC122" s="1017"/>
      <c r="FD122" s="1017"/>
      <c r="FE122" s="1017"/>
      <c r="FF122" s="1017"/>
      <c r="FG122" s="1017"/>
      <c r="FH122" s="1017"/>
      <c r="FI122" s="1017"/>
      <c r="FJ122" s="1017"/>
      <c r="FK122" s="1017"/>
      <c r="FL122" s="1017"/>
      <c r="FM122" s="1017"/>
      <c r="FN122" s="1017"/>
      <c r="FO122" s="1017"/>
      <c r="FP122" s="1017"/>
      <c r="FQ122" s="1017"/>
      <c r="FR122" s="1017"/>
      <c r="FS122" s="1017"/>
      <c r="FT122" s="1017"/>
      <c r="FU122" s="1017"/>
      <c r="FV122" s="1017"/>
      <c r="FW122" s="1017"/>
      <c r="FX122" s="1017"/>
      <c r="FY122" s="1017"/>
      <c r="FZ122" s="1017"/>
      <c r="GA122" s="1017"/>
      <c r="GB122" s="1017"/>
      <c r="GC122" s="1017"/>
      <c r="GD122" s="1017"/>
      <c r="GE122" s="1017"/>
      <c r="GF122" s="1017"/>
      <c r="GG122" s="1017"/>
      <c r="GH122" s="1017"/>
      <c r="GI122" s="1017"/>
      <c r="GJ122" s="1017"/>
      <c r="GK122" s="1017"/>
      <c r="GL122" s="1017"/>
      <c r="GM122" s="1017"/>
      <c r="GN122" s="1017"/>
      <c r="GO122" s="1017"/>
      <c r="GP122" s="1017"/>
      <c r="GQ122" s="1017"/>
      <c r="GR122" s="1017"/>
      <c r="GS122" s="1017"/>
      <c r="GT122" s="1017"/>
      <c r="GU122" s="1017"/>
      <c r="GV122" s="1017"/>
      <c r="GW122" s="1017"/>
      <c r="GX122" s="1017"/>
      <c r="GY122" s="1017"/>
      <c r="GZ122" s="1017"/>
      <c r="HA122" s="1017"/>
      <c r="HB122" s="1017"/>
      <c r="HC122" s="1017"/>
      <c r="HD122" s="1017"/>
      <c r="HE122" s="1017"/>
      <c r="HF122" s="1017"/>
      <c r="HG122" s="1017"/>
      <c r="HH122" s="1017"/>
      <c r="HI122" s="1017"/>
      <c r="HJ122" s="1017"/>
      <c r="HK122" s="1017"/>
      <c r="HL122" s="1017"/>
      <c r="HM122" s="1017"/>
      <c r="HN122" s="1017"/>
      <c r="HO122" s="1017"/>
      <c r="HP122" s="1017"/>
      <c r="HQ122" s="1017"/>
      <c r="HR122" s="1017"/>
      <c r="HS122" s="1017"/>
      <c r="HT122" s="1017"/>
      <c r="HU122" s="1017"/>
      <c r="HV122" s="1017"/>
      <c r="HW122" s="1017"/>
      <c r="HX122" s="1017"/>
      <c r="HY122" s="1017"/>
      <c r="HZ122" s="1017"/>
      <c r="IA122" s="1017"/>
      <c r="IB122" s="1017"/>
      <c r="IC122" s="1017"/>
      <c r="ID122" s="1017"/>
      <c r="IE122" s="1017"/>
      <c r="IF122" s="1017"/>
      <c r="IG122" s="1017"/>
      <c r="IH122" s="1017"/>
      <c r="II122" s="1017"/>
      <c r="IJ122" s="1017"/>
      <c r="IK122" s="1017"/>
      <c r="IL122" s="1017"/>
      <c r="IM122" s="1017"/>
    </row>
    <row r="123" spans="1:247">
      <c r="A123" s="1052" t="s">
        <v>940</v>
      </c>
      <c r="B123" s="1053"/>
      <c r="C123" s="1050">
        <v>0.42766799999999999</v>
      </c>
      <c r="D123" s="1045">
        <f>0.647</f>
        <v>0.64700000000000002</v>
      </c>
      <c r="E123" s="1046">
        <v>0.72256100000000001</v>
      </c>
      <c r="F123" s="1046">
        <v>1.272</v>
      </c>
      <c r="G123" s="1047">
        <f>3.179</f>
        <v>3.1789999999999998</v>
      </c>
      <c r="H123" s="1048">
        <v>0.64700000000000002</v>
      </c>
      <c r="I123" s="1048">
        <v>0.72256100000000001</v>
      </c>
      <c r="J123" s="1048">
        <v>1.272</v>
      </c>
      <c r="K123" s="1049">
        <v>3.1789999999999998</v>
      </c>
      <c r="L123" s="1028"/>
      <c r="M123" s="1045"/>
      <c r="N123" s="1050">
        <f t="shared" si="59"/>
        <v>0.64700000000000002</v>
      </c>
      <c r="O123" s="1045">
        <f>I123</f>
        <v>0.72256100000000001</v>
      </c>
      <c r="P123" s="1046">
        <f t="shared" ref="P123:Q124" si="89">J123</f>
        <v>1.272</v>
      </c>
      <c r="Q123" s="1046">
        <f t="shared" si="89"/>
        <v>3.1789999999999998</v>
      </c>
      <c r="R123" s="1045">
        <f t="shared" si="87"/>
        <v>0</v>
      </c>
      <c r="S123" s="1046">
        <f t="shared" si="87"/>
        <v>0</v>
      </c>
      <c r="T123" s="1046">
        <f t="shared" si="87"/>
        <v>0</v>
      </c>
      <c r="U123" s="1050">
        <f t="shared" si="56"/>
        <v>7.5560999999999989E-2</v>
      </c>
      <c r="V123" s="948"/>
      <c r="W123" s="1045">
        <f t="shared" si="88"/>
        <v>0.72256100000000001</v>
      </c>
      <c r="X123" s="1046">
        <v>0.72256100000000001</v>
      </c>
      <c r="Y123" s="1045">
        <f t="shared" si="78"/>
        <v>0</v>
      </c>
      <c r="Z123" s="1051">
        <f t="shared" si="80"/>
        <v>0</v>
      </c>
      <c r="AA123" s="1017"/>
      <c r="AB123" s="952"/>
      <c r="AC123" s="1017"/>
      <c r="AD123" s="1017"/>
      <c r="AE123" s="1017"/>
      <c r="AF123" s="1017"/>
      <c r="AG123" s="1017"/>
      <c r="AH123" s="1017"/>
      <c r="AI123" s="1017"/>
      <c r="AJ123" s="1017"/>
      <c r="AK123" s="1017"/>
      <c r="AL123" s="1017"/>
      <c r="AM123" s="1017"/>
      <c r="AN123" s="1017"/>
      <c r="AO123" s="1017"/>
      <c r="AP123" s="1017"/>
      <c r="AQ123" s="1017"/>
      <c r="AR123" s="1017"/>
      <c r="AS123" s="1017"/>
      <c r="AT123" s="1017"/>
      <c r="AU123" s="1017"/>
      <c r="AV123" s="1017"/>
      <c r="AW123" s="1017"/>
      <c r="AX123" s="1017"/>
      <c r="AY123" s="1017"/>
      <c r="AZ123" s="1017"/>
      <c r="BA123" s="1017"/>
      <c r="BB123" s="1017"/>
      <c r="BC123" s="1017"/>
      <c r="BD123" s="1017"/>
      <c r="BE123" s="1017"/>
      <c r="BF123" s="1017"/>
      <c r="BG123" s="1017"/>
      <c r="BH123" s="1017"/>
      <c r="BI123" s="1017"/>
      <c r="BJ123" s="1017"/>
      <c r="BK123" s="1017"/>
      <c r="BL123" s="1017"/>
      <c r="BM123" s="1017"/>
      <c r="BN123" s="1017"/>
      <c r="BO123" s="1017"/>
      <c r="BP123" s="1017"/>
      <c r="BQ123" s="1017"/>
      <c r="BR123" s="1017"/>
      <c r="BS123" s="1017"/>
      <c r="BT123" s="1017"/>
      <c r="BU123" s="1017"/>
      <c r="BV123" s="1017"/>
      <c r="BW123" s="1017"/>
      <c r="BX123" s="1017"/>
      <c r="BY123" s="1017"/>
      <c r="BZ123" s="1017"/>
      <c r="CA123" s="1017"/>
      <c r="CB123" s="1017"/>
      <c r="CC123" s="1017"/>
      <c r="CD123" s="1017"/>
      <c r="CE123" s="1017"/>
      <c r="CF123" s="1017"/>
      <c r="CG123" s="1017"/>
      <c r="CH123" s="1017"/>
      <c r="CI123" s="1017"/>
      <c r="CJ123" s="1017"/>
      <c r="CK123" s="1017"/>
      <c r="CL123" s="1017"/>
      <c r="CM123" s="1017"/>
      <c r="CN123" s="1017"/>
      <c r="CO123" s="1017"/>
      <c r="CP123" s="1017"/>
      <c r="CQ123" s="1017"/>
      <c r="CR123" s="1017"/>
      <c r="CS123" s="1017"/>
      <c r="CT123" s="1017"/>
      <c r="CU123" s="1017"/>
      <c r="CV123" s="1017"/>
      <c r="CW123" s="1017"/>
      <c r="CX123" s="1017"/>
      <c r="CY123" s="1017"/>
      <c r="CZ123" s="1017"/>
      <c r="DA123" s="1017"/>
      <c r="DB123" s="1017"/>
      <c r="DC123" s="1017"/>
      <c r="DD123" s="1017"/>
      <c r="DE123" s="1017"/>
      <c r="DF123" s="1017"/>
      <c r="DG123" s="1017"/>
      <c r="DH123" s="1017"/>
      <c r="DI123" s="1017"/>
      <c r="DJ123" s="1017"/>
      <c r="DK123" s="1017"/>
      <c r="DL123" s="1017"/>
      <c r="DM123" s="1017"/>
      <c r="DN123" s="1017"/>
      <c r="DO123" s="1017"/>
      <c r="DP123" s="1017"/>
      <c r="DQ123" s="1017"/>
      <c r="DR123" s="1017"/>
      <c r="DS123" s="1017"/>
      <c r="DT123" s="1017"/>
      <c r="DU123" s="1017"/>
      <c r="DV123" s="1017"/>
      <c r="DW123" s="1017"/>
      <c r="DX123" s="1017"/>
      <c r="DY123" s="1017"/>
      <c r="DZ123" s="1017"/>
      <c r="EA123" s="1017"/>
      <c r="EB123" s="1017"/>
      <c r="EC123" s="1017"/>
      <c r="ED123" s="1017"/>
      <c r="EE123" s="1017"/>
      <c r="EF123" s="1017"/>
      <c r="EG123" s="1017"/>
      <c r="EH123" s="1017"/>
      <c r="EI123" s="1017"/>
      <c r="EJ123" s="1017"/>
      <c r="EK123" s="1017"/>
      <c r="EL123" s="1017"/>
      <c r="EM123" s="1017"/>
      <c r="EN123" s="1017"/>
      <c r="EO123" s="1017"/>
      <c r="EP123" s="1017"/>
      <c r="EQ123" s="1017"/>
      <c r="ER123" s="1017"/>
      <c r="ES123" s="1017"/>
      <c r="ET123" s="1017"/>
      <c r="EU123" s="1017"/>
      <c r="EV123" s="1017"/>
      <c r="EW123" s="1017"/>
      <c r="EX123" s="1017"/>
      <c r="EY123" s="1017"/>
      <c r="EZ123" s="1017"/>
      <c r="FA123" s="1017"/>
      <c r="FB123" s="1017"/>
      <c r="FC123" s="1017"/>
      <c r="FD123" s="1017"/>
      <c r="FE123" s="1017"/>
      <c r="FF123" s="1017"/>
      <c r="FG123" s="1017"/>
      <c r="FH123" s="1017"/>
      <c r="FI123" s="1017"/>
      <c r="FJ123" s="1017"/>
      <c r="FK123" s="1017"/>
      <c r="FL123" s="1017"/>
      <c r="FM123" s="1017"/>
      <c r="FN123" s="1017"/>
      <c r="FO123" s="1017"/>
      <c r="FP123" s="1017"/>
      <c r="FQ123" s="1017"/>
      <c r="FR123" s="1017"/>
      <c r="FS123" s="1017"/>
      <c r="FT123" s="1017"/>
      <c r="FU123" s="1017"/>
      <c r="FV123" s="1017"/>
      <c r="FW123" s="1017"/>
      <c r="FX123" s="1017"/>
      <c r="FY123" s="1017"/>
      <c r="FZ123" s="1017"/>
      <c r="GA123" s="1017"/>
      <c r="GB123" s="1017"/>
      <c r="GC123" s="1017"/>
      <c r="GD123" s="1017"/>
      <c r="GE123" s="1017"/>
      <c r="GF123" s="1017"/>
      <c r="GG123" s="1017"/>
      <c r="GH123" s="1017"/>
      <c r="GI123" s="1017"/>
      <c r="GJ123" s="1017"/>
      <c r="GK123" s="1017"/>
      <c r="GL123" s="1017"/>
      <c r="GM123" s="1017"/>
      <c r="GN123" s="1017"/>
      <c r="GO123" s="1017"/>
      <c r="GP123" s="1017"/>
      <c r="GQ123" s="1017"/>
      <c r="GR123" s="1017"/>
      <c r="GS123" s="1017"/>
      <c r="GT123" s="1017"/>
      <c r="GU123" s="1017"/>
      <c r="GV123" s="1017"/>
      <c r="GW123" s="1017"/>
      <c r="GX123" s="1017"/>
      <c r="GY123" s="1017"/>
      <c r="GZ123" s="1017"/>
      <c r="HA123" s="1017"/>
      <c r="HB123" s="1017"/>
      <c r="HC123" s="1017"/>
      <c r="HD123" s="1017"/>
      <c r="HE123" s="1017"/>
      <c r="HF123" s="1017"/>
      <c r="HG123" s="1017"/>
      <c r="HH123" s="1017"/>
      <c r="HI123" s="1017"/>
      <c r="HJ123" s="1017"/>
      <c r="HK123" s="1017"/>
      <c r="HL123" s="1017"/>
      <c r="HM123" s="1017"/>
      <c r="HN123" s="1017"/>
      <c r="HO123" s="1017"/>
      <c r="HP123" s="1017"/>
      <c r="HQ123" s="1017"/>
      <c r="HR123" s="1017"/>
      <c r="HS123" s="1017"/>
      <c r="HT123" s="1017"/>
      <c r="HU123" s="1017"/>
      <c r="HV123" s="1017"/>
      <c r="HW123" s="1017"/>
      <c r="HX123" s="1017"/>
      <c r="HY123" s="1017"/>
      <c r="HZ123" s="1017"/>
      <c r="IA123" s="1017"/>
      <c r="IB123" s="1017"/>
      <c r="IC123" s="1017"/>
      <c r="ID123" s="1017"/>
      <c r="IE123" s="1017"/>
      <c r="IF123" s="1017"/>
      <c r="IG123" s="1017"/>
      <c r="IH123" s="1017"/>
      <c r="II123" s="1017"/>
      <c r="IJ123" s="1017"/>
      <c r="IK123" s="1017"/>
      <c r="IL123" s="1017"/>
      <c r="IM123" s="1017"/>
    </row>
    <row r="124" spans="1:247" s="1077" customFormat="1">
      <c r="A124" s="1052" t="s">
        <v>941</v>
      </c>
      <c r="B124" s="1053"/>
      <c r="C124" s="1071">
        <v>-0.14312701999999999</v>
      </c>
      <c r="D124" s="1068">
        <v>0</v>
      </c>
      <c r="E124" s="1069">
        <v>0</v>
      </c>
      <c r="F124" s="1069">
        <v>0</v>
      </c>
      <c r="G124" s="1070">
        <v>0</v>
      </c>
      <c r="H124" s="1072">
        <v>-0.14312701999999999</v>
      </c>
      <c r="I124" s="1072">
        <v>-0.14312701999999999</v>
      </c>
      <c r="J124" s="1072">
        <v>-0.14312701999999999</v>
      </c>
      <c r="K124" s="1073">
        <v>-0.14312701999999999</v>
      </c>
      <c r="L124" s="1028"/>
      <c r="M124" s="1045"/>
      <c r="N124" s="1050">
        <f t="shared" si="59"/>
        <v>-0.14312701999999999</v>
      </c>
      <c r="O124" s="1045">
        <f>I124</f>
        <v>-0.14312701999999999</v>
      </c>
      <c r="P124" s="1046">
        <f t="shared" si="89"/>
        <v>-0.14312701999999999</v>
      </c>
      <c r="Q124" s="1046">
        <f t="shared" si="89"/>
        <v>-0.14312701999999999</v>
      </c>
      <c r="R124" s="1045">
        <f t="shared" si="87"/>
        <v>0</v>
      </c>
      <c r="S124" s="1046">
        <f t="shared" si="87"/>
        <v>0</v>
      </c>
      <c r="T124" s="1046">
        <f t="shared" si="87"/>
        <v>0</v>
      </c>
      <c r="U124" s="1050">
        <f t="shared" si="56"/>
        <v>0</v>
      </c>
      <c r="V124" s="948"/>
      <c r="W124" s="1075">
        <f t="shared" si="88"/>
        <v>-0.14312701999999999</v>
      </c>
      <c r="X124" s="1048">
        <v>-0.14312701999999999</v>
      </c>
      <c r="Y124" s="1075">
        <f t="shared" si="78"/>
        <v>0</v>
      </c>
      <c r="Z124" s="1076">
        <f t="shared" si="80"/>
        <v>0</v>
      </c>
      <c r="AA124" s="1017"/>
      <c r="AB124" s="952"/>
      <c r="AC124" s="1017"/>
      <c r="AD124" s="1017"/>
      <c r="AE124" s="1017"/>
      <c r="AF124" s="1017"/>
      <c r="AG124" s="1017"/>
      <c r="AH124" s="1017"/>
      <c r="AI124" s="1017"/>
      <c r="AJ124" s="1017"/>
      <c r="AK124" s="1017"/>
      <c r="AL124" s="1017"/>
      <c r="AM124" s="1017"/>
      <c r="AN124" s="1017"/>
      <c r="AO124" s="1017"/>
      <c r="AP124" s="1017"/>
      <c r="AQ124" s="1017"/>
      <c r="AR124" s="1017"/>
      <c r="AS124" s="1017"/>
      <c r="AT124" s="1017"/>
      <c r="AU124" s="1017"/>
      <c r="AV124" s="1017"/>
      <c r="AW124" s="1017"/>
      <c r="AX124" s="1017"/>
      <c r="AY124" s="1017"/>
      <c r="AZ124" s="1017"/>
      <c r="BA124" s="1017"/>
      <c r="BB124" s="1017"/>
      <c r="BC124" s="1017"/>
      <c r="BD124" s="1017"/>
      <c r="BE124" s="1017"/>
      <c r="BF124" s="1017"/>
      <c r="BG124" s="1017"/>
      <c r="BH124" s="1017"/>
      <c r="BI124" s="1017"/>
      <c r="BJ124" s="1017"/>
      <c r="BK124" s="1017"/>
      <c r="BL124" s="1017"/>
      <c r="BM124" s="1017"/>
      <c r="BN124" s="1017"/>
      <c r="BO124" s="1017"/>
      <c r="BP124" s="1017"/>
      <c r="BQ124" s="1017"/>
      <c r="BR124" s="1017"/>
      <c r="BS124" s="1017"/>
      <c r="BT124" s="1017"/>
      <c r="BU124" s="1017"/>
      <c r="BV124" s="1017"/>
      <c r="BW124" s="1017"/>
      <c r="BX124" s="1017"/>
      <c r="BY124" s="1017"/>
      <c r="BZ124" s="1017"/>
      <c r="CA124" s="1017"/>
      <c r="CB124" s="1017"/>
      <c r="CC124" s="1017"/>
      <c r="CD124" s="1017"/>
      <c r="CE124" s="1017"/>
      <c r="CF124" s="1017"/>
      <c r="CG124" s="1017"/>
      <c r="CH124" s="1017"/>
      <c r="CI124" s="1017"/>
      <c r="CJ124" s="1017"/>
      <c r="CK124" s="1017"/>
      <c r="CL124" s="1017"/>
      <c r="CM124" s="1017"/>
      <c r="CN124" s="1017"/>
      <c r="CO124" s="1017"/>
      <c r="CP124" s="1017"/>
      <c r="CQ124" s="1017"/>
      <c r="CR124" s="1017"/>
      <c r="CS124" s="1017"/>
      <c r="CT124" s="1017"/>
      <c r="CU124" s="1017"/>
      <c r="CV124" s="1017"/>
      <c r="CW124" s="1017"/>
      <c r="CX124" s="1017"/>
      <c r="CY124" s="1017"/>
      <c r="CZ124" s="1017"/>
      <c r="DA124" s="1017"/>
      <c r="DB124" s="1017"/>
      <c r="DC124" s="1017"/>
      <c r="DD124" s="1017"/>
      <c r="DE124" s="1017"/>
      <c r="DF124" s="1017"/>
      <c r="DG124" s="1017"/>
      <c r="DH124" s="1017"/>
      <c r="DI124" s="1017"/>
      <c r="DJ124" s="1017"/>
      <c r="DK124" s="1017"/>
      <c r="DL124" s="1017"/>
      <c r="DM124" s="1017"/>
      <c r="DN124" s="1017"/>
      <c r="DO124" s="1017"/>
      <c r="DP124" s="1017"/>
      <c r="DQ124" s="1017"/>
      <c r="DR124" s="1017"/>
      <c r="DS124" s="1017"/>
      <c r="DT124" s="1017"/>
      <c r="DU124" s="1017"/>
      <c r="DV124" s="1017"/>
      <c r="DW124" s="1017"/>
      <c r="DX124" s="1017"/>
      <c r="DY124" s="1017"/>
      <c r="DZ124" s="1017"/>
      <c r="EA124" s="1017"/>
      <c r="EB124" s="1017"/>
      <c r="EC124" s="1017"/>
      <c r="ED124" s="1017"/>
      <c r="EE124" s="1017"/>
      <c r="EF124" s="1017"/>
      <c r="EG124" s="1017"/>
      <c r="EH124" s="1017"/>
      <c r="EI124" s="1017"/>
      <c r="EJ124" s="1017"/>
      <c r="EK124" s="1017"/>
      <c r="EL124" s="1017"/>
      <c r="EM124" s="1017"/>
      <c r="EN124" s="1017"/>
      <c r="EO124" s="1017"/>
      <c r="EP124" s="1017"/>
      <c r="EQ124" s="1017"/>
      <c r="ER124" s="1017"/>
      <c r="ES124" s="1017"/>
      <c r="ET124" s="1017"/>
      <c r="EU124" s="1017"/>
      <c r="EV124" s="1017"/>
      <c r="EW124" s="1017"/>
      <c r="EX124" s="1017"/>
      <c r="EY124" s="1017"/>
      <c r="EZ124" s="1017"/>
      <c r="FA124" s="1017"/>
      <c r="FB124" s="1017"/>
      <c r="FC124" s="1017"/>
      <c r="FD124" s="1017"/>
      <c r="FE124" s="1017"/>
      <c r="FF124" s="1017"/>
      <c r="FG124" s="1017"/>
      <c r="FH124" s="1017"/>
      <c r="FI124" s="1017"/>
      <c r="FJ124" s="1017"/>
      <c r="FK124" s="1017"/>
      <c r="FL124" s="1017"/>
      <c r="FM124" s="1017"/>
      <c r="FN124" s="1017"/>
      <c r="FO124" s="1017"/>
      <c r="FP124" s="1017"/>
      <c r="FQ124" s="1017"/>
      <c r="FR124" s="1017"/>
      <c r="FS124" s="1017"/>
      <c r="FT124" s="1017"/>
      <c r="FU124" s="1017"/>
      <c r="FV124" s="1017"/>
      <c r="FW124" s="1017"/>
      <c r="FX124" s="1017"/>
      <c r="FY124" s="1017"/>
      <c r="FZ124" s="1017"/>
      <c r="GA124" s="1017"/>
      <c r="GB124" s="1017"/>
      <c r="GC124" s="1017"/>
      <c r="GD124" s="1017"/>
      <c r="GE124" s="1017"/>
      <c r="GF124" s="1017"/>
      <c r="GG124" s="1017"/>
      <c r="GH124" s="1017"/>
      <c r="GI124" s="1017"/>
      <c r="GJ124" s="1017"/>
      <c r="GK124" s="1017"/>
      <c r="GL124" s="1017"/>
      <c r="GM124" s="1017"/>
      <c r="GN124" s="1017"/>
      <c r="GO124" s="1017"/>
      <c r="GP124" s="1017"/>
      <c r="GQ124" s="1017"/>
      <c r="GR124" s="1017"/>
      <c r="GS124" s="1017"/>
      <c r="GT124" s="1017"/>
      <c r="GU124" s="1017"/>
      <c r="GV124" s="1017"/>
      <c r="GW124" s="1017"/>
      <c r="GX124" s="1017"/>
      <c r="GY124" s="1017"/>
      <c r="GZ124" s="1017"/>
      <c r="HA124" s="1017"/>
      <c r="HB124" s="1017"/>
      <c r="HC124" s="1017"/>
      <c r="HD124" s="1017"/>
      <c r="HE124" s="1017"/>
      <c r="HF124" s="1017"/>
      <c r="HG124" s="1017"/>
      <c r="HH124" s="1017"/>
      <c r="HI124" s="1017"/>
      <c r="HJ124" s="1017"/>
      <c r="HK124" s="1017"/>
      <c r="HL124" s="1017"/>
      <c r="HM124" s="1017"/>
      <c r="HN124" s="1017"/>
      <c r="HO124" s="1017"/>
      <c r="HP124" s="1017"/>
      <c r="HQ124" s="1017"/>
      <c r="HR124" s="1017"/>
      <c r="HS124" s="1017"/>
      <c r="HT124" s="1017"/>
      <c r="HU124" s="1017"/>
      <c r="HV124" s="1017"/>
      <c r="HW124" s="1017"/>
      <c r="HX124" s="1017"/>
      <c r="HY124" s="1017"/>
      <c r="HZ124" s="1017"/>
      <c r="IA124" s="1017"/>
      <c r="IB124" s="1017"/>
      <c r="IC124" s="1017"/>
      <c r="ID124" s="1017"/>
      <c r="IE124" s="1017"/>
      <c r="IF124" s="1017"/>
      <c r="IG124" s="1017"/>
      <c r="IH124" s="1017"/>
      <c r="II124" s="1017"/>
      <c r="IJ124" s="1017"/>
      <c r="IK124" s="1017"/>
      <c r="IL124" s="1017"/>
      <c r="IM124" s="1017"/>
    </row>
    <row r="125" spans="1:247">
      <c r="A125" s="1052" t="s">
        <v>432</v>
      </c>
      <c r="B125" s="1053"/>
      <c r="C125" s="1050">
        <f>C120-SUM(C121:C122)</f>
        <v>1346.415</v>
      </c>
      <c r="D125" s="1068">
        <f t="shared" ref="D125:F125" si="90">D120-SUM(D121:D123)</f>
        <v>1108.953</v>
      </c>
      <c r="E125" s="1046">
        <f t="shared" si="90"/>
        <v>1135.1244389999999</v>
      </c>
      <c r="F125" s="1046">
        <f t="shared" si="90"/>
        <v>1124.308</v>
      </c>
      <c r="G125" s="1047">
        <f>G120-SUM(G121:G123)</f>
        <v>1076.0249999999999</v>
      </c>
      <c r="H125" s="1048">
        <v>1203.0139822903557</v>
      </c>
      <c r="I125" s="1048">
        <v>1240.3807295119832</v>
      </c>
      <c r="J125" s="1048">
        <v>1219.0698281576106</v>
      </c>
      <c r="K125" s="1049">
        <v>1178.7930802972896</v>
      </c>
      <c r="L125" s="1028"/>
      <c r="M125" s="1074"/>
      <c r="N125" s="1050">
        <f t="shared" si="59"/>
        <v>1203.0139822903557</v>
      </c>
      <c r="O125" s="1045">
        <f>I125-5.63144899059017</f>
        <v>1234.7492805213931</v>
      </c>
      <c r="P125" s="1046">
        <f>J125+23.4784359486138</f>
        <v>1242.5482641062245</v>
      </c>
      <c r="Q125" s="1046">
        <f>K125+15.9382463934338</f>
        <v>1194.7313266907233</v>
      </c>
      <c r="R125" s="1045">
        <f t="shared" si="87"/>
        <v>5.6314489905901155</v>
      </c>
      <c r="S125" s="1046">
        <f t="shared" si="87"/>
        <v>-23.478435948613878</v>
      </c>
      <c r="T125" s="1046">
        <f t="shared" si="87"/>
        <v>-15.938246393433701</v>
      </c>
      <c r="U125" s="1050">
        <f t="shared" si="56"/>
        <v>31.735298231037405</v>
      </c>
      <c r="V125" s="948"/>
      <c r="W125" s="1045">
        <f>O125</f>
        <v>1234.7492805213931</v>
      </c>
      <c r="X125" s="1046">
        <v>1248.4785110624769</v>
      </c>
      <c r="Y125" s="1045">
        <f t="shared" si="78"/>
        <v>13.72923054108378</v>
      </c>
      <c r="Z125" s="1051">
        <f t="shared" si="80"/>
        <v>1.5340722199564059E-2</v>
      </c>
      <c r="AA125" s="1017"/>
      <c r="AB125" s="952"/>
      <c r="AC125" s="1017"/>
      <c r="AD125" s="1017"/>
      <c r="AE125" s="1017"/>
      <c r="AF125" s="1017"/>
      <c r="AG125" s="1017"/>
      <c r="AH125" s="1017"/>
      <c r="AI125" s="1017"/>
      <c r="AJ125" s="1017"/>
      <c r="AK125" s="1017"/>
      <c r="AL125" s="1017"/>
      <c r="AM125" s="1017"/>
      <c r="AN125" s="1017"/>
      <c r="AO125" s="1017"/>
      <c r="AP125" s="1017"/>
      <c r="AQ125" s="1017"/>
      <c r="AR125" s="1017"/>
      <c r="AS125" s="1017"/>
      <c r="AT125" s="1017"/>
      <c r="AU125" s="1017"/>
      <c r="AV125" s="1017"/>
      <c r="AW125" s="1017"/>
      <c r="AX125" s="1017"/>
      <c r="AY125" s="1017"/>
      <c r="AZ125" s="1017"/>
      <c r="BA125" s="1017"/>
      <c r="BB125" s="1017"/>
      <c r="BC125" s="1017"/>
      <c r="BD125" s="1017"/>
      <c r="BE125" s="1017"/>
      <c r="BF125" s="1017"/>
      <c r="BG125" s="1017"/>
      <c r="BH125" s="1017"/>
      <c r="BI125" s="1017"/>
      <c r="BJ125" s="1017"/>
      <c r="BK125" s="1017"/>
      <c r="BL125" s="1017"/>
      <c r="BM125" s="1017"/>
      <c r="BN125" s="1017"/>
      <c r="BO125" s="1017"/>
      <c r="BP125" s="1017"/>
      <c r="BQ125" s="1017"/>
      <c r="BR125" s="1017"/>
      <c r="BS125" s="1017"/>
      <c r="BT125" s="1017"/>
      <c r="BU125" s="1017"/>
      <c r="BV125" s="1017"/>
      <c r="BW125" s="1017"/>
      <c r="BX125" s="1017"/>
      <c r="BY125" s="1017"/>
      <c r="BZ125" s="1017"/>
      <c r="CA125" s="1017"/>
      <c r="CB125" s="1017"/>
      <c r="CC125" s="1017"/>
      <c r="CD125" s="1017"/>
      <c r="CE125" s="1017"/>
      <c r="CF125" s="1017"/>
      <c r="CG125" s="1017"/>
      <c r="CH125" s="1017"/>
      <c r="CI125" s="1017"/>
      <c r="CJ125" s="1017"/>
      <c r="CK125" s="1017"/>
      <c r="CL125" s="1017"/>
      <c r="CM125" s="1017"/>
      <c r="CN125" s="1017"/>
      <c r="CO125" s="1017"/>
      <c r="CP125" s="1017"/>
      <c r="CQ125" s="1017"/>
      <c r="CR125" s="1017"/>
      <c r="CS125" s="1017"/>
      <c r="CT125" s="1017"/>
      <c r="CU125" s="1017"/>
      <c r="CV125" s="1017"/>
      <c r="CW125" s="1017"/>
      <c r="CX125" s="1017"/>
      <c r="CY125" s="1017"/>
      <c r="CZ125" s="1017"/>
      <c r="DA125" s="1017"/>
      <c r="DB125" s="1017"/>
      <c r="DC125" s="1017"/>
      <c r="DD125" s="1017"/>
      <c r="DE125" s="1017"/>
      <c r="DF125" s="1017"/>
      <c r="DG125" s="1017"/>
      <c r="DH125" s="1017"/>
      <c r="DI125" s="1017"/>
      <c r="DJ125" s="1017"/>
      <c r="DK125" s="1017"/>
      <c r="DL125" s="1017"/>
      <c r="DM125" s="1017"/>
      <c r="DN125" s="1017"/>
      <c r="DO125" s="1017"/>
      <c r="DP125" s="1017"/>
      <c r="DQ125" s="1017"/>
      <c r="DR125" s="1017"/>
      <c r="DS125" s="1017"/>
      <c r="DT125" s="1017"/>
      <c r="DU125" s="1017"/>
      <c r="DV125" s="1017"/>
      <c r="DW125" s="1017"/>
      <c r="DX125" s="1017"/>
      <c r="DY125" s="1017"/>
      <c r="DZ125" s="1017"/>
      <c r="EA125" s="1017"/>
      <c r="EB125" s="1017"/>
      <c r="EC125" s="1017"/>
      <c r="ED125" s="1017"/>
      <c r="EE125" s="1017"/>
      <c r="EF125" s="1017"/>
      <c r="EG125" s="1017"/>
      <c r="EH125" s="1017"/>
      <c r="EI125" s="1017"/>
      <c r="EJ125" s="1017"/>
      <c r="EK125" s="1017"/>
      <c r="EL125" s="1017"/>
      <c r="EM125" s="1017"/>
      <c r="EN125" s="1017"/>
      <c r="EO125" s="1017"/>
      <c r="EP125" s="1017"/>
      <c r="EQ125" s="1017"/>
      <c r="ER125" s="1017"/>
      <c r="ES125" s="1017"/>
      <c r="ET125" s="1017"/>
      <c r="EU125" s="1017"/>
      <c r="EV125" s="1017"/>
      <c r="EW125" s="1017"/>
      <c r="EX125" s="1017"/>
      <c r="EY125" s="1017"/>
      <c r="EZ125" s="1017"/>
      <c r="FA125" s="1017"/>
      <c r="FB125" s="1017"/>
      <c r="FC125" s="1017"/>
      <c r="FD125" s="1017"/>
      <c r="FE125" s="1017"/>
      <c r="FF125" s="1017"/>
      <c r="FG125" s="1017"/>
      <c r="FH125" s="1017"/>
      <c r="FI125" s="1017"/>
      <c r="FJ125" s="1017"/>
      <c r="FK125" s="1017"/>
      <c r="FL125" s="1017"/>
      <c r="FM125" s="1017"/>
      <c r="FN125" s="1017"/>
      <c r="FO125" s="1017"/>
      <c r="FP125" s="1017"/>
      <c r="FQ125" s="1017"/>
      <c r="FR125" s="1017"/>
      <c r="FS125" s="1017"/>
      <c r="FT125" s="1017"/>
      <c r="FU125" s="1017"/>
      <c r="FV125" s="1017"/>
      <c r="FW125" s="1017"/>
      <c r="FX125" s="1017"/>
      <c r="FY125" s="1017"/>
      <c r="FZ125" s="1017"/>
      <c r="GA125" s="1017"/>
      <c r="GB125" s="1017"/>
      <c r="GC125" s="1017"/>
      <c r="GD125" s="1017"/>
      <c r="GE125" s="1017"/>
      <c r="GF125" s="1017"/>
      <c r="GG125" s="1017"/>
      <c r="GH125" s="1017"/>
      <c r="GI125" s="1017"/>
      <c r="GJ125" s="1017"/>
      <c r="GK125" s="1017"/>
      <c r="GL125" s="1017"/>
      <c r="GM125" s="1017"/>
      <c r="GN125" s="1017"/>
      <c r="GO125" s="1017"/>
      <c r="GP125" s="1017"/>
      <c r="GQ125" s="1017"/>
      <c r="GR125" s="1017"/>
      <c r="GS125" s="1017"/>
      <c r="GT125" s="1017"/>
      <c r="GU125" s="1017"/>
      <c r="GV125" s="1017"/>
      <c r="GW125" s="1017"/>
      <c r="GX125" s="1017"/>
      <c r="GY125" s="1017"/>
      <c r="GZ125" s="1017"/>
      <c r="HA125" s="1017"/>
      <c r="HB125" s="1017"/>
      <c r="HC125" s="1017"/>
      <c r="HD125" s="1017"/>
      <c r="HE125" s="1017"/>
      <c r="HF125" s="1017"/>
      <c r="HG125" s="1017"/>
      <c r="HH125" s="1017"/>
      <c r="HI125" s="1017"/>
      <c r="HJ125" s="1017"/>
      <c r="HK125" s="1017"/>
      <c r="HL125" s="1017"/>
      <c r="HM125" s="1017"/>
      <c r="HN125" s="1017"/>
      <c r="HO125" s="1017"/>
      <c r="HP125" s="1017"/>
      <c r="HQ125" s="1017"/>
      <c r="HR125" s="1017"/>
      <c r="HS125" s="1017"/>
      <c r="HT125" s="1017"/>
      <c r="HU125" s="1017"/>
      <c r="HV125" s="1017"/>
      <c r="HW125" s="1017"/>
      <c r="HX125" s="1017"/>
      <c r="HY125" s="1017"/>
      <c r="HZ125" s="1017"/>
      <c r="IA125" s="1017"/>
      <c r="IB125" s="1017"/>
      <c r="IC125" s="1017"/>
      <c r="ID125" s="1017"/>
      <c r="IE125" s="1017"/>
      <c r="IF125" s="1017"/>
      <c r="IG125" s="1017"/>
      <c r="IH125" s="1017"/>
      <c r="II125" s="1017"/>
      <c r="IJ125" s="1017"/>
      <c r="IK125" s="1017"/>
      <c r="IL125" s="1017"/>
      <c r="IM125" s="1017"/>
    </row>
    <row r="126" spans="1:247" s="957" customFormat="1">
      <c r="A126" s="790" t="s">
        <v>724</v>
      </c>
      <c r="B126" s="1060" t="s">
        <v>989</v>
      </c>
      <c r="C126" s="1034">
        <v>376.40100000000001</v>
      </c>
      <c r="D126" s="1061">
        <v>340.08300000000008</v>
      </c>
      <c r="E126" s="1062">
        <v>394.23599999999999</v>
      </c>
      <c r="F126" s="1062">
        <v>381.86099999999999</v>
      </c>
      <c r="G126" s="1063">
        <v>391.524</v>
      </c>
      <c r="H126" s="1064">
        <f>SUM(H127:H130)</f>
        <v>338.14370636544822</v>
      </c>
      <c r="I126" s="1064">
        <f t="shared" ref="I126:K126" si="91">SUM(I127:I130)</f>
        <v>358.45131675126078</v>
      </c>
      <c r="J126" s="1064">
        <f t="shared" si="91"/>
        <v>342.46770030489517</v>
      </c>
      <c r="K126" s="1065">
        <f t="shared" si="91"/>
        <v>347.62563885940182</v>
      </c>
      <c r="L126" s="1028"/>
      <c r="M126" s="1066">
        <f>SUM(M127:M130)</f>
        <v>0</v>
      </c>
      <c r="N126" s="1034">
        <f t="shared" si="59"/>
        <v>338.14370636544822</v>
      </c>
      <c r="O126" s="1066">
        <f t="shared" ref="O126:T126" si="92">SUM(O127:O130)</f>
        <v>352.29520295978659</v>
      </c>
      <c r="P126" s="1062">
        <f t="shared" si="92"/>
        <v>366.33975773555534</v>
      </c>
      <c r="Q126" s="1062">
        <f t="shared" si="92"/>
        <v>381.99682346549491</v>
      </c>
      <c r="R126" s="1066">
        <f t="shared" si="92"/>
        <v>6.1561137914741551</v>
      </c>
      <c r="S126" s="1062">
        <f t="shared" si="92"/>
        <v>-23.872057430660163</v>
      </c>
      <c r="T126" s="1062">
        <f t="shared" si="92"/>
        <v>-34.371184606093081</v>
      </c>
      <c r="U126" s="1034">
        <f t="shared" si="56"/>
        <v>14.151496594338369</v>
      </c>
      <c r="V126" s="1100"/>
      <c r="W126" s="1066">
        <f>SUM(W127:W130)</f>
        <v>352.29520295978659</v>
      </c>
      <c r="X126" s="1062">
        <f>SUM(X127:X130)</f>
        <v>391.18099999999993</v>
      </c>
      <c r="Y126" s="1066">
        <f t="shared" si="78"/>
        <v>38.885797040213333</v>
      </c>
      <c r="Z126" s="1067">
        <f t="shared" si="80"/>
        <v>4.3450083245193484E-2</v>
      </c>
      <c r="AA126" s="1042"/>
      <c r="AB126" s="952"/>
      <c r="AC126" s="1042"/>
      <c r="AD126" s="1042"/>
      <c r="AE126" s="1042"/>
      <c r="AF126" s="1042"/>
      <c r="AG126" s="1042"/>
      <c r="AH126" s="1042"/>
      <c r="AI126" s="1042"/>
      <c r="AJ126" s="1042"/>
      <c r="AK126" s="1042"/>
      <c r="AL126" s="1042"/>
      <c r="AM126" s="1042"/>
      <c r="AN126" s="1042"/>
      <c r="AO126" s="1042"/>
      <c r="AP126" s="1042"/>
      <c r="AQ126" s="1042"/>
      <c r="AR126" s="1042"/>
      <c r="AS126" s="1042"/>
      <c r="AT126" s="1042"/>
      <c r="AU126" s="1042"/>
      <c r="AV126" s="1042"/>
      <c r="AW126" s="1042"/>
      <c r="AX126" s="1042"/>
      <c r="AY126" s="1042"/>
      <c r="AZ126" s="1042"/>
      <c r="BA126" s="1042"/>
      <c r="BB126" s="1042"/>
      <c r="BC126" s="1042"/>
      <c r="BD126" s="1042"/>
      <c r="BE126" s="1042"/>
      <c r="BF126" s="1042"/>
      <c r="BG126" s="1042"/>
      <c r="BH126" s="1042"/>
      <c r="BI126" s="1042"/>
      <c r="BJ126" s="1042"/>
      <c r="BK126" s="1042"/>
      <c r="BL126" s="1042"/>
      <c r="BM126" s="1042"/>
      <c r="BN126" s="1042"/>
      <c r="BO126" s="1042"/>
      <c r="BP126" s="1042"/>
      <c r="BQ126" s="1042"/>
      <c r="BR126" s="1042"/>
      <c r="BS126" s="1042"/>
      <c r="BT126" s="1042"/>
      <c r="BU126" s="1042"/>
      <c r="BV126" s="1042"/>
      <c r="BW126" s="1042"/>
      <c r="BX126" s="1042"/>
      <c r="BY126" s="1042"/>
      <c r="BZ126" s="1042"/>
      <c r="CA126" s="1042"/>
      <c r="CB126" s="1042"/>
      <c r="CC126" s="1042"/>
      <c r="CD126" s="1042"/>
      <c r="CE126" s="1042"/>
      <c r="CF126" s="1042"/>
      <c r="CG126" s="1042"/>
      <c r="CH126" s="1042"/>
      <c r="CI126" s="1042"/>
      <c r="CJ126" s="1042"/>
      <c r="CK126" s="1042"/>
      <c r="CL126" s="1042"/>
      <c r="CM126" s="1042"/>
      <c r="CN126" s="1042"/>
      <c r="CO126" s="1042"/>
      <c r="CP126" s="1042"/>
      <c r="CQ126" s="1042"/>
      <c r="CR126" s="1042"/>
      <c r="CS126" s="1042"/>
      <c r="CT126" s="1042"/>
      <c r="CU126" s="1042"/>
      <c r="CV126" s="1042"/>
      <c r="CW126" s="1042"/>
      <c r="CX126" s="1042"/>
      <c r="CY126" s="1042"/>
      <c r="CZ126" s="1042"/>
      <c r="DA126" s="1042"/>
      <c r="DB126" s="1042"/>
      <c r="DC126" s="1042"/>
      <c r="DD126" s="1042"/>
      <c r="DE126" s="1042"/>
      <c r="DF126" s="1042"/>
      <c r="DG126" s="1042"/>
      <c r="DH126" s="1042"/>
      <c r="DI126" s="1042"/>
      <c r="DJ126" s="1042"/>
      <c r="DK126" s="1042"/>
      <c r="DL126" s="1042"/>
      <c r="DM126" s="1042"/>
      <c r="DN126" s="1042"/>
      <c r="DO126" s="1042"/>
      <c r="DP126" s="1042"/>
      <c r="DQ126" s="1042"/>
      <c r="DR126" s="1042"/>
      <c r="DS126" s="1042"/>
      <c r="DT126" s="1042"/>
      <c r="DU126" s="1042"/>
      <c r="DV126" s="1042"/>
      <c r="DW126" s="1042"/>
      <c r="DX126" s="1042"/>
      <c r="DY126" s="1042"/>
      <c r="DZ126" s="1042"/>
      <c r="EA126" s="1042"/>
      <c r="EB126" s="1042"/>
      <c r="EC126" s="1042"/>
      <c r="ED126" s="1042"/>
      <c r="EE126" s="1042"/>
      <c r="EF126" s="1042"/>
      <c r="EG126" s="1042"/>
      <c r="EH126" s="1042"/>
      <c r="EI126" s="1042"/>
      <c r="EJ126" s="1042"/>
      <c r="EK126" s="1042"/>
      <c r="EL126" s="1042"/>
      <c r="EM126" s="1042"/>
      <c r="EN126" s="1042"/>
      <c r="EO126" s="1042"/>
      <c r="EP126" s="1042"/>
      <c r="EQ126" s="1042"/>
      <c r="ER126" s="1042"/>
      <c r="ES126" s="1042"/>
      <c r="ET126" s="1042"/>
      <c r="EU126" s="1042"/>
      <c r="EV126" s="1042"/>
      <c r="EW126" s="1042"/>
      <c r="EX126" s="1042"/>
      <c r="EY126" s="1042"/>
      <c r="EZ126" s="1042"/>
      <c r="FA126" s="1042"/>
      <c r="FB126" s="1042"/>
      <c r="FC126" s="1042"/>
      <c r="FD126" s="1042"/>
      <c r="FE126" s="1042"/>
      <c r="FF126" s="1042"/>
      <c r="FG126" s="1042"/>
      <c r="FH126" s="1042"/>
      <c r="FI126" s="1042"/>
      <c r="FJ126" s="1042"/>
      <c r="FK126" s="1042"/>
      <c r="FL126" s="1042"/>
      <c r="FM126" s="1042"/>
      <c r="FN126" s="1042"/>
      <c r="FO126" s="1042"/>
      <c r="FP126" s="1042"/>
      <c r="FQ126" s="1042"/>
      <c r="FR126" s="1042"/>
      <c r="FS126" s="1042"/>
      <c r="FT126" s="1042"/>
      <c r="FU126" s="1042"/>
      <c r="FV126" s="1042"/>
      <c r="FW126" s="1042"/>
      <c r="FX126" s="1042"/>
      <c r="FY126" s="1042"/>
      <c r="FZ126" s="1042"/>
      <c r="GA126" s="1042"/>
      <c r="GB126" s="1042"/>
      <c r="GC126" s="1042"/>
      <c r="GD126" s="1042"/>
      <c r="GE126" s="1042"/>
      <c r="GF126" s="1042"/>
      <c r="GG126" s="1042"/>
      <c r="GH126" s="1042"/>
      <c r="GI126" s="1042"/>
      <c r="GJ126" s="1042"/>
      <c r="GK126" s="1042"/>
      <c r="GL126" s="1042"/>
      <c r="GM126" s="1042"/>
      <c r="GN126" s="1042"/>
      <c r="GO126" s="1042"/>
      <c r="GP126" s="1042"/>
      <c r="GQ126" s="1042"/>
      <c r="GR126" s="1042"/>
      <c r="GS126" s="1042"/>
      <c r="GT126" s="1042"/>
      <c r="GU126" s="1042"/>
      <c r="GV126" s="1042"/>
      <c r="GW126" s="1042"/>
      <c r="GX126" s="1042"/>
      <c r="GY126" s="1042"/>
      <c r="GZ126" s="1042"/>
      <c r="HA126" s="1042"/>
      <c r="HB126" s="1042"/>
      <c r="HC126" s="1042"/>
      <c r="HD126" s="1042"/>
      <c r="HE126" s="1042"/>
      <c r="HF126" s="1042"/>
      <c r="HG126" s="1042"/>
      <c r="HH126" s="1042"/>
      <c r="HI126" s="1042"/>
      <c r="HJ126" s="1042"/>
      <c r="HK126" s="1042"/>
      <c r="HL126" s="1042"/>
      <c r="HM126" s="1042"/>
      <c r="HN126" s="1042"/>
      <c r="HO126" s="1042"/>
      <c r="HP126" s="1042"/>
      <c r="HQ126" s="1042"/>
      <c r="HR126" s="1042"/>
      <c r="HS126" s="1042"/>
      <c r="HT126" s="1042"/>
      <c r="HU126" s="1042"/>
      <c r="HV126" s="1042"/>
      <c r="HW126" s="1042"/>
      <c r="HX126" s="1042"/>
      <c r="HY126" s="1042"/>
      <c r="HZ126" s="1042"/>
      <c r="IA126" s="1042"/>
      <c r="IB126" s="1042"/>
      <c r="IC126" s="1042"/>
      <c r="ID126" s="1042"/>
      <c r="IE126" s="1042"/>
      <c r="IF126" s="1042"/>
      <c r="IG126" s="1042"/>
      <c r="IH126" s="1042"/>
      <c r="II126" s="1042"/>
      <c r="IJ126" s="1042"/>
      <c r="IK126" s="1042"/>
      <c r="IL126" s="1042"/>
      <c r="IM126" s="1042"/>
    </row>
    <row r="127" spans="1:247">
      <c r="A127" s="1052" t="s">
        <v>960</v>
      </c>
      <c r="B127" s="1060"/>
      <c r="C127" s="1050">
        <v>47.539108229999997</v>
      </c>
      <c r="D127" s="1045">
        <v>39.789000000000001</v>
      </c>
      <c r="E127" s="1046">
        <v>111.802581</v>
      </c>
      <c r="F127" s="1046">
        <v>120.369</v>
      </c>
      <c r="G127" s="1047">
        <v>130.06012200000001</v>
      </c>
      <c r="H127" s="1048">
        <v>73.695706365448146</v>
      </c>
      <c r="I127" s="1048">
        <v>79.072897751260825</v>
      </c>
      <c r="J127" s="1048">
        <v>84.12240030489518</v>
      </c>
      <c r="K127" s="1049">
        <v>89.402860859401827</v>
      </c>
      <c r="L127" s="1028"/>
      <c r="M127" s="1045"/>
      <c r="N127" s="1050">
        <f t="shared" si="59"/>
        <v>73.695706365448146</v>
      </c>
      <c r="O127" s="1045">
        <f>I127</f>
        <v>79.072897751260825</v>
      </c>
      <c r="P127" s="1046">
        <f t="shared" ref="P127:Q128" si="93">J127</f>
        <v>84.12240030489518</v>
      </c>
      <c r="Q127" s="1046">
        <f t="shared" si="93"/>
        <v>89.402860859401827</v>
      </c>
      <c r="R127" s="1045">
        <f t="shared" ref="R127:T130" si="94">I127-O127</f>
        <v>0</v>
      </c>
      <c r="S127" s="1046">
        <f t="shared" si="94"/>
        <v>0</v>
      </c>
      <c r="T127" s="1046">
        <f t="shared" si="94"/>
        <v>0</v>
      </c>
      <c r="U127" s="1050">
        <f t="shared" si="56"/>
        <v>5.3771913858126794</v>
      </c>
      <c r="V127" s="948"/>
      <c r="W127" s="1045">
        <f>O127</f>
        <v>79.072897751260825</v>
      </c>
      <c r="X127" s="1046">
        <v>111.802581</v>
      </c>
      <c r="Y127" s="1045">
        <f t="shared" si="78"/>
        <v>32.729683248739178</v>
      </c>
      <c r="Z127" s="1051">
        <f t="shared" si="80"/>
        <v>3.6571385184052542E-2</v>
      </c>
      <c r="AA127" s="1017"/>
      <c r="AB127" s="952"/>
      <c r="AC127" s="1017"/>
      <c r="AD127" s="1017"/>
      <c r="AE127" s="1017"/>
      <c r="AF127" s="1017"/>
      <c r="AG127" s="1017"/>
      <c r="AH127" s="1017"/>
      <c r="AI127" s="1017"/>
      <c r="AJ127" s="1017"/>
      <c r="AK127" s="1017"/>
      <c r="AL127" s="1017"/>
      <c r="AM127" s="1017"/>
      <c r="AN127" s="1017"/>
      <c r="AO127" s="1017"/>
      <c r="AP127" s="1017"/>
      <c r="AQ127" s="1017"/>
      <c r="AR127" s="1017"/>
      <c r="AS127" s="1017"/>
      <c r="AT127" s="1017"/>
      <c r="AU127" s="1017"/>
      <c r="AV127" s="1017"/>
      <c r="AW127" s="1017"/>
      <c r="AX127" s="1017"/>
      <c r="AY127" s="1017"/>
      <c r="AZ127" s="1017"/>
      <c r="BA127" s="1017"/>
      <c r="BB127" s="1017"/>
      <c r="BC127" s="1017"/>
      <c r="BD127" s="1017"/>
      <c r="BE127" s="1017"/>
      <c r="BF127" s="1017"/>
      <c r="BG127" s="1017"/>
      <c r="BH127" s="1017"/>
      <c r="BI127" s="1017"/>
      <c r="BJ127" s="1017"/>
      <c r="BK127" s="1017"/>
      <c r="BL127" s="1017"/>
      <c r="BM127" s="1017"/>
      <c r="BN127" s="1017"/>
      <c r="BO127" s="1017"/>
      <c r="BP127" s="1017"/>
      <c r="BQ127" s="1017"/>
      <c r="BR127" s="1017"/>
      <c r="BS127" s="1017"/>
      <c r="BT127" s="1017"/>
      <c r="BU127" s="1017"/>
      <c r="BV127" s="1017"/>
      <c r="BW127" s="1017"/>
      <c r="BX127" s="1017"/>
      <c r="BY127" s="1017"/>
      <c r="BZ127" s="1017"/>
      <c r="CA127" s="1017"/>
      <c r="CB127" s="1017"/>
      <c r="CC127" s="1017"/>
      <c r="CD127" s="1017"/>
      <c r="CE127" s="1017"/>
      <c r="CF127" s="1017"/>
      <c r="CG127" s="1017"/>
      <c r="CH127" s="1017"/>
      <c r="CI127" s="1017"/>
      <c r="CJ127" s="1017"/>
      <c r="CK127" s="1017"/>
      <c r="CL127" s="1017"/>
      <c r="CM127" s="1017"/>
      <c r="CN127" s="1017"/>
      <c r="CO127" s="1017"/>
      <c r="CP127" s="1017"/>
      <c r="CQ127" s="1017"/>
      <c r="CR127" s="1017"/>
      <c r="CS127" s="1017"/>
      <c r="CT127" s="1017"/>
      <c r="CU127" s="1017"/>
      <c r="CV127" s="1017"/>
      <c r="CW127" s="1017"/>
      <c r="CX127" s="1017"/>
      <c r="CY127" s="1017"/>
      <c r="CZ127" s="1017"/>
      <c r="DA127" s="1017"/>
      <c r="DB127" s="1017"/>
      <c r="DC127" s="1017"/>
      <c r="DD127" s="1017"/>
      <c r="DE127" s="1017"/>
      <c r="DF127" s="1017"/>
      <c r="DG127" s="1017"/>
      <c r="DH127" s="1017"/>
      <c r="DI127" s="1017"/>
      <c r="DJ127" s="1017"/>
      <c r="DK127" s="1017"/>
      <c r="DL127" s="1017"/>
      <c r="DM127" s="1017"/>
      <c r="DN127" s="1017"/>
      <c r="DO127" s="1017"/>
      <c r="DP127" s="1017"/>
      <c r="DQ127" s="1017"/>
      <c r="DR127" s="1017"/>
      <c r="DS127" s="1017"/>
      <c r="DT127" s="1017"/>
      <c r="DU127" s="1017"/>
      <c r="DV127" s="1017"/>
      <c r="DW127" s="1017"/>
      <c r="DX127" s="1017"/>
      <c r="DY127" s="1017"/>
      <c r="DZ127" s="1017"/>
      <c r="EA127" s="1017"/>
      <c r="EB127" s="1017"/>
      <c r="EC127" s="1017"/>
      <c r="ED127" s="1017"/>
      <c r="EE127" s="1017"/>
      <c r="EF127" s="1017"/>
      <c r="EG127" s="1017"/>
      <c r="EH127" s="1017"/>
      <c r="EI127" s="1017"/>
      <c r="EJ127" s="1017"/>
      <c r="EK127" s="1017"/>
      <c r="EL127" s="1017"/>
      <c r="EM127" s="1017"/>
      <c r="EN127" s="1017"/>
      <c r="EO127" s="1017"/>
      <c r="EP127" s="1017"/>
      <c r="EQ127" s="1017"/>
      <c r="ER127" s="1017"/>
      <c r="ES127" s="1017"/>
      <c r="ET127" s="1017"/>
      <c r="EU127" s="1017"/>
      <c r="EV127" s="1017"/>
      <c r="EW127" s="1017"/>
      <c r="EX127" s="1017"/>
      <c r="EY127" s="1017"/>
      <c r="EZ127" s="1017"/>
      <c r="FA127" s="1017"/>
      <c r="FB127" s="1017"/>
      <c r="FC127" s="1017"/>
      <c r="FD127" s="1017"/>
      <c r="FE127" s="1017"/>
      <c r="FF127" s="1017"/>
      <c r="FG127" s="1017"/>
      <c r="FH127" s="1017"/>
      <c r="FI127" s="1017"/>
      <c r="FJ127" s="1017"/>
      <c r="FK127" s="1017"/>
      <c r="FL127" s="1017"/>
      <c r="FM127" s="1017"/>
      <c r="FN127" s="1017"/>
      <c r="FO127" s="1017"/>
      <c r="FP127" s="1017"/>
      <c r="FQ127" s="1017"/>
      <c r="FR127" s="1017"/>
      <c r="FS127" s="1017"/>
      <c r="FT127" s="1017"/>
      <c r="FU127" s="1017"/>
      <c r="FV127" s="1017"/>
      <c r="FW127" s="1017"/>
      <c r="FX127" s="1017"/>
      <c r="FY127" s="1017"/>
      <c r="FZ127" s="1017"/>
      <c r="GA127" s="1017"/>
      <c r="GB127" s="1017"/>
      <c r="GC127" s="1017"/>
      <c r="GD127" s="1017"/>
      <c r="GE127" s="1017"/>
      <c r="GF127" s="1017"/>
      <c r="GG127" s="1017"/>
      <c r="GH127" s="1017"/>
      <c r="GI127" s="1017"/>
      <c r="GJ127" s="1017"/>
      <c r="GK127" s="1017"/>
      <c r="GL127" s="1017"/>
      <c r="GM127" s="1017"/>
      <c r="GN127" s="1017"/>
      <c r="GO127" s="1017"/>
      <c r="GP127" s="1017"/>
      <c r="GQ127" s="1017"/>
      <c r="GR127" s="1017"/>
      <c r="GS127" s="1017"/>
      <c r="GT127" s="1017"/>
      <c r="GU127" s="1017"/>
      <c r="GV127" s="1017"/>
      <c r="GW127" s="1017"/>
      <c r="GX127" s="1017"/>
      <c r="GY127" s="1017"/>
      <c r="GZ127" s="1017"/>
      <c r="HA127" s="1017"/>
      <c r="HB127" s="1017"/>
      <c r="HC127" s="1017"/>
      <c r="HD127" s="1017"/>
      <c r="HE127" s="1017"/>
      <c r="HF127" s="1017"/>
      <c r="HG127" s="1017"/>
      <c r="HH127" s="1017"/>
      <c r="HI127" s="1017"/>
      <c r="HJ127" s="1017"/>
      <c r="HK127" s="1017"/>
      <c r="HL127" s="1017"/>
      <c r="HM127" s="1017"/>
      <c r="HN127" s="1017"/>
      <c r="HO127" s="1017"/>
      <c r="HP127" s="1017"/>
      <c r="HQ127" s="1017"/>
      <c r="HR127" s="1017"/>
      <c r="HS127" s="1017"/>
      <c r="HT127" s="1017"/>
      <c r="HU127" s="1017"/>
      <c r="HV127" s="1017"/>
      <c r="HW127" s="1017"/>
      <c r="HX127" s="1017"/>
      <c r="HY127" s="1017"/>
      <c r="HZ127" s="1017"/>
      <c r="IA127" s="1017"/>
      <c r="IB127" s="1017"/>
      <c r="IC127" s="1017"/>
      <c r="ID127" s="1017"/>
      <c r="IE127" s="1017"/>
      <c r="IF127" s="1017"/>
      <c r="IG127" s="1017"/>
      <c r="IH127" s="1017"/>
      <c r="II127" s="1017"/>
      <c r="IJ127" s="1017"/>
      <c r="IK127" s="1017"/>
      <c r="IL127" s="1017"/>
      <c r="IM127" s="1017"/>
    </row>
    <row r="128" spans="1:247">
      <c r="A128" s="1052" t="s">
        <v>990</v>
      </c>
      <c r="B128" s="1053"/>
      <c r="C128" s="1050">
        <v>0</v>
      </c>
      <c r="D128" s="1045">
        <v>8.8000000000000007</v>
      </c>
      <c r="E128" s="1046">
        <v>3.0550000000000002</v>
      </c>
      <c r="F128" s="1056">
        <v>3.1467000000000001</v>
      </c>
      <c r="G128" s="1057">
        <v>3.2410999999999999</v>
      </c>
      <c r="H128" s="1048">
        <v>0</v>
      </c>
      <c r="I128" s="1048">
        <v>0</v>
      </c>
      <c r="J128" s="1048">
        <v>0</v>
      </c>
      <c r="K128" s="1049">
        <v>0</v>
      </c>
      <c r="L128" s="1028"/>
      <c r="M128" s="1074"/>
      <c r="N128" s="1050">
        <f t="shared" si="59"/>
        <v>0</v>
      </c>
      <c r="O128" s="1045">
        <f>I128</f>
        <v>0</v>
      </c>
      <c r="P128" s="1046">
        <f t="shared" si="93"/>
        <v>0</v>
      </c>
      <c r="Q128" s="1046">
        <f t="shared" si="93"/>
        <v>0</v>
      </c>
      <c r="R128" s="1045">
        <f t="shared" si="94"/>
        <v>0</v>
      </c>
      <c r="S128" s="1046">
        <f t="shared" si="94"/>
        <v>0</v>
      </c>
      <c r="T128" s="1046">
        <f t="shared" si="94"/>
        <v>0</v>
      </c>
      <c r="U128" s="1050">
        <f t="shared" si="56"/>
        <v>0</v>
      </c>
      <c r="V128" s="948"/>
      <c r="W128" s="1045">
        <f t="shared" ref="W128:W129" si="95">O128</f>
        <v>0</v>
      </c>
      <c r="X128" s="1046">
        <v>0</v>
      </c>
      <c r="Y128" s="1045">
        <f t="shared" si="78"/>
        <v>0</v>
      </c>
      <c r="Z128" s="1051">
        <f t="shared" si="80"/>
        <v>0</v>
      </c>
      <c r="AA128" s="1017"/>
      <c r="AB128" s="952"/>
      <c r="AC128" s="1017"/>
      <c r="AD128" s="1017"/>
      <c r="AE128" s="1017"/>
      <c r="AF128" s="1017"/>
      <c r="AG128" s="1017"/>
      <c r="AH128" s="1017"/>
      <c r="AI128" s="1017"/>
      <c r="AJ128" s="1017"/>
      <c r="AK128" s="1017"/>
      <c r="AL128" s="1017"/>
      <c r="AM128" s="1017"/>
      <c r="AN128" s="1017"/>
      <c r="AO128" s="1017"/>
      <c r="AP128" s="1017"/>
      <c r="AQ128" s="1017"/>
      <c r="AR128" s="1017"/>
      <c r="AS128" s="1017"/>
      <c r="AT128" s="1017"/>
      <c r="AU128" s="1017"/>
      <c r="AV128" s="1017"/>
      <c r="AW128" s="1017"/>
      <c r="AX128" s="1017"/>
      <c r="AY128" s="1017"/>
      <c r="AZ128" s="1017"/>
      <c r="BA128" s="1017"/>
      <c r="BB128" s="1017"/>
      <c r="BC128" s="1017"/>
      <c r="BD128" s="1017"/>
      <c r="BE128" s="1017"/>
      <c r="BF128" s="1017"/>
      <c r="BG128" s="1017"/>
      <c r="BH128" s="1017"/>
      <c r="BI128" s="1017"/>
      <c r="BJ128" s="1017"/>
      <c r="BK128" s="1017"/>
      <c r="BL128" s="1017"/>
      <c r="BM128" s="1017"/>
      <c r="BN128" s="1017"/>
      <c r="BO128" s="1017"/>
      <c r="BP128" s="1017"/>
      <c r="BQ128" s="1017"/>
      <c r="BR128" s="1017"/>
      <c r="BS128" s="1017"/>
      <c r="BT128" s="1017"/>
      <c r="BU128" s="1017"/>
      <c r="BV128" s="1017"/>
      <c r="BW128" s="1017"/>
      <c r="BX128" s="1017"/>
      <c r="BY128" s="1017"/>
      <c r="BZ128" s="1017"/>
      <c r="CA128" s="1017"/>
      <c r="CB128" s="1017"/>
      <c r="CC128" s="1017"/>
      <c r="CD128" s="1017"/>
      <c r="CE128" s="1017"/>
      <c r="CF128" s="1017"/>
      <c r="CG128" s="1017"/>
      <c r="CH128" s="1017"/>
      <c r="CI128" s="1017"/>
      <c r="CJ128" s="1017"/>
      <c r="CK128" s="1017"/>
      <c r="CL128" s="1017"/>
      <c r="CM128" s="1017"/>
      <c r="CN128" s="1017"/>
      <c r="CO128" s="1017"/>
      <c r="CP128" s="1017"/>
      <c r="CQ128" s="1017"/>
      <c r="CR128" s="1017"/>
      <c r="CS128" s="1017"/>
      <c r="CT128" s="1017"/>
      <c r="CU128" s="1017"/>
      <c r="CV128" s="1017"/>
      <c r="CW128" s="1017"/>
      <c r="CX128" s="1017"/>
      <c r="CY128" s="1017"/>
      <c r="CZ128" s="1017"/>
      <c r="DA128" s="1017"/>
      <c r="DB128" s="1017"/>
      <c r="DC128" s="1017"/>
      <c r="DD128" s="1017"/>
      <c r="DE128" s="1017"/>
      <c r="DF128" s="1017"/>
      <c r="DG128" s="1017"/>
      <c r="DH128" s="1017"/>
      <c r="DI128" s="1017"/>
      <c r="DJ128" s="1017"/>
      <c r="DK128" s="1017"/>
      <c r="DL128" s="1017"/>
      <c r="DM128" s="1017"/>
      <c r="DN128" s="1017"/>
      <c r="DO128" s="1017"/>
      <c r="DP128" s="1017"/>
      <c r="DQ128" s="1017"/>
      <c r="DR128" s="1017"/>
      <c r="DS128" s="1017"/>
      <c r="DT128" s="1017"/>
      <c r="DU128" s="1017"/>
      <c r="DV128" s="1017"/>
      <c r="DW128" s="1017"/>
      <c r="DX128" s="1017"/>
      <c r="DY128" s="1017"/>
      <c r="DZ128" s="1017"/>
      <c r="EA128" s="1017"/>
      <c r="EB128" s="1017"/>
      <c r="EC128" s="1017"/>
      <c r="ED128" s="1017"/>
      <c r="EE128" s="1017"/>
      <c r="EF128" s="1017"/>
      <c r="EG128" s="1017"/>
      <c r="EH128" s="1017"/>
      <c r="EI128" s="1017"/>
      <c r="EJ128" s="1017"/>
      <c r="EK128" s="1017"/>
      <c r="EL128" s="1017"/>
      <c r="EM128" s="1017"/>
      <c r="EN128" s="1017"/>
      <c r="EO128" s="1017"/>
      <c r="EP128" s="1017"/>
      <c r="EQ128" s="1017"/>
      <c r="ER128" s="1017"/>
      <c r="ES128" s="1017"/>
      <c r="ET128" s="1017"/>
      <c r="EU128" s="1017"/>
      <c r="EV128" s="1017"/>
      <c r="EW128" s="1017"/>
      <c r="EX128" s="1017"/>
      <c r="EY128" s="1017"/>
      <c r="EZ128" s="1017"/>
      <c r="FA128" s="1017"/>
      <c r="FB128" s="1017"/>
      <c r="FC128" s="1017"/>
      <c r="FD128" s="1017"/>
      <c r="FE128" s="1017"/>
      <c r="FF128" s="1017"/>
      <c r="FG128" s="1017"/>
      <c r="FH128" s="1017"/>
      <c r="FI128" s="1017"/>
      <c r="FJ128" s="1017"/>
      <c r="FK128" s="1017"/>
      <c r="FL128" s="1017"/>
      <c r="FM128" s="1017"/>
      <c r="FN128" s="1017"/>
      <c r="FO128" s="1017"/>
      <c r="FP128" s="1017"/>
      <c r="FQ128" s="1017"/>
      <c r="FR128" s="1017"/>
      <c r="FS128" s="1017"/>
      <c r="FT128" s="1017"/>
      <c r="FU128" s="1017"/>
      <c r="FV128" s="1017"/>
      <c r="FW128" s="1017"/>
      <c r="FX128" s="1017"/>
      <c r="FY128" s="1017"/>
      <c r="FZ128" s="1017"/>
      <c r="GA128" s="1017"/>
      <c r="GB128" s="1017"/>
      <c r="GC128" s="1017"/>
      <c r="GD128" s="1017"/>
      <c r="GE128" s="1017"/>
      <c r="GF128" s="1017"/>
      <c r="GG128" s="1017"/>
      <c r="GH128" s="1017"/>
      <c r="GI128" s="1017"/>
      <c r="GJ128" s="1017"/>
      <c r="GK128" s="1017"/>
      <c r="GL128" s="1017"/>
      <c r="GM128" s="1017"/>
      <c r="GN128" s="1017"/>
      <c r="GO128" s="1017"/>
      <c r="GP128" s="1017"/>
      <c r="GQ128" s="1017"/>
      <c r="GR128" s="1017"/>
      <c r="GS128" s="1017"/>
      <c r="GT128" s="1017"/>
      <c r="GU128" s="1017"/>
      <c r="GV128" s="1017"/>
      <c r="GW128" s="1017"/>
      <c r="GX128" s="1017"/>
      <c r="GY128" s="1017"/>
      <c r="GZ128" s="1017"/>
      <c r="HA128" s="1017"/>
      <c r="HB128" s="1017"/>
      <c r="HC128" s="1017"/>
      <c r="HD128" s="1017"/>
      <c r="HE128" s="1017"/>
      <c r="HF128" s="1017"/>
      <c r="HG128" s="1017"/>
      <c r="HH128" s="1017"/>
      <c r="HI128" s="1017"/>
      <c r="HJ128" s="1017"/>
      <c r="HK128" s="1017"/>
      <c r="HL128" s="1017"/>
      <c r="HM128" s="1017"/>
      <c r="HN128" s="1017"/>
      <c r="HO128" s="1017"/>
      <c r="HP128" s="1017"/>
      <c r="HQ128" s="1017"/>
      <c r="HR128" s="1017"/>
      <c r="HS128" s="1017"/>
      <c r="HT128" s="1017"/>
      <c r="HU128" s="1017"/>
      <c r="HV128" s="1017"/>
      <c r="HW128" s="1017"/>
      <c r="HX128" s="1017"/>
      <c r="HY128" s="1017"/>
      <c r="HZ128" s="1017"/>
      <c r="IA128" s="1017"/>
      <c r="IB128" s="1017"/>
      <c r="IC128" s="1017"/>
      <c r="ID128" s="1017"/>
      <c r="IE128" s="1017"/>
      <c r="IF128" s="1017"/>
      <c r="IG128" s="1017"/>
      <c r="IH128" s="1017"/>
      <c r="II128" s="1017"/>
      <c r="IJ128" s="1017"/>
      <c r="IK128" s="1017"/>
      <c r="IL128" s="1017"/>
      <c r="IM128" s="1017"/>
    </row>
    <row r="129" spans="1:247">
      <c r="A129" s="1052" t="s">
        <v>991</v>
      </c>
      <c r="B129" s="1053"/>
      <c r="C129" s="1050">
        <f>254.2537</f>
        <v>254.25370000000001</v>
      </c>
      <c r="D129" s="1045">
        <f>160.887+12</f>
        <v>172.887</v>
      </c>
      <c r="E129" s="1046">
        <v>175.408345</v>
      </c>
      <c r="F129" s="1046">
        <v>176.408345</v>
      </c>
      <c r="G129" s="1047">
        <v>176.908345</v>
      </c>
      <c r="H129" s="1048">
        <v>172.887</v>
      </c>
      <c r="I129" s="1048">
        <v>175.408345</v>
      </c>
      <c r="J129" s="1048">
        <v>176.408345</v>
      </c>
      <c r="K129" s="1049">
        <v>176.908345</v>
      </c>
      <c r="L129" s="1028"/>
      <c r="M129" s="1045"/>
      <c r="N129" s="1050">
        <f t="shared" si="59"/>
        <v>172.887</v>
      </c>
      <c r="O129" s="1045">
        <v>178.62333873043616</v>
      </c>
      <c r="P129" s="1046">
        <v>184.50399426017412</v>
      </c>
      <c r="Q129" s="1046">
        <v>191.28786155720442</v>
      </c>
      <c r="R129" s="1045">
        <f t="shared" si="94"/>
        <v>-3.2149937304361629</v>
      </c>
      <c r="S129" s="1046">
        <f t="shared" si="94"/>
        <v>-8.0956492601741274</v>
      </c>
      <c r="T129" s="1046">
        <f t="shared" si="94"/>
        <v>-14.379516557204425</v>
      </c>
      <c r="U129" s="1050">
        <f t="shared" si="56"/>
        <v>5.7363387304361595</v>
      </c>
      <c r="V129" s="948"/>
      <c r="W129" s="1045">
        <f t="shared" si="95"/>
        <v>178.62333873043616</v>
      </c>
      <c r="X129" s="1046">
        <v>175.408345</v>
      </c>
      <c r="Y129" s="1045">
        <f t="shared" si="78"/>
        <v>-3.2149937304361629</v>
      </c>
      <c r="Z129" s="1051">
        <f t="shared" si="80"/>
        <v>-3.592359057878271E-3</v>
      </c>
      <c r="AA129" s="1017"/>
      <c r="AB129" s="952"/>
      <c r="AC129" s="1017"/>
      <c r="AD129" s="1017"/>
      <c r="AE129" s="1017"/>
      <c r="AF129" s="1017"/>
      <c r="AG129" s="1017"/>
      <c r="AH129" s="1017"/>
      <c r="AI129" s="1017"/>
      <c r="AJ129" s="1017"/>
      <c r="AK129" s="1017"/>
      <c r="AL129" s="1017"/>
      <c r="AM129" s="1017"/>
      <c r="AN129" s="1017"/>
      <c r="AO129" s="1017"/>
      <c r="AP129" s="1017"/>
      <c r="AQ129" s="1017"/>
      <c r="AR129" s="1017"/>
      <c r="AS129" s="1017"/>
      <c r="AT129" s="1017"/>
      <c r="AU129" s="1017"/>
      <c r="AV129" s="1017"/>
      <c r="AW129" s="1017"/>
      <c r="AX129" s="1017"/>
      <c r="AY129" s="1017"/>
      <c r="AZ129" s="1017"/>
      <c r="BA129" s="1017"/>
      <c r="BB129" s="1017"/>
      <c r="BC129" s="1017"/>
      <c r="BD129" s="1017"/>
      <c r="BE129" s="1017"/>
      <c r="BF129" s="1017"/>
      <c r="BG129" s="1017"/>
      <c r="BH129" s="1017"/>
      <c r="BI129" s="1017"/>
      <c r="BJ129" s="1017"/>
      <c r="BK129" s="1017"/>
      <c r="BL129" s="1017"/>
      <c r="BM129" s="1017"/>
      <c r="BN129" s="1017"/>
      <c r="BO129" s="1017"/>
      <c r="BP129" s="1017"/>
      <c r="BQ129" s="1017"/>
      <c r="BR129" s="1017"/>
      <c r="BS129" s="1017"/>
      <c r="BT129" s="1017"/>
      <c r="BU129" s="1017"/>
      <c r="BV129" s="1017"/>
      <c r="BW129" s="1017"/>
      <c r="BX129" s="1017"/>
      <c r="BY129" s="1017"/>
      <c r="BZ129" s="1017"/>
      <c r="CA129" s="1017"/>
      <c r="CB129" s="1017"/>
      <c r="CC129" s="1017"/>
      <c r="CD129" s="1017"/>
      <c r="CE129" s="1017"/>
      <c r="CF129" s="1017"/>
      <c r="CG129" s="1017"/>
      <c r="CH129" s="1017"/>
      <c r="CI129" s="1017"/>
      <c r="CJ129" s="1017"/>
      <c r="CK129" s="1017"/>
      <c r="CL129" s="1017"/>
      <c r="CM129" s="1017"/>
      <c r="CN129" s="1017"/>
      <c r="CO129" s="1017"/>
      <c r="CP129" s="1017"/>
      <c r="CQ129" s="1017"/>
      <c r="CR129" s="1017"/>
      <c r="CS129" s="1017"/>
      <c r="CT129" s="1017"/>
      <c r="CU129" s="1017"/>
      <c r="CV129" s="1017"/>
      <c r="CW129" s="1017"/>
      <c r="CX129" s="1017"/>
      <c r="CY129" s="1017"/>
      <c r="CZ129" s="1017"/>
      <c r="DA129" s="1017"/>
      <c r="DB129" s="1017"/>
      <c r="DC129" s="1017"/>
      <c r="DD129" s="1017"/>
      <c r="DE129" s="1017"/>
      <c r="DF129" s="1017"/>
      <c r="DG129" s="1017"/>
      <c r="DH129" s="1017"/>
      <c r="DI129" s="1017"/>
      <c r="DJ129" s="1017"/>
      <c r="DK129" s="1017"/>
      <c r="DL129" s="1017"/>
      <c r="DM129" s="1017"/>
      <c r="DN129" s="1017"/>
      <c r="DO129" s="1017"/>
      <c r="DP129" s="1017"/>
      <c r="DQ129" s="1017"/>
      <c r="DR129" s="1017"/>
      <c r="DS129" s="1017"/>
      <c r="DT129" s="1017"/>
      <c r="DU129" s="1017"/>
      <c r="DV129" s="1017"/>
      <c r="DW129" s="1017"/>
      <c r="DX129" s="1017"/>
      <c r="DY129" s="1017"/>
      <c r="DZ129" s="1017"/>
      <c r="EA129" s="1017"/>
      <c r="EB129" s="1017"/>
      <c r="EC129" s="1017"/>
      <c r="ED129" s="1017"/>
      <c r="EE129" s="1017"/>
      <c r="EF129" s="1017"/>
      <c r="EG129" s="1017"/>
      <c r="EH129" s="1017"/>
      <c r="EI129" s="1017"/>
      <c r="EJ129" s="1017"/>
      <c r="EK129" s="1017"/>
      <c r="EL129" s="1017"/>
      <c r="EM129" s="1017"/>
      <c r="EN129" s="1017"/>
      <c r="EO129" s="1017"/>
      <c r="EP129" s="1017"/>
      <c r="EQ129" s="1017"/>
      <c r="ER129" s="1017"/>
      <c r="ES129" s="1017"/>
      <c r="ET129" s="1017"/>
      <c r="EU129" s="1017"/>
      <c r="EV129" s="1017"/>
      <c r="EW129" s="1017"/>
      <c r="EX129" s="1017"/>
      <c r="EY129" s="1017"/>
      <c r="EZ129" s="1017"/>
      <c r="FA129" s="1017"/>
      <c r="FB129" s="1017"/>
      <c r="FC129" s="1017"/>
      <c r="FD129" s="1017"/>
      <c r="FE129" s="1017"/>
      <c r="FF129" s="1017"/>
      <c r="FG129" s="1017"/>
      <c r="FH129" s="1017"/>
      <c r="FI129" s="1017"/>
      <c r="FJ129" s="1017"/>
      <c r="FK129" s="1017"/>
      <c r="FL129" s="1017"/>
      <c r="FM129" s="1017"/>
      <c r="FN129" s="1017"/>
      <c r="FO129" s="1017"/>
      <c r="FP129" s="1017"/>
      <c r="FQ129" s="1017"/>
      <c r="FR129" s="1017"/>
      <c r="FS129" s="1017"/>
      <c r="FT129" s="1017"/>
      <c r="FU129" s="1017"/>
      <c r="FV129" s="1017"/>
      <c r="FW129" s="1017"/>
      <c r="FX129" s="1017"/>
      <c r="FY129" s="1017"/>
      <c r="FZ129" s="1017"/>
      <c r="GA129" s="1017"/>
      <c r="GB129" s="1017"/>
      <c r="GC129" s="1017"/>
      <c r="GD129" s="1017"/>
      <c r="GE129" s="1017"/>
      <c r="GF129" s="1017"/>
      <c r="GG129" s="1017"/>
      <c r="GH129" s="1017"/>
      <c r="GI129" s="1017"/>
      <c r="GJ129" s="1017"/>
      <c r="GK129" s="1017"/>
      <c r="GL129" s="1017"/>
      <c r="GM129" s="1017"/>
      <c r="GN129" s="1017"/>
      <c r="GO129" s="1017"/>
      <c r="GP129" s="1017"/>
      <c r="GQ129" s="1017"/>
      <c r="GR129" s="1017"/>
      <c r="GS129" s="1017"/>
      <c r="GT129" s="1017"/>
      <c r="GU129" s="1017"/>
      <c r="GV129" s="1017"/>
      <c r="GW129" s="1017"/>
      <c r="GX129" s="1017"/>
      <c r="GY129" s="1017"/>
      <c r="GZ129" s="1017"/>
      <c r="HA129" s="1017"/>
      <c r="HB129" s="1017"/>
      <c r="HC129" s="1017"/>
      <c r="HD129" s="1017"/>
      <c r="HE129" s="1017"/>
      <c r="HF129" s="1017"/>
      <c r="HG129" s="1017"/>
      <c r="HH129" s="1017"/>
      <c r="HI129" s="1017"/>
      <c r="HJ129" s="1017"/>
      <c r="HK129" s="1017"/>
      <c r="HL129" s="1017"/>
      <c r="HM129" s="1017"/>
      <c r="HN129" s="1017"/>
      <c r="HO129" s="1017"/>
      <c r="HP129" s="1017"/>
      <c r="HQ129" s="1017"/>
      <c r="HR129" s="1017"/>
      <c r="HS129" s="1017"/>
      <c r="HT129" s="1017"/>
      <c r="HU129" s="1017"/>
      <c r="HV129" s="1017"/>
      <c r="HW129" s="1017"/>
      <c r="HX129" s="1017"/>
      <c r="HY129" s="1017"/>
      <c r="HZ129" s="1017"/>
      <c r="IA129" s="1017"/>
      <c r="IB129" s="1017"/>
      <c r="IC129" s="1017"/>
      <c r="ID129" s="1017"/>
      <c r="IE129" s="1017"/>
      <c r="IF129" s="1017"/>
      <c r="IG129" s="1017"/>
      <c r="IH129" s="1017"/>
      <c r="II129" s="1017"/>
      <c r="IJ129" s="1017"/>
      <c r="IK129" s="1017"/>
      <c r="IL129" s="1017"/>
      <c r="IM129" s="1017"/>
    </row>
    <row r="130" spans="1:247">
      <c r="A130" s="1052" t="s">
        <v>432</v>
      </c>
      <c r="B130" s="1053"/>
      <c r="C130" s="1050">
        <f>C126-SUM(C127:C129)</f>
        <v>74.608191770000019</v>
      </c>
      <c r="D130" s="1045">
        <f>D126-SUM(D127:D129)</f>
        <v>118.60700000000008</v>
      </c>
      <c r="E130" s="1046">
        <f>E126-SUM(E127:E129)</f>
        <v>103.97007399999995</v>
      </c>
      <c r="F130" s="1046">
        <f>F126-SUM(F127:F129)</f>
        <v>81.936955000000012</v>
      </c>
      <c r="G130" s="1047">
        <f>G126-SUM(G127:G129)</f>
        <v>81.314433000000008</v>
      </c>
      <c r="H130" s="1048">
        <v>91.561000000000092</v>
      </c>
      <c r="I130" s="1048">
        <v>103.97007399999995</v>
      </c>
      <c r="J130" s="1048">
        <v>81.936955000000012</v>
      </c>
      <c r="K130" s="1049">
        <v>81.314433000000008</v>
      </c>
      <c r="L130" s="1028"/>
      <c r="M130" s="1045"/>
      <c r="N130" s="1050">
        <f t="shared" si="59"/>
        <v>91.561000000000092</v>
      </c>
      <c r="O130" s="1045">
        <v>94.598966478089636</v>
      </c>
      <c r="P130" s="1046">
        <v>97.713363170486048</v>
      </c>
      <c r="Q130" s="1046">
        <v>101.30610104888866</v>
      </c>
      <c r="R130" s="1045">
        <f t="shared" si="94"/>
        <v>9.3711075219103179</v>
      </c>
      <c r="S130" s="1046">
        <f t="shared" si="94"/>
        <v>-15.776408170486036</v>
      </c>
      <c r="T130" s="1046">
        <f t="shared" si="94"/>
        <v>-19.991668048888656</v>
      </c>
      <c r="U130" s="1050">
        <f t="shared" si="56"/>
        <v>3.0379664780895439</v>
      </c>
      <c r="V130" s="948"/>
      <c r="W130" s="1045">
        <f>O130</f>
        <v>94.598966478089636</v>
      </c>
      <c r="X130" s="1046">
        <v>103.97007399999995</v>
      </c>
      <c r="Y130" s="1045">
        <f t="shared" si="78"/>
        <v>9.3711075219103179</v>
      </c>
      <c r="Z130" s="1051">
        <f t="shared" si="80"/>
        <v>1.0471057119019215E-2</v>
      </c>
      <c r="AA130" s="1017"/>
      <c r="AB130" s="952"/>
      <c r="AC130" s="1017"/>
      <c r="AD130" s="1017"/>
      <c r="AE130" s="1017"/>
      <c r="AF130" s="1017"/>
      <c r="AG130" s="1017"/>
      <c r="AH130" s="1017"/>
      <c r="AI130" s="1017"/>
      <c r="AJ130" s="1017"/>
      <c r="AK130" s="1017"/>
      <c r="AL130" s="1017"/>
      <c r="AM130" s="1017"/>
      <c r="AN130" s="1017"/>
      <c r="AO130" s="1017"/>
      <c r="AP130" s="1017"/>
      <c r="AQ130" s="1017"/>
      <c r="AR130" s="1017"/>
      <c r="AS130" s="1017"/>
      <c r="AT130" s="1017"/>
      <c r="AU130" s="1017"/>
      <c r="AV130" s="1017"/>
      <c r="AW130" s="1017"/>
      <c r="AX130" s="1017"/>
      <c r="AY130" s="1017"/>
      <c r="AZ130" s="1017"/>
      <c r="BA130" s="1017"/>
      <c r="BB130" s="1017"/>
      <c r="BC130" s="1017"/>
      <c r="BD130" s="1017"/>
      <c r="BE130" s="1017"/>
      <c r="BF130" s="1017"/>
      <c r="BG130" s="1017"/>
      <c r="BH130" s="1017"/>
      <c r="BI130" s="1017"/>
      <c r="BJ130" s="1017"/>
      <c r="BK130" s="1017"/>
      <c r="BL130" s="1017"/>
      <c r="BM130" s="1017"/>
      <c r="BN130" s="1017"/>
      <c r="BO130" s="1017"/>
      <c r="BP130" s="1017"/>
      <c r="BQ130" s="1017"/>
      <c r="BR130" s="1017"/>
      <c r="BS130" s="1017"/>
      <c r="BT130" s="1017"/>
      <c r="BU130" s="1017"/>
      <c r="BV130" s="1017"/>
      <c r="BW130" s="1017"/>
      <c r="BX130" s="1017"/>
      <c r="BY130" s="1017"/>
      <c r="BZ130" s="1017"/>
      <c r="CA130" s="1017"/>
      <c r="CB130" s="1017"/>
      <c r="CC130" s="1017"/>
      <c r="CD130" s="1017"/>
      <c r="CE130" s="1017"/>
      <c r="CF130" s="1017"/>
      <c r="CG130" s="1017"/>
      <c r="CH130" s="1017"/>
      <c r="CI130" s="1017"/>
      <c r="CJ130" s="1017"/>
      <c r="CK130" s="1017"/>
      <c r="CL130" s="1017"/>
      <c r="CM130" s="1017"/>
      <c r="CN130" s="1017"/>
      <c r="CO130" s="1017"/>
      <c r="CP130" s="1017"/>
      <c r="CQ130" s="1017"/>
      <c r="CR130" s="1017"/>
      <c r="CS130" s="1017"/>
      <c r="CT130" s="1017"/>
      <c r="CU130" s="1017"/>
      <c r="CV130" s="1017"/>
      <c r="CW130" s="1017"/>
      <c r="CX130" s="1017"/>
      <c r="CY130" s="1017"/>
      <c r="CZ130" s="1017"/>
      <c r="DA130" s="1017"/>
      <c r="DB130" s="1017"/>
      <c r="DC130" s="1017"/>
      <c r="DD130" s="1017"/>
      <c r="DE130" s="1017"/>
      <c r="DF130" s="1017"/>
      <c r="DG130" s="1017"/>
      <c r="DH130" s="1017"/>
      <c r="DI130" s="1017"/>
      <c r="DJ130" s="1017"/>
      <c r="DK130" s="1017"/>
      <c r="DL130" s="1017"/>
      <c r="DM130" s="1017"/>
      <c r="DN130" s="1017"/>
      <c r="DO130" s="1017"/>
      <c r="DP130" s="1017"/>
      <c r="DQ130" s="1017"/>
      <c r="DR130" s="1017"/>
      <c r="DS130" s="1017"/>
      <c r="DT130" s="1017"/>
      <c r="DU130" s="1017"/>
      <c r="DV130" s="1017"/>
      <c r="DW130" s="1017"/>
      <c r="DX130" s="1017"/>
      <c r="DY130" s="1017"/>
      <c r="DZ130" s="1017"/>
      <c r="EA130" s="1017"/>
      <c r="EB130" s="1017"/>
      <c r="EC130" s="1017"/>
      <c r="ED130" s="1017"/>
      <c r="EE130" s="1017"/>
      <c r="EF130" s="1017"/>
      <c r="EG130" s="1017"/>
      <c r="EH130" s="1017"/>
      <c r="EI130" s="1017"/>
      <c r="EJ130" s="1017"/>
      <c r="EK130" s="1017"/>
      <c r="EL130" s="1017"/>
      <c r="EM130" s="1017"/>
      <c r="EN130" s="1017"/>
      <c r="EO130" s="1017"/>
      <c r="EP130" s="1017"/>
      <c r="EQ130" s="1017"/>
      <c r="ER130" s="1017"/>
      <c r="ES130" s="1017"/>
      <c r="ET130" s="1017"/>
      <c r="EU130" s="1017"/>
      <c r="EV130" s="1017"/>
      <c r="EW130" s="1017"/>
      <c r="EX130" s="1017"/>
      <c r="EY130" s="1017"/>
      <c r="EZ130" s="1017"/>
      <c r="FA130" s="1017"/>
      <c r="FB130" s="1017"/>
      <c r="FC130" s="1017"/>
      <c r="FD130" s="1017"/>
      <c r="FE130" s="1017"/>
      <c r="FF130" s="1017"/>
      <c r="FG130" s="1017"/>
      <c r="FH130" s="1017"/>
      <c r="FI130" s="1017"/>
      <c r="FJ130" s="1017"/>
      <c r="FK130" s="1017"/>
      <c r="FL130" s="1017"/>
      <c r="FM130" s="1017"/>
      <c r="FN130" s="1017"/>
      <c r="FO130" s="1017"/>
      <c r="FP130" s="1017"/>
      <c r="FQ130" s="1017"/>
      <c r="FR130" s="1017"/>
      <c r="FS130" s="1017"/>
      <c r="FT130" s="1017"/>
      <c r="FU130" s="1017"/>
      <c r="FV130" s="1017"/>
      <c r="FW130" s="1017"/>
      <c r="FX130" s="1017"/>
      <c r="FY130" s="1017"/>
      <c r="FZ130" s="1017"/>
      <c r="GA130" s="1017"/>
      <c r="GB130" s="1017"/>
      <c r="GC130" s="1017"/>
      <c r="GD130" s="1017"/>
      <c r="GE130" s="1017"/>
      <c r="GF130" s="1017"/>
      <c r="GG130" s="1017"/>
      <c r="GH130" s="1017"/>
      <c r="GI130" s="1017"/>
      <c r="GJ130" s="1017"/>
      <c r="GK130" s="1017"/>
      <c r="GL130" s="1017"/>
      <c r="GM130" s="1017"/>
      <c r="GN130" s="1017"/>
      <c r="GO130" s="1017"/>
      <c r="GP130" s="1017"/>
      <c r="GQ130" s="1017"/>
      <c r="GR130" s="1017"/>
      <c r="GS130" s="1017"/>
      <c r="GT130" s="1017"/>
      <c r="GU130" s="1017"/>
      <c r="GV130" s="1017"/>
      <c r="GW130" s="1017"/>
      <c r="GX130" s="1017"/>
      <c r="GY130" s="1017"/>
      <c r="GZ130" s="1017"/>
      <c r="HA130" s="1017"/>
      <c r="HB130" s="1017"/>
      <c r="HC130" s="1017"/>
      <c r="HD130" s="1017"/>
      <c r="HE130" s="1017"/>
      <c r="HF130" s="1017"/>
      <c r="HG130" s="1017"/>
      <c r="HH130" s="1017"/>
      <c r="HI130" s="1017"/>
      <c r="HJ130" s="1017"/>
      <c r="HK130" s="1017"/>
      <c r="HL130" s="1017"/>
      <c r="HM130" s="1017"/>
      <c r="HN130" s="1017"/>
      <c r="HO130" s="1017"/>
      <c r="HP130" s="1017"/>
      <c r="HQ130" s="1017"/>
      <c r="HR130" s="1017"/>
      <c r="HS130" s="1017"/>
      <c r="HT130" s="1017"/>
      <c r="HU130" s="1017"/>
      <c r="HV130" s="1017"/>
      <c r="HW130" s="1017"/>
      <c r="HX130" s="1017"/>
      <c r="HY130" s="1017"/>
      <c r="HZ130" s="1017"/>
      <c r="IA130" s="1017"/>
      <c r="IB130" s="1017"/>
      <c r="IC130" s="1017"/>
      <c r="ID130" s="1017"/>
      <c r="IE130" s="1017"/>
      <c r="IF130" s="1017"/>
      <c r="IG130" s="1017"/>
      <c r="IH130" s="1017"/>
      <c r="II130" s="1017"/>
      <c r="IJ130" s="1017"/>
      <c r="IK130" s="1017"/>
      <c r="IL130" s="1017"/>
      <c r="IM130" s="1017"/>
    </row>
    <row r="131" spans="1:247" s="957" customFormat="1">
      <c r="A131" s="790" t="s">
        <v>992</v>
      </c>
      <c r="B131" s="1060" t="s">
        <v>993</v>
      </c>
      <c r="C131" s="1034">
        <v>2599.5709999999999</v>
      </c>
      <c r="D131" s="1061">
        <v>2810.6469999999999</v>
      </c>
      <c r="E131" s="1062">
        <v>2163.277</v>
      </c>
      <c r="F131" s="1062">
        <v>2565.9659999999999</v>
      </c>
      <c r="G131" s="1063">
        <v>2662.5529999999999</v>
      </c>
      <c r="H131" s="1064">
        <f>SUM(H132:H147)</f>
        <v>2740.7991890315247</v>
      </c>
      <c r="I131" s="1064">
        <f t="shared" ref="I131:K131" si="96">SUM(I132:I147)</f>
        <v>3107.2657199599589</v>
      </c>
      <c r="J131" s="1064">
        <f t="shared" si="96"/>
        <v>3178.8442305942744</v>
      </c>
      <c r="K131" s="1065">
        <f t="shared" si="96"/>
        <v>3390.4651370665056</v>
      </c>
      <c r="L131" s="1028"/>
      <c r="M131" s="1066">
        <f>SUM(M132:M147)</f>
        <v>0</v>
      </c>
      <c r="N131" s="1034">
        <f t="shared" si="59"/>
        <v>2740.7991890315247</v>
      </c>
      <c r="O131" s="1066">
        <f t="shared" ref="O131:T131" si="97">SUM(O132:O147)</f>
        <v>3170.4322091339222</v>
      </c>
      <c r="P131" s="1062">
        <f t="shared" si="97"/>
        <v>3361.560779332015</v>
      </c>
      <c r="Q131" s="1062">
        <f t="shared" si="97"/>
        <v>3574.9929467722886</v>
      </c>
      <c r="R131" s="1066">
        <f t="shared" si="97"/>
        <v>-63.166489173963882</v>
      </c>
      <c r="S131" s="1062">
        <f t="shared" si="97"/>
        <v>-182.71654873774096</v>
      </c>
      <c r="T131" s="1062">
        <f t="shared" si="97"/>
        <v>-184.52780970578303</v>
      </c>
      <c r="U131" s="1034">
        <f t="shared" si="56"/>
        <v>429.6330201023975</v>
      </c>
      <c r="V131" s="1100"/>
      <c r="W131" s="1066">
        <f>SUM(W132:W147)</f>
        <v>3170.4322091339222</v>
      </c>
      <c r="X131" s="1062">
        <f>SUM(X132:X147)</f>
        <v>2196.2408730266666</v>
      </c>
      <c r="Y131" s="1066">
        <f t="shared" si="78"/>
        <v>-974.19133610725567</v>
      </c>
      <c r="Z131" s="1067">
        <f t="shared" si="80"/>
        <v>-1.0885386920790836</v>
      </c>
      <c r="AA131" s="1042"/>
      <c r="AB131" s="952"/>
      <c r="AC131" s="1042"/>
      <c r="AD131" s="1042"/>
      <c r="AE131" s="1042"/>
      <c r="AF131" s="1042"/>
      <c r="AG131" s="1042"/>
      <c r="AH131" s="1042"/>
      <c r="AI131" s="1042"/>
      <c r="AJ131" s="1042"/>
      <c r="AK131" s="1042"/>
      <c r="AL131" s="1042"/>
      <c r="AM131" s="1042"/>
      <c r="AN131" s="1042"/>
      <c r="AO131" s="1042"/>
      <c r="AP131" s="1042"/>
      <c r="AQ131" s="1042"/>
      <c r="AR131" s="1042"/>
      <c r="AS131" s="1042"/>
      <c r="AT131" s="1042"/>
      <c r="AU131" s="1042"/>
      <c r="AV131" s="1042"/>
      <c r="AW131" s="1042"/>
      <c r="AX131" s="1042"/>
      <c r="AY131" s="1042"/>
      <c r="AZ131" s="1042"/>
      <c r="BA131" s="1042"/>
      <c r="BB131" s="1042"/>
      <c r="BC131" s="1042"/>
      <c r="BD131" s="1042"/>
      <c r="BE131" s="1042"/>
      <c r="BF131" s="1042"/>
      <c r="BG131" s="1042"/>
      <c r="BH131" s="1042"/>
      <c r="BI131" s="1042"/>
      <c r="BJ131" s="1042"/>
      <c r="BK131" s="1042"/>
      <c r="BL131" s="1042"/>
      <c r="BM131" s="1042"/>
      <c r="BN131" s="1042"/>
      <c r="BO131" s="1042"/>
      <c r="BP131" s="1042"/>
      <c r="BQ131" s="1042"/>
      <c r="BR131" s="1042"/>
      <c r="BS131" s="1042"/>
      <c r="BT131" s="1042"/>
      <c r="BU131" s="1042"/>
      <c r="BV131" s="1042"/>
      <c r="BW131" s="1042"/>
      <c r="BX131" s="1042"/>
      <c r="BY131" s="1042"/>
      <c r="BZ131" s="1042"/>
      <c r="CA131" s="1042"/>
      <c r="CB131" s="1042"/>
      <c r="CC131" s="1042"/>
      <c r="CD131" s="1042"/>
      <c r="CE131" s="1042"/>
      <c r="CF131" s="1042"/>
      <c r="CG131" s="1042"/>
      <c r="CH131" s="1042"/>
      <c r="CI131" s="1042"/>
      <c r="CJ131" s="1042"/>
      <c r="CK131" s="1042"/>
      <c r="CL131" s="1042"/>
      <c r="CM131" s="1042"/>
      <c r="CN131" s="1042"/>
      <c r="CO131" s="1042"/>
      <c r="CP131" s="1042"/>
      <c r="CQ131" s="1042"/>
      <c r="CR131" s="1042"/>
      <c r="CS131" s="1042"/>
      <c r="CT131" s="1042"/>
      <c r="CU131" s="1042"/>
      <c r="CV131" s="1042"/>
      <c r="CW131" s="1042"/>
      <c r="CX131" s="1042"/>
      <c r="CY131" s="1042"/>
      <c r="CZ131" s="1042"/>
      <c r="DA131" s="1042"/>
      <c r="DB131" s="1042"/>
      <c r="DC131" s="1042"/>
      <c r="DD131" s="1042"/>
      <c r="DE131" s="1042"/>
      <c r="DF131" s="1042"/>
      <c r="DG131" s="1042"/>
      <c r="DH131" s="1042"/>
      <c r="DI131" s="1042"/>
      <c r="DJ131" s="1042"/>
      <c r="DK131" s="1042"/>
      <c r="DL131" s="1042"/>
      <c r="DM131" s="1042"/>
      <c r="DN131" s="1042"/>
      <c r="DO131" s="1042"/>
      <c r="DP131" s="1042"/>
      <c r="DQ131" s="1042"/>
      <c r="DR131" s="1042"/>
      <c r="DS131" s="1042"/>
      <c r="DT131" s="1042"/>
      <c r="DU131" s="1042"/>
      <c r="DV131" s="1042"/>
      <c r="DW131" s="1042"/>
      <c r="DX131" s="1042"/>
      <c r="DY131" s="1042"/>
      <c r="DZ131" s="1042"/>
      <c r="EA131" s="1042"/>
      <c r="EB131" s="1042"/>
      <c r="EC131" s="1042"/>
      <c r="ED131" s="1042"/>
      <c r="EE131" s="1042"/>
      <c r="EF131" s="1042"/>
      <c r="EG131" s="1042"/>
      <c r="EH131" s="1042"/>
      <c r="EI131" s="1042"/>
      <c r="EJ131" s="1042"/>
      <c r="EK131" s="1042"/>
      <c r="EL131" s="1042"/>
      <c r="EM131" s="1042"/>
      <c r="EN131" s="1042"/>
      <c r="EO131" s="1042"/>
      <c r="EP131" s="1042"/>
      <c r="EQ131" s="1042"/>
      <c r="ER131" s="1042"/>
      <c r="ES131" s="1042"/>
      <c r="ET131" s="1042"/>
      <c r="EU131" s="1042"/>
      <c r="EV131" s="1042"/>
      <c r="EW131" s="1042"/>
      <c r="EX131" s="1042"/>
      <c r="EY131" s="1042"/>
      <c r="EZ131" s="1042"/>
      <c r="FA131" s="1042"/>
      <c r="FB131" s="1042"/>
      <c r="FC131" s="1042"/>
      <c r="FD131" s="1042"/>
      <c r="FE131" s="1042"/>
      <c r="FF131" s="1042"/>
      <c r="FG131" s="1042"/>
      <c r="FH131" s="1042"/>
      <c r="FI131" s="1042"/>
      <c r="FJ131" s="1042"/>
      <c r="FK131" s="1042"/>
      <c r="FL131" s="1042"/>
      <c r="FM131" s="1042"/>
      <c r="FN131" s="1042"/>
      <c r="FO131" s="1042"/>
      <c r="FP131" s="1042"/>
      <c r="FQ131" s="1042"/>
      <c r="FR131" s="1042"/>
      <c r="FS131" s="1042"/>
      <c r="FT131" s="1042"/>
      <c r="FU131" s="1042"/>
      <c r="FV131" s="1042"/>
      <c r="FW131" s="1042"/>
      <c r="FX131" s="1042"/>
      <c r="FY131" s="1042"/>
      <c r="FZ131" s="1042"/>
      <c r="GA131" s="1042"/>
      <c r="GB131" s="1042"/>
      <c r="GC131" s="1042"/>
      <c r="GD131" s="1042"/>
      <c r="GE131" s="1042"/>
      <c r="GF131" s="1042"/>
      <c r="GG131" s="1042"/>
      <c r="GH131" s="1042"/>
      <c r="GI131" s="1042"/>
      <c r="GJ131" s="1042"/>
      <c r="GK131" s="1042"/>
      <c r="GL131" s="1042"/>
      <c r="GM131" s="1042"/>
      <c r="GN131" s="1042"/>
      <c r="GO131" s="1042"/>
      <c r="GP131" s="1042"/>
      <c r="GQ131" s="1042"/>
      <c r="GR131" s="1042"/>
      <c r="GS131" s="1042"/>
      <c r="GT131" s="1042"/>
      <c r="GU131" s="1042"/>
      <c r="GV131" s="1042"/>
      <c r="GW131" s="1042"/>
      <c r="GX131" s="1042"/>
      <c r="GY131" s="1042"/>
      <c r="GZ131" s="1042"/>
      <c r="HA131" s="1042"/>
      <c r="HB131" s="1042"/>
      <c r="HC131" s="1042"/>
      <c r="HD131" s="1042"/>
      <c r="HE131" s="1042"/>
      <c r="HF131" s="1042"/>
      <c r="HG131" s="1042"/>
      <c r="HH131" s="1042"/>
      <c r="HI131" s="1042"/>
      <c r="HJ131" s="1042"/>
      <c r="HK131" s="1042"/>
      <c r="HL131" s="1042"/>
      <c r="HM131" s="1042"/>
      <c r="HN131" s="1042"/>
      <c r="HO131" s="1042"/>
      <c r="HP131" s="1042"/>
      <c r="HQ131" s="1042"/>
      <c r="HR131" s="1042"/>
      <c r="HS131" s="1042"/>
      <c r="HT131" s="1042"/>
      <c r="HU131" s="1042"/>
      <c r="HV131" s="1042"/>
      <c r="HW131" s="1042"/>
      <c r="HX131" s="1042"/>
      <c r="HY131" s="1042"/>
      <c r="HZ131" s="1042"/>
      <c r="IA131" s="1042"/>
      <c r="IB131" s="1042"/>
      <c r="IC131" s="1042"/>
      <c r="ID131" s="1042"/>
      <c r="IE131" s="1042"/>
      <c r="IF131" s="1042"/>
      <c r="IG131" s="1042"/>
      <c r="IH131" s="1042"/>
      <c r="II131" s="1042"/>
      <c r="IJ131" s="1042"/>
      <c r="IK131" s="1042"/>
      <c r="IL131" s="1042"/>
      <c r="IM131" s="1042"/>
    </row>
    <row r="132" spans="1:247">
      <c r="A132" s="1052" t="s">
        <v>953</v>
      </c>
      <c r="B132" s="1060"/>
      <c r="C132" s="1050">
        <v>508.51844003999997</v>
      </c>
      <c r="D132" s="1045">
        <v>483.02800000000008</v>
      </c>
      <c r="E132" s="1046">
        <f>0.081631+50.515071</f>
        <v>50.596702000000001</v>
      </c>
      <c r="F132" s="1046">
        <f>0.504343+462.091574</f>
        <v>462.59591699999999</v>
      </c>
      <c r="G132" s="1047">
        <f>0.631415+418.280355</f>
        <v>418.91176999999999</v>
      </c>
      <c r="H132" s="1048">
        <v>466.92368698638239</v>
      </c>
      <c r="I132" s="1048">
        <v>696.61497800792745</v>
      </c>
      <c r="J132" s="1048">
        <v>787.00964870183327</v>
      </c>
      <c r="K132" s="1049">
        <v>809.64111862063464</v>
      </c>
      <c r="L132" s="1028"/>
      <c r="M132" s="1045"/>
      <c r="N132" s="1050">
        <f t="shared" si="59"/>
        <v>466.92368698638239</v>
      </c>
      <c r="O132" s="1045">
        <f>I132</f>
        <v>696.61497800792745</v>
      </c>
      <c r="P132" s="1046">
        <f t="shared" ref="P132:Q133" si="98">J132</f>
        <v>787.00964870183327</v>
      </c>
      <c r="Q132" s="1046">
        <f t="shared" si="98"/>
        <v>809.64111862063464</v>
      </c>
      <c r="R132" s="1045">
        <f t="shared" ref="R132:T147" si="99">I132-O132</f>
        <v>0</v>
      </c>
      <c r="S132" s="1046">
        <f t="shared" si="99"/>
        <v>0</v>
      </c>
      <c r="T132" s="1046">
        <f t="shared" si="99"/>
        <v>0</v>
      </c>
      <c r="U132" s="1050">
        <f t="shared" si="56"/>
        <v>229.69129102154506</v>
      </c>
      <c r="V132" s="948"/>
      <c r="W132" s="1045">
        <f>O132</f>
        <v>696.61497800792745</v>
      </c>
      <c r="X132" s="1046">
        <v>50.596702000000001</v>
      </c>
      <c r="Y132" s="1045">
        <f t="shared" si="78"/>
        <v>-646.0182760079274</v>
      </c>
      <c r="Z132" s="1051">
        <f t="shared" si="80"/>
        <v>-0.72184576392848532</v>
      </c>
      <c r="AA132" s="1017"/>
      <c r="AB132" s="952"/>
      <c r="AC132" s="1017"/>
      <c r="AD132" s="1017"/>
      <c r="AE132" s="1017"/>
      <c r="AF132" s="1017"/>
      <c r="AG132" s="1017"/>
      <c r="AH132" s="1017"/>
      <c r="AI132" s="1017"/>
      <c r="AJ132" s="1017"/>
      <c r="AK132" s="1017"/>
      <c r="AL132" s="1017"/>
      <c r="AM132" s="1017"/>
      <c r="AN132" s="1017"/>
      <c r="AO132" s="1017"/>
      <c r="AP132" s="1017"/>
      <c r="AQ132" s="1017"/>
      <c r="AR132" s="1017"/>
      <c r="AS132" s="1017"/>
      <c r="AT132" s="1017"/>
      <c r="AU132" s="1017"/>
      <c r="AV132" s="1017"/>
      <c r="AW132" s="1017"/>
      <c r="AX132" s="1017"/>
      <c r="AY132" s="1017"/>
      <c r="AZ132" s="1017"/>
      <c r="BA132" s="1017"/>
      <c r="BB132" s="1017"/>
      <c r="BC132" s="1017"/>
      <c r="BD132" s="1017"/>
      <c r="BE132" s="1017"/>
      <c r="BF132" s="1017"/>
      <c r="BG132" s="1017"/>
      <c r="BH132" s="1017"/>
      <c r="BI132" s="1017"/>
      <c r="BJ132" s="1017"/>
      <c r="BK132" s="1017"/>
      <c r="BL132" s="1017"/>
      <c r="BM132" s="1017"/>
      <c r="BN132" s="1017"/>
      <c r="BO132" s="1017"/>
      <c r="BP132" s="1017"/>
      <c r="BQ132" s="1017"/>
      <c r="BR132" s="1017"/>
      <c r="BS132" s="1017"/>
      <c r="BT132" s="1017"/>
      <c r="BU132" s="1017"/>
      <c r="BV132" s="1017"/>
      <c r="BW132" s="1017"/>
      <c r="BX132" s="1017"/>
      <c r="BY132" s="1017"/>
      <c r="BZ132" s="1017"/>
      <c r="CA132" s="1017"/>
      <c r="CB132" s="1017"/>
      <c r="CC132" s="1017"/>
      <c r="CD132" s="1017"/>
      <c r="CE132" s="1017"/>
      <c r="CF132" s="1017"/>
      <c r="CG132" s="1017"/>
      <c r="CH132" s="1017"/>
      <c r="CI132" s="1017"/>
      <c r="CJ132" s="1017"/>
      <c r="CK132" s="1017"/>
      <c r="CL132" s="1017"/>
      <c r="CM132" s="1017"/>
      <c r="CN132" s="1017"/>
      <c r="CO132" s="1017"/>
      <c r="CP132" s="1017"/>
      <c r="CQ132" s="1017"/>
      <c r="CR132" s="1017"/>
      <c r="CS132" s="1017"/>
      <c r="CT132" s="1017"/>
      <c r="CU132" s="1017"/>
      <c r="CV132" s="1017"/>
      <c r="CW132" s="1017"/>
      <c r="CX132" s="1017"/>
      <c r="CY132" s="1017"/>
      <c r="CZ132" s="1017"/>
      <c r="DA132" s="1017"/>
      <c r="DB132" s="1017"/>
      <c r="DC132" s="1017"/>
      <c r="DD132" s="1017"/>
      <c r="DE132" s="1017"/>
      <c r="DF132" s="1017"/>
      <c r="DG132" s="1017"/>
      <c r="DH132" s="1017"/>
      <c r="DI132" s="1017"/>
      <c r="DJ132" s="1017"/>
      <c r="DK132" s="1017"/>
      <c r="DL132" s="1017"/>
      <c r="DM132" s="1017"/>
      <c r="DN132" s="1017"/>
      <c r="DO132" s="1017"/>
      <c r="DP132" s="1017"/>
      <c r="DQ132" s="1017"/>
      <c r="DR132" s="1017"/>
      <c r="DS132" s="1017"/>
      <c r="DT132" s="1017"/>
      <c r="DU132" s="1017"/>
      <c r="DV132" s="1017"/>
      <c r="DW132" s="1017"/>
      <c r="DX132" s="1017"/>
      <c r="DY132" s="1017"/>
      <c r="DZ132" s="1017"/>
      <c r="EA132" s="1017"/>
      <c r="EB132" s="1017"/>
      <c r="EC132" s="1017"/>
      <c r="ED132" s="1017"/>
      <c r="EE132" s="1017"/>
      <c r="EF132" s="1017"/>
      <c r="EG132" s="1017"/>
      <c r="EH132" s="1017"/>
      <c r="EI132" s="1017"/>
      <c r="EJ132" s="1017"/>
      <c r="EK132" s="1017"/>
      <c r="EL132" s="1017"/>
      <c r="EM132" s="1017"/>
      <c r="EN132" s="1017"/>
      <c r="EO132" s="1017"/>
      <c r="EP132" s="1017"/>
      <c r="EQ132" s="1017"/>
      <c r="ER132" s="1017"/>
      <c r="ES132" s="1017"/>
      <c r="ET132" s="1017"/>
      <c r="EU132" s="1017"/>
      <c r="EV132" s="1017"/>
      <c r="EW132" s="1017"/>
      <c r="EX132" s="1017"/>
      <c r="EY132" s="1017"/>
      <c r="EZ132" s="1017"/>
      <c r="FA132" s="1017"/>
      <c r="FB132" s="1017"/>
      <c r="FC132" s="1017"/>
      <c r="FD132" s="1017"/>
      <c r="FE132" s="1017"/>
      <c r="FF132" s="1017"/>
      <c r="FG132" s="1017"/>
      <c r="FH132" s="1017"/>
      <c r="FI132" s="1017"/>
      <c r="FJ132" s="1017"/>
      <c r="FK132" s="1017"/>
      <c r="FL132" s="1017"/>
      <c r="FM132" s="1017"/>
      <c r="FN132" s="1017"/>
      <c r="FO132" s="1017"/>
      <c r="FP132" s="1017"/>
      <c r="FQ132" s="1017"/>
      <c r="FR132" s="1017"/>
      <c r="FS132" s="1017"/>
      <c r="FT132" s="1017"/>
      <c r="FU132" s="1017"/>
      <c r="FV132" s="1017"/>
      <c r="FW132" s="1017"/>
      <c r="FX132" s="1017"/>
      <c r="FY132" s="1017"/>
      <c r="FZ132" s="1017"/>
      <c r="GA132" s="1017"/>
      <c r="GB132" s="1017"/>
      <c r="GC132" s="1017"/>
      <c r="GD132" s="1017"/>
      <c r="GE132" s="1017"/>
      <c r="GF132" s="1017"/>
      <c r="GG132" s="1017"/>
      <c r="GH132" s="1017"/>
      <c r="GI132" s="1017"/>
      <c r="GJ132" s="1017"/>
      <c r="GK132" s="1017"/>
      <c r="GL132" s="1017"/>
      <c r="GM132" s="1017"/>
      <c r="GN132" s="1017"/>
      <c r="GO132" s="1017"/>
      <c r="GP132" s="1017"/>
      <c r="GQ132" s="1017"/>
      <c r="GR132" s="1017"/>
      <c r="GS132" s="1017"/>
      <c r="GT132" s="1017"/>
      <c r="GU132" s="1017"/>
      <c r="GV132" s="1017"/>
      <c r="GW132" s="1017"/>
      <c r="GX132" s="1017"/>
      <c r="GY132" s="1017"/>
      <c r="GZ132" s="1017"/>
      <c r="HA132" s="1017"/>
      <c r="HB132" s="1017"/>
      <c r="HC132" s="1017"/>
      <c r="HD132" s="1017"/>
      <c r="HE132" s="1017"/>
      <c r="HF132" s="1017"/>
      <c r="HG132" s="1017"/>
      <c r="HH132" s="1017"/>
      <c r="HI132" s="1017"/>
      <c r="HJ132" s="1017"/>
      <c r="HK132" s="1017"/>
      <c r="HL132" s="1017"/>
      <c r="HM132" s="1017"/>
      <c r="HN132" s="1017"/>
      <c r="HO132" s="1017"/>
      <c r="HP132" s="1017"/>
      <c r="HQ132" s="1017"/>
      <c r="HR132" s="1017"/>
      <c r="HS132" s="1017"/>
      <c r="HT132" s="1017"/>
      <c r="HU132" s="1017"/>
      <c r="HV132" s="1017"/>
      <c r="HW132" s="1017"/>
      <c r="HX132" s="1017"/>
      <c r="HY132" s="1017"/>
      <c r="HZ132" s="1017"/>
      <c r="IA132" s="1017"/>
      <c r="IB132" s="1017"/>
      <c r="IC132" s="1017"/>
      <c r="ID132" s="1017"/>
      <c r="IE132" s="1017"/>
      <c r="IF132" s="1017"/>
      <c r="IG132" s="1017"/>
      <c r="IH132" s="1017"/>
      <c r="II132" s="1017"/>
      <c r="IJ132" s="1017"/>
      <c r="IK132" s="1017"/>
      <c r="IL132" s="1017"/>
      <c r="IM132" s="1017"/>
    </row>
    <row r="133" spans="1:247">
      <c r="A133" s="1052" t="s">
        <v>960</v>
      </c>
      <c r="B133" s="1060"/>
      <c r="C133" s="1050">
        <f>20.52429114+66.906146</f>
        <v>87.430437140000009</v>
      </c>
      <c r="D133" s="1045">
        <v>85.030000000000015</v>
      </c>
      <c r="E133" s="1046">
        <f>0.058739+6.353003</f>
        <v>6.4117420000000003</v>
      </c>
      <c r="F133" s="1046">
        <f>0.549474+70.269915</f>
        <v>70.819389000000001</v>
      </c>
      <c r="G133" s="1047">
        <f>0.31085+72.644302</f>
        <v>72.955151999999998</v>
      </c>
      <c r="H133" s="1048">
        <v>78.182951173618747</v>
      </c>
      <c r="I133" s="1048">
        <v>116.6430753683175</v>
      </c>
      <c r="J133" s="1048">
        <v>131.77900083577637</v>
      </c>
      <c r="K133" s="1049">
        <v>135.56847469834457</v>
      </c>
      <c r="L133" s="1028"/>
      <c r="M133" s="1045"/>
      <c r="N133" s="1050">
        <f t="shared" si="59"/>
        <v>78.182951173618747</v>
      </c>
      <c r="O133" s="1045">
        <f>I133</f>
        <v>116.6430753683175</v>
      </c>
      <c r="P133" s="1046">
        <f t="shared" si="98"/>
        <v>131.77900083577637</v>
      </c>
      <c r="Q133" s="1046">
        <f t="shared" si="98"/>
        <v>135.56847469834457</v>
      </c>
      <c r="R133" s="1045">
        <f t="shared" si="99"/>
        <v>0</v>
      </c>
      <c r="S133" s="1046">
        <f t="shared" si="99"/>
        <v>0</v>
      </c>
      <c r="T133" s="1046">
        <f t="shared" si="99"/>
        <v>0</v>
      </c>
      <c r="U133" s="1050">
        <f t="shared" ref="U133:U178" si="100">O133-N133</f>
        <v>38.46012419469875</v>
      </c>
      <c r="V133" s="948"/>
      <c r="W133" s="1045">
        <f>O133</f>
        <v>116.6430753683175</v>
      </c>
      <c r="X133" s="1046">
        <v>6.4117420000000003</v>
      </c>
      <c r="Y133" s="1045">
        <f t="shared" si="78"/>
        <v>-110.23133336831749</v>
      </c>
      <c r="Z133" s="1051">
        <f t="shared" si="80"/>
        <v>-0.12316992258456208</v>
      </c>
      <c r="AA133" s="1017"/>
      <c r="AB133" s="952"/>
      <c r="AC133" s="1017"/>
      <c r="AD133" s="1017"/>
      <c r="AE133" s="1017"/>
      <c r="AF133" s="1017"/>
      <c r="AG133" s="1017"/>
      <c r="AH133" s="1017"/>
      <c r="AI133" s="1017"/>
      <c r="AJ133" s="1017"/>
      <c r="AK133" s="1017"/>
      <c r="AL133" s="1017"/>
      <c r="AM133" s="1017"/>
      <c r="AN133" s="1017"/>
      <c r="AO133" s="1017"/>
      <c r="AP133" s="1017"/>
      <c r="AQ133" s="1017"/>
      <c r="AR133" s="1017"/>
      <c r="AS133" s="1017"/>
      <c r="AT133" s="1017"/>
      <c r="AU133" s="1017"/>
      <c r="AV133" s="1017"/>
      <c r="AW133" s="1017"/>
      <c r="AX133" s="1017"/>
      <c r="AY133" s="1017"/>
      <c r="AZ133" s="1017"/>
      <c r="BA133" s="1017"/>
      <c r="BB133" s="1017"/>
      <c r="BC133" s="1017"/>
      <c r="BD133" s="1017"/>
      <c r="BE133" s="1017"/>
      <c r="BF133" s="1017"/>
      <c r="BG133" s="1017"/>
      <c r="BH133" s="1017"/>
      <c r="BI133" s="1017"/>
      <c r="BJ133" s="1017"/>
      <c r="BK133" s="1017"/>
      <c r="BL133" s="1017"/>
      <c r="BM133" s="1017"/>
      <c r="BN133" s="1017"/>
      <c r="BO133" s="1017"/>
      <c r="BP133" s="1017"/>
      <c r="BQ133" s="1017"/>
      <c r="BR133" s="1017"/>
      <c r="BS133" s="1017"/>
      <c r="BT133" s="1017"/>
      <c r="BU133" s="1017"/>
      <c r="BV133" s="1017"/>
      <c r="BW133" s="1017"/>
      <c r="BX133" s="1017"/>
      <c r="BY133" s="1017"/>
      <c r="BZ133" s="1017"/>
      <c r="CA133" s="1017"/>
      <c r="CB133" s="1017"/>
      <c r="CC133" s="1017"/>
      <c r="CD133" s="1017"/>
      <c r="CE133" s="1017"/>
      <c r="CF133" s="1017"/>
      <c r="CG133" s="1017"/>
      <c r="CH133" s="1017"/>
      <c r="CI133" s="1017"/>
      <c r="CJ133" s="1017"/>
      <c r="CK133" s="1017"/>
      <c r="CL133" s="1017"/>
      <c r="CM133" s="1017"/>
      <c r="CN133" s="1017"/>
      <c r="CO133" s="1017"/>
      <c r="CP133" s="1017"/>
      <c r="CQ133" s="1017"/>
      <c r="CR133" s="1017"/>
      <c r="CS133" s="1017"/>
      <c r="CT133" s="1017"/>
      <c r="CU133" s="1017"/>
      <c r="CV133" s="1017"/>
      <c r="CW133" s="1017"/>
      <c r="CX133" s="1017"/>
      <c r="CY133" s="1017"/>
      <c r="CZ133" s="1017"/>
      <c r="DA133" s="1017"/>
      <c r="DB133" s="1017"/>
      <c r="DC133" s="1017"/>
      <c r="DD133" s="1017"/>
      <c r="DE133" s="1017"/>
      <c r="DF133" s="1017"/>
      <c r="DG133" s="1017"/>
      <c r="DH133" s="1017"/>
      <c r="DI133" s="1017"/>
      <c r="DJ133" s="1017"/>
      <c r="DK133" s="1017"/>
      <c r="DL133" s="1017"/>
      <c r="DM133" s="1017"/>
      <c r="DN133" s="1017"/>
      <c r="DO133" s="1017"/>
      <c r="DP133" s="1017"/>
      <c r="DQ133" s="1017"/>
      <c r="DR133" s="1017"/>
      <c r="DS133" s="1017"/>
      <c r="DT133" s="1017"/>
      <c r="DU133" s="1017"/>
      <c r="DV133" s="1017"/>
      <c r="DW133" s="1017"/>
      <c r="DX133" s="1017"/>
      <c r="DY133" s="1017"/>
      <c r="DZ133" s="1017"/>
      <c r="EA133" s="1017"/>
      <c r="EB133" s="1017"/>
      <c r="EC133" s="1017"/>
      <c r="ED133" s="1017"/>
      <c r="EE133" s="1017"/>
      <c r="EF133" s="1017"/>
      <c r="EG133" s="1017"/>
      <c r="EH133" s="1017"/>
      <c r="EI133" s="1017"/>
      <c r="EJ133" s="1017"/>
      <c r="EK133" s="1017"/>
      <c r="EL133" s="1017"/>
      <c r="EM133" s="1017"/>
      <c r="EN133" s="1017"/>
      <c r="EO133" s="1017"/>
      <c r="EP133" s="1017"/>
      <c r="EQ133" s="1017"/>
      <c r="ER133" s="1017"/>
      <c r="ES133" s="1017"/>
      <c r="ET133" s="1017"/>
      <c r="EU133" s="1017"/>
      <c r="EV133" s="1017"/>
      <c r="EW133" s="1017"/>
      <c r="EX133" s="1017"/>
      <c r="EY133" s="1017"/>
      <c r="EZ133" s="1017"/>
      <c r="FA133" s="1017"/>
      <c r="FB133" s="1017"/>
      <c r="FC133" s="1017"/>
      <c r="FD133" s="1017"/>
      <c r="FE133" s="1017"/>
      <c r="FF133" s="1017"/>
      <c r="FG133" s="1017"/>
      <c r="FH133" s="1017"/>
      <c r="FI133" s="1017"/>
      <c r="FJ133" s="1017"/>
      <c r="FK133" s="1017"/>
      <c r="FL133" s="1017"/>
      <c r="FM133" s="1017"/>
      <c r="FN133" s="1017"/>
      <c r="FO133" s="1017"/>
      <c r="FP133" s="1017"/>
      <c r="FQ133" s="1017"/>
      <c r="FR133" s="1017"/>
      <c r="FS133" s="1017"/>
      <c r="FT133" s="1017"/>
      <c r="FU133" s="1017"/>
      <c r="FV133" s="1017"/>
      <c r="FW133" s="1017"/>
      <c r="FX133" s="1017"/>
      <c r="FY133" s="1017"/>
      <c r="FZ133" s="1017"/>
      <c r="GA133" s="1017"/>
      <c r="GB133" s="1017"/>
      <c r="GC133" s="1017"/>
      <c r="GD133" s="1017"/>
      <c r="GE133" s="1017"/>
      <c r="GF133" s="1017"/>
      <c r="GG133" s="1017"/>
      <c r="GH133" s="1017"/>
      <c r="GI133" s="1017"/>
      <c r="GJ133" s="1017"/>
      <c r="GK133" s="1017"/>
      <c r="GL133" s="1017"/>
      <c r="GM133" s="1017"/>
      <c r="GN133" s="1017"/>
      <c r="GO133" s="1017"/>
      <c r="GP133" s="1017"/>
      <c r="GQ133" s="1017"/>
      <c r="GR133" s="1017"/>
      <c r="GS133" s="1017"/>
      <c r="GT133" s="1017"/>
      <c r="GU133" s="1017"/>
      <c r="GV133" s="1017"/>
      <c r="GW133" s="1017"/>
      <c r="GX133" s="1017"/>
      <c r="GY133" s="1017"/>
      <c r="GZ133" s="1017"/>
      <c r="HA133" s="1017"/>
      <c r="HB133" s="1017"/>
      <c r="HC133" s="1017"/>
      <c r="HD133" s="1017"/>
      <c r="HE133" s="1017"/>
      <c r="HF133" s="1017"/>
      <c r="HG133" s="1017"/>
      <c r="HH133" s="1017"/>
      <c r="HI133" s="1017"/>
      <c r="HJ133" s="1017"/>
      <c r="HK133" s="1017"/>
      <c r="HL133" s="1017"/>
      <c r="HM133" s="1017"/>
      <c r="HN133" s="1017"/>
      <c r="HO133" s="1017"/>
      <c r="HP133" s="1017"/>
      <c r="HQ133" s="1017"/>
      <c r="HR133" s="1017"/>
      <c r="HS133" s="1017"/>
      <c r="HT133" s="1017"/>
      <c r="HU133" s="1017"/>
      <c r="HV133" s="1017"/>
      <c r="HW133" s="1017"/>
      <c r="HX133" s="1017"/>
      <c r="HY133" s="1017"/>
      <c r="HZ133" s="1017"/>
      <c r="IA133" s="1017"/>
      <c r="IB133" s="1017"/>
      <c r="IC133" s="1017"/>
      <c r="ID133" s="1017"/>
      <c r="IE133" s="1017"/>
      <c r="IF133" s="1017"/>
      <c r="IG133" s="1017"/>
      <c r="IH133" s="1017"/>
      <c r="II133" s="1017"/>
      <c r="IJ133" s="1017"/>
      <c r="IK133" s="1017"/>
      <c r="IL133" s="1017"/>
      <c r="IM133" s="1017"/>
    </row>
    <row r="134" spans="1:247">
      <c r="A134" s="1052" t="s">
        <v>994</v>
      </c>
      <c r="B134" s="1053"/>
      <c r="C134" s="1050">
        <v>117.799847</v>
      </c>
      <c r="D134" s="1068">
        <v>131.44338200000001</v>
      </c>
      <c r="E134" s="1046">
        <v>149.91881100000001</v>
      </c>
      <c r="F134" s="1046">
        <v>144.81663</v>
      </c>
      <c r="G134" s="1047">
        <f>93.970954+14.845676+36</f>
        <v>144.81663</v>
      </c>
      <c r="H134" s="1048">
        <v>131.44338200000001</v>
      </c>
      <c r="I134" s="1048">
        <v>149.91881100000001</v>
      </c>
      <c r="J134" s="1048">
        <v>144.81663</v>
      </c>
      <c r="K134" s="1049">
        <v>144.81663</v>
      </c>
      <c r="L134" s="1028"/>
      <c r="M134" s="1045"/>
      <c r="N134" s="1050">
        <f t="shared" si="59"/>
        <v>131.44338200000001</v>
      </c>
      <c r="O134" s="1045">
        <v>139.16405180129908</v>
      </c>
      <c r="P134" s="1046">
        <v>148.29665699757203</v>
      </c>
      <c r="Q134" s="1046">
        <v>157.38940036759325</v>
      </c>
      <c r="R134" s="1045">
        <f t="shared" si="99"/>
        <v>10.754759198700924</v>
      </c>
      <c r="S134" s="1046">
        <f t="shared" si="99"/>
        <v>-3.4800269975720255</v>
      </c>
      <c r="T134" s="1046">
        <f t="shared" si="99"/>
        <v>-12.57277036759325</v>
      </c>
      <c r="U134" s="1050">
        <f t="shared" si="100"/>
        <v>7.7206698012990671</v>
      </c>
      <c r="V134" s="948"/>
      <c r="W134" s="1045">
        <f t="shared" ref="W134:W146" si="101">O134</f>
        <v>139.16405180129908</v>
      </c>
      <c r="X134" s="1046">
        <v>149.91881100000001</v>
      </c>
      <c r="Y134" s="1045">
        <f t="shared" si="78"/>
        <v>10.754759198700924</v>
      </c>
      <c r="Z134" s="1051">
        <f t="shared" si="80"/>
        <v>1.201711725189321E-2</v>
      </c>
      <c r="AA134" s="1017"/>
      <c r="AB134" s="952"/>
      <c r="AC134" s="1017"/>
      <c r="AD134" s="1017"/>
      <c r="AE134" s="1017"/>
      <c r="AF134" s="1017"/>
      <c r="AG134" s="1017"/>
      <c r="AH134" s="1017"/>
      <c r="AI134" s="1017"/>
      <c r="AJ134" s="1017"/>
      <c r="AK134" s="1017"/>
      <c r="AL134" s="1017"/>
      <c r="AM134" s="1017"/>
      <c r="AN134" s="1017"/>
      <c r="AO134" s="1017"/>
      <c r="AP134" s="1017"/>
      <c r="AQ134" s="1017"/>
      <c r="AR134" s="1017"/>
      <c r="AS134" s="1017"/>
      <c r="AT134" s="1017"/>
      <c r="AU134" s="1017"/>
      <c r="AV134" s="1017"/>
      <c r="AW134" s="1017"/>
      <c r="AX134" s="1017"/>
      <c r="AY134" s="1017"/>
      <c r="AZ134" s="1017"/>
      <c r="BA134" s="1017"/>
      <c r="BB134" s="1017"/>
      <c r="BC134" s="1017"/>
      <c r="BD134" s="1017"/>
      <c r="BE134" s="1017"/>
      <c r="BF134" s="1017"/>
      <c r="BG134" s="1017"/>
      <c r="BH134" s="1017"/>
      <c r="BI134" s="1017"/>
      <c r="BJ134" s="1017"/>
      <c r="BK134" s="1017"/>
      <c r="BL134" s="1017"/>
      <c r="BM134" s="1017"/>
      <c r="BN134" s="1017"/>
      <c r="BO134" s="1017"/>
      <c r="BP134" s="1017"/>
      <c r="BQ134" s="1017"/>
      <c r="BR134" s="1017"/>
      <c r="BS134" s="1017"/>
      <c r="BT134" s="1017"/>
      <c r="BU134" s="1017"/>
      <c r="BV134" s="1017"/>
      <c r="BW134" s="1017"/>
      <c r="BX134" s="1017"/>
      <c r="BY134" s="1017"/>
      <c r="BZ134" s="1017"/>
      <c r="CA134" s="1017"/>
      <c r="CB134" s="1017"/>
      <c r="CC134" s="1017"/>
      <c r="CD134" s="1017"/>
      <c r="CE134" s="1017"/>
      <c r="CF134" s="1017"/>
      <c r="CG134" s="1017"/>
      <c r="CH134" s="1017"/>
      <c r="CI134" s="1017"/>
      <c r="CJ134" s="1017"/>
      <c r="CK134" s="1017"/>
      <c r="CL134" s="1017"/>
      <c r="CM134" s="1017"/>
      <c r="CN134" s="1017"/>
      <c r="CO134" s="1017"/>
      <c r="CP134" s="1017"/>
      <c r="CQ134" s="1017"/>
      <c r="CR134" s="1017"/>
      <c r="CS134" s="1017"/>
      <c r="CT134" s="1017"/>
      <c r="CU134" s="1017"/>
      <c r="CV134" s="1017"/>
      <c r="CW134" s="1017"/>
      <c r="CX134" s="1017"/>
      <c r="CY134" s="1017"/>
      <c r="CZ134" s="1017"/>
      <c r="DA134" s="1017"/>
      <c r="DB134" s="1017"/>
      <c r="DC134" s="1017"/>
      <c r="DD134" s="1017"/>
      <c r="DE134" s="1017"/>
      <c r="DF134" s="1017"/>
      <c r="DG134" s="1017"/>
      <c r="DH134" s="1017"/>
      <c r="DI134" s="1017"/>
      <c r="DJ134" s="1017"/>
      <c r="DK134" s="1017"/>
      <c r="DL134" s="1017"/>
      <c r="DM134" s="1017"/>
      <c r="DN134" s="1017"/>
      <c r="DO134" s="1017"/>
      <c r="DP134" s="1017"/>
      <c r="DQ134" s="1017"/>
      <c r="DR134" s="1017"/>
      <c r="DS134" s="1017"/>
      <c r="DT134" s="1017"/>
      <c r="DU134" s="1017"/>
      <c r="DV134" s="1017"/>
      <c r="DW134" s="1017"/>
      <c r="DX134" s="1017"/>
      <c r="DY134" s="1017"/>
      <c r="DZ134" s="1017"/>
      <c r="EA134" s="1017"/>
      <c r="EB134" s="1017"/>
      <c r="EC134" s="1017"/>
      <c r="ED134" s="1017"/>
      <c r="EE134" s="1017"/>
      <c r="EF134" s="1017"/>
      <c r="EG134" s="1017"/>
      <c r="EH134" s="1017"/>
      <c r="EI134" s="1017"/>
      <c r="EJ134" s="1017"/>
      <c r="EK134" s="1017"/>
      <c r="EL134" s="1017"/>
      <c r="EM134" s="1017"/>
      <c r="EN134" s="1017"/>
      <c r="EO134" s="1017"/>
      <c r="EP134" s="1017"/>
      <c r="EQ134" s="1017"/>
      <c r="ER134" s="1017"/>
      <c r="ES134" s="1017"/>
      <c r="ET134" s="1017"/>
      <c r="EU134" s="1017"/>
      <c r="EV134" s="1017"/>
      <c r="EW134" s="1017"/>
      <c r="EX134" s="1017"/>
      <c r="EY134" s="1017"/>
      <c r="EZ134" s="1017"/>
      <c r="FA134" s="1017"/>
      <c r="FB134" s="1017"/>
      <c r="FC134" s="1017"/>
      <c r="FD134" s="1017"/>
      <c r="FE134" s="1017"/>
      <c r="FF134" s="1017"/>
      <c r="FG134" s="1017"/>
      <c r="FH134" s="1017"/>
      <c r="FI134" s="1017"/>
      <c r="FJ134" s="1017"/>
      <c r="FK134" s="1017"/>
      <c r="FL134" s="1017"/>
      <c r="FM134" s="1017"/>
      <c r="FN134" s="1017"/>
      <c r="FO134" s="1017"/>
      <c r="FP134" s="1017"/>
      <c r="FQ134" s="1017"/>
      <c r="FR134" s="1017"/>
      <c r="FS134" s="1017"/>
      <c r="FT134" s="1017"/>
      <c r="FU134" s="1017"/>
      <c r="FV134" s="1017"/>
      <c r="FW134" s="1017"/>
      <c r="FX134" s="1017"/>
      <c r="FY134" s="1017"/>
      <c r="FZ134" s="1017"/>
      <c r="GA134" s="1017"/>
      <c r="GB134" s="1017"/>
      <c r="GC134" s="1017"/>
      <c r="GD134" s="1017"/>
      <c r="GE134" s="1017"/>
      <c r="GF134" s="1017"/>
      <c r="GG134" s="1017"/>
      <c r="GH134" s="1017"/>
      <c r="GI134" s="1017"/>
      <c r="GJ134" s="1017"/>
      <c r="GK134" s="1017"/>
      <c r="GL134" s="1017"/>
      <c r="GM134" s="1017"/>
      <c r="GN134" s="1017"/>
      <c r="GO134" s="1017"/>
      <c r="GP134" s="1017"/>
      <c r="GQ134" s="1017"/>
      <c r="GR134" s="1017"/>
      <c r="GS134" s="1017"/>
      <c r="GT134" s="1017"/>
      <c r="GU134" s="1017"/>
      <c r="GV134" s="1017"/>
      <c r="GW134" s="1017"/>
      <c r="GX134" s="1017"/>
      <c r="GY134" s="1017"/>
      <c r="GZ134" s="1017"/>
      <c r="HA134" s="1017"/>
      <c r="HB134" s="1017"/>
      <c r="HC134" s="1017"/>
      <c r="HD134" s="1017"/>
      <c r="HE134" s="1017"/>
      <c r="HF134" s="1017"/>
      <c r="HG134" s="1017"/>
      <c r="HH134" s="1017"/>
      <c r="HI134" s="1017"/>
      <c r="HJ134" s="1017"/>
      <c r="HK134" s="1017"/>
      <c r="HL134" s="1017"/>
      <c r="HM134" s="1017"/>
      <c r="HN134" s="1017"/>
      <c r="HO134" s="1017"/>
      <c r="HP134" s="1017"/>
      <c r="HQ134" s="1017"/>
      <c r="HR134" s="1017"/>
      <c r="HS134" s="1017"/>
      <c r="HT134" s="1017"/>
      <c r="HU134" s="1017"/>
      <c r="HV134" s="1017"/>
      <c r="HW134" s="1017"/>
      <c r="HX134" s="1017"/>
      <c r="HY134" s="1017"/>
      <c r="HZ134" s="1017"/>
      <c r="IA134" s="1017"/>
      <c r="IB134" s="1017"/>
      <c r="IC134" s="1017"/>
      <c r="ID134" s="1017"/>
      <c r="IE134" s="1017"/>
      <c r="IF134" s="1017"/>
      <c r="IG134" s="1017"/>
      <c r="IH134" s="1017"/>
      <c r="II134" s="1017"/>
      <c r="IJ134" s="1017"/>
      <c r="IK134" s="1017"/>
      <c r="IL134" s="1017"/>
      <c r="IM134" s="1017"/>
    </row>
    <row r="135" spans="1:247">
      <c r="A135" s="1052" t="s">
        <v>428</v>
      </c>
      <c r="B135" s="1053"/>
      <c r="C135" s="1050">
        <v>0</v>
      </c>
      <c r="D135" s="1068">
        <v>0</v>
      </c>
      <c r="E135" s="1046">
        <v>0</v>
      </c>
      <c r="F135" s="1046">
        <v>0</v>
      </c>
      <c r="G135" s="1047">
        <v>0</v>
      </c>
      <c r="H135" s="1048">
        <v>0</v>
      </c>
      <c r="I135" s="1048">
        <v>0</v>
      </c>
      <c r="J135" s="1048">
        <v>0</v>
      </c>
      <c r="K135" s="1049">
        <v>0</v>
      </c>
      <c r="L135" s="1028"/>
      <c r="M135" s="1045"/>
      <c r="N135" s="1050">
        <f t="shared" ref="N135:N175" si="102">H135+M135</f>
        <v>0</v>
      </c>
      <c r="O135" s="1045">
        <v>0</v>
      </c>
      <c r="P135" s="1046">
        <v>0</v>
      </c>
      <c r="Q135" s="1046">
        <v>0</v>
      </c>
      <c r="R135" s="1045">
        <f t="shared" si="99"/>
        <v>0</v>
      </c>
      <c r="S135" s="1046">
        <f t="shared" si="99"/>
        <v>0</v>
      </c>
      <c r="T135" s="1046">
        <f t="shared" si="99"/>
        <v>0</v>
      </c>
      <c r="U135" s="1050">
        <f t="shared" si="100"/>
        <v>0</v>
      </c>
      <c r="V135" s="948"/>
      <c r="W135" s="1045">
        <f t="shared" si="101"/>
        <v>0</v>
      </c>
      <c r="X135" s="1046">
        <v>0</v>
      </c>
      <c r="Y135" s="1045">
        <f t="shared" si="78"/>
        <v>0</v>
      </c>
      <c r="Z135" s="1051">
        <f t="shared" si="80"/>
        <v>0</v>
      </c>
      <c r="AA135" s="1017"/>
      <c r="AB135" s="952"/>
      <c r="AC135" s="1017"/>
      <c r="AD135" s="1017"/>
      <c r="AE135" s="1017"/>
      <c r="AF135" s="1017"/>
      <c r="AG135" s="1017"/>
      <c r="AH135" s="1017"/>
      <c r="AI135" s="1017"/>
      <c r="AJ135" s="1017"/>
      <c r="AK135" s="1017"/>
      <c r="AL135" s="1017"/>
      <c r="AM135" s="1017"/>
      <c r="AN135" s="1017"/>
      <c r="AO135" s="1017"/>
      <c r="AP135" s="1017"/>
      <c r="AQ135" s="1017"/>
      <c r="AR135" s="1017"/>
      <c r="AS135" s="1017"/>
      <c r="AT135" s="1017"/>
      <c r="AU135" s="1017"/>
      <c r="AV135" s="1017"/>
      <c r="AW135" s="1017"/>
      <c r="AX135" s="1017"/>
      <c r="AY135" s="1017"/>
      <c r="AZ135" s="1017"/>
      <c r="BA135" s="1017"/>
      <c r="BB135" s="1017"/>
      <c r="BC135" s="1017"/>
      <c r="BD135" s="1017"/>
      <c r="BE135" s="1017"/>
      <c r="BF135" s="1017"/>
      <c r="BG135" s="1017"/>
      <c r="BH135" s="1017"/>
      <c r="BI135" s="1017"/>
      <c r="BJ135" s="1017"/>
      <c r="BK135" s="1017"/>
      <c r="BL135" s="1017"/>
      <c r="BM135" s="1017"/>
      <c r="BN135" s="1017"/>
      <c r="BO135" s="1017"/>
      <c r="BP135" s="1017"/>
      <c r="BQ135" s="1017"/>
      <c r="BR135" s="1017"/>
      <c r="BS135" s="1017"/>
      <c r="BT135" s="1017"/>
      <c r="BU135" s="1017"/>
      <c r="BV135" s="1017"/>
      <c r="BW135" s="1017"/>
      <c r="BX135" s="1017"/>
      <c r="BY135" s="1017"/>
      <c r="BZ135" s="1017"/>
      <c r="CA135" s="1017"/>
      <c r="CB135" s="1017"/>
      <c r="CC135" s="1017"/>
      <c r="CD135" s="1017"/>
      <c r="CE135" s="1017"/>
      <c r="CF135" s="1017"/>
      <c r="CG135" s="1017"/>
      <c r="CH135" s="1017"/>
      <c r="CI135" s="1017"/>
      <c r="CJ135" s="1017"/>
      <c r="CK135" s="1017"/>
      <c r="CL135" s="1017"/>
      <c r="CM135" s="1017"/>
      <c r="CN135" s="1017"/>
      <c r="CO135" s="1017"/>
      <c r="CP135" s="1017"/>
      <c r="CQ135" s="1017"/>
      <c r="CR135" s="1017"/>
      <c r="CS135" s="1017"/>
      <c r="CT135" s="1017"/>
      <c r="CU135" s="1017"/>
      <c r="CV135" s="1017"/>
      <c r="CW135" s="1017"/>
      <c r="CX135" s="1017"/>
      <c r="CY135" s="1017"/>
      <c r="CZ135" s="1017"/>
      <c r="DA135" s="1017"/>
      <c r="DB135" s="1017"/>
      <c r="DC135" s="1017"/>
      <c r="DD135" s="1017"/>
      <c r="DE135" s="1017"/>
      <c r="DF135" s="1017"/>
      <c r="DG135" s="1017"/>
      <c r="DH135" s="1017"/>
      <c r="DI135" s="1017"/>
      <c r="DJ135" s="1017"/>
      <c r="DK135" s="1017"/>
      <c r="DL135" s="1017"/>
      <c r="DM135" s="1017"/>
      <c r="DN135" s="1017"/>
      <c r="DO135" s="1017"/>
      <c r="DP135" s="1017"/>
      <c r="DQ135" s="1017"/>
      <c r="DR135" s="1017"/>
      <c r="DS135" s="1017"/>
      <c r="DT135" s="1017"/>
      <c r="DU135" s="1017"/>
      <c r="DV135" s="1017"/>
      <c r="DW135" s="1017"/>
      <c r="DX135" s="1017"/>
      <c r="DY135" s="1017"/>
      <c r="DZ135" s="1017"/>
      <c r="EA135" s="1017"/>
      <c r="EB135" s="1017"/>
      <c r="EC135" s="1017"/>
      <c r="ED135" s="1017"/>
      <c r="EE135" s="1017"/>
      <c r="EF135" s="1017"/>
      <c r="EG135" s="1017"/>
      <c r="EH135" s="1017"/>
      <c r="EI135" s="1017"/>
      <c r="EJ135" s="1017"/>
      <c r="EK135" s="1017"/>
      <c r="EL135" s="1017"/>
      <c r="EM135" s="1017"/>
      <c r="EN135" s="1017"/>
      <c r="EO135" s="1017"/>
      <c r="EP135" s="1017"/>
      <c r="EQ135" s="1017"/>
      <c r="ER135" s="1017"/>
      <c r="ES135" s="1017"/>
      <c r="ET135" s="1017"/>
      <c r="EU135" s="1017"/>
      <c r="EV135" s="1017"/>
      <c r="EW135" s="1017"/>
      <c r="EX135" s="1017"/>
      <c r="EY135" s="1017"/>
      <c r="EZ135" s="1017"/>
      <c r="FA135" s="1017"/>
      <c r="FB135" s="1017"/>
      <c r="FC135" s="1017"/>
      <c r="FD135" s="1017"/>
      <c r="FE135" s="1017"/>
      <c r="FF135" s="1017"/>
      <c r="FG135" s="1017"/>
      <c r="FH135" s="1017"/>
      <c r="FI135" s="1017"/>
      <c r="FJ135" s="1017"/>
      <c r="FK135" s="1017"/>
      <c r="FL135" s="1017"/>
      <c r="FM135" s="1017"/>
      <c r="FN135" s="1017"/>
      <c r="FO135" s="1017"/>
      <c r="FP135" s="1017"/>
      <c r="FQ135" s="1017"/>
      <c r="FR135" s="1017"/>
      <c r="FS135" s="1017"/>
      <c r="FT135" s="1017"/>
      <c r="FU135" s="1017"/>
      <c r="FV135" s="1017"/>
      <c r="FW135" s="1017"/>
      <c r="FX135" s="1017"/>
      <c r="FY135" s="1017"/>
      <c r="FZ135" s="1017"/>
      <c r="GA135" s="1017"/>
      <c r="GB135" s="1017"/>
      <c r="GC135" s="1017"/>
      <c r="GD135" s="1017"/>
      <c r="GE135" s="1017"/>
      <c r="GF135" s="1017"/>
      <c r="GG135" s="1017"/>
      <c r="GH135" s="1017"/>
      <c r="GI135" s="1017"/>
      <c r="GJ135" s="1017"/>
      <c r="GK135" s="1017"/>
      <c r="GL135" s="1017"/>
      <c r="GM135" s="1017"/>
      <c r="GN135" s="1017"/>
      <c r="GO135" s="1017"/>
      <c r="GP135" s="1017"/>
      <c r="GQ135" s="1017"/>
      <c r="GR135" s="1017"/>
      <c r="GS135" s="1017"/>
      <c r="GT135" s="1017"/>
      <c r="GU135" s="1017"/>
      <c r="GV135" s="1017"/>
      <c r="GW135" s="1017"/>
      <c r="GX135" s="1017"/>
      <c r="GY135" s="1017"/>
      <c r="GZ135" s="1017"/>
      <c r="HA135" s="1017"/>
      <c r="HB135" s="1017"/>
      <c r="HC135" s="1017"/>
      <c r="HD135" s="1017"/>
      <c r="HE135" s="1017"/>
      <c r="HF135" s="1017"/>
      <c r="HG135" s="1017"/>
      <c r="HH135" s="1017"/>
      <c r="HI135" s="1017"/>
      <c r="HJ135" s="1017"/>
      <c r="HK135" s="1017"/>
      <c r="HL135" s="1017"/>
      <c r="HM135" s="1017"/>
      <c r="HN135" s="1017"/>
      <c r="HO135" s="1017"/>
      <c r="HP135" s="1017"/>
      <c r="HQ135" s="1017"/>
      <c r="HR135" s="1017"/>
      <c r="HS135" s="1017"/>
      <c r="HT135" s="1017"/>
      <c r="HU135" s="1017"/>
      <c r="HV135" s="1017"/>
      <c r="HW135" s="1017"/>
      <c r="HX135" s="1017"/>
      <c r="HY135" s="1017"/>
      <c r="HZ135" s="1017"/>
      <c r="IA135" s="1017"/>
      <c r="IB135" s="1017"/>
      <c r="IC135" s="1017"/>
      <c r="ID135" s="1017"/>
      <c r="IE135" s="1017"/>
      <c r="IF135" s="1017"/>
      <c r="IG135" s="1017"/>
      <c r="IH135" s="1017"/>
      <c r="II135" s="1017"/>
      <c r="IJ135" s="1017"/>
      <c r="IK135" s="1017"/>
      <c r="IL135" s="1017"/>
      <c r="IM135" s="1017"/>
    </row>
    <row r="136" spans="1:247">
      <c r="A136" s="1052" t="s">
        <v>995</v>
      </c>
      <c r="B136" s="1053"/>
      <c r="C136" s="1050">
        <v>0</v>
      </c>
      <c r="D136" s="1068">
        <v>0</v>
      </c>
      <c r="E136" s="1046">
        <v>49</v>
      </c>
      <c r="F136" s="1046">
        <v>0</v>
      </c>
      <c r="G136" s="1047">
        <v>0</v>
      </c>
      <c r="H136" s="1048">
        <v>0</v>
      </c>
      <c r="I136" s="1048">
        <v>49</v>
      </c>
      <c r="J136" s="1048">
        <v>0</v>
      </c>
      <c r="K136" s="1049">
        <v>0</v>
      </c>
      <c r="L136" s="1028"/>
      <c r="M136" s="1045"/>
      <c r="N136" s="1050">
        <f t="shared" si="102"/>
        <v>0</v>
      </c>
      <c r="O136" s="1045">
        <v>0</v>
      </c>
      <c r="P136" s="1046">
        <v>0</v>
      </c>
      <c r="Q136" s="1046">
        <v>0</v>
      </c>
      <c r="R136" s="1045">
        <f t="shared" si="99"/>
        <v>49</v>
      </c>
      <c r="S136" s="1046">
        <f t="shared" si="99"/>
        <v>0</v>
      </c>
      <c r="T136" s="1046">
        <f t="shared" si="99"/>
        <v>0</v>
      </c>
      <c r="U136" s="1050">
        <f t="shared" si="100"/>
        <v>0</v>
      </c>
      <c r="V136" s="948"/>
      <c r="W136" s="1045">
        <f t="shared" si="101"/>
        <v>0</v>
      </c>
      <c r="X136" s="1046">
        <v>49</v>
      </c>
      <c r="Y136" s="1045">
        <f t="shared" si="78"/>
        <v>49</v>
      </c>
      <c r="Z136" s="1051">
        <f t="shared" si="80"/>
        <v>5.4751457886095076E-2</v>
      </c>
      <c r="AA136" s="1017"/>
      <c r="AB136" s="952"/>
      <c r="AC136" s="1017"/>
      <c r="AD136" s="1017"/>
      <c r="AE136" s="1017"/>
      <c r="AF136" s="1017"/>
      <c r="AG136" s="1017"/>
      <c r="AH136" s="1017"/>
      <c r="AI136" s="1017"/>
      <c r="AJ136" s="1017"/>
      <c r="AK136" s="1017"/>
      <c r="AL136" s="1017"/>
      <c r="AM136" s="1017"/>
      <c r="AN136" s="1017"/>
      <c r="AO136" s="1017"/>
      <c r="AP136" s="1017"/>
      <c r="AQ136" s="1017"/>
      <c r="AR136" s="1017"/>
      <c r="AS136" s="1017"/>
      <c r="AT136" s="1017"/>
      <c r="AU136" s="1017"/>
      <c r="AV136" s="1017"/>
      <c r="AW136" s="1017"/>
      <c r="AX136" s="1017"/>
      <c r="AY136" s="1017"/>
      <c r="AZ136" s="1017"/>
      <c r="BA136" s="1017"/>
      <c r="BB136" s="1017"/>
      <c r="BC136" s="1017"/>
      <c r="BD136" s="1017"/>
      <c r="BE136" s="1017"/>
      <c r="BF136" s="1017"/>
      <c r="BG136" s="1017"/>
      <c r="BH136" s="1017"/>
      <c r="BI136" s="1017"/>
      <c r="BJ136" s="1017"/>
      <c r="BK136" s="1017"/>
      <c r="BL136" s="1017"/>
      <c r="BM136" s="1017"/>
      <c r="BN136" s="1017"/>
      <c r="BO136" s="1017"/>
      <c r="BP136" s="1017"/>
      <c r="BQ136" s="1017"/>
      <c r="BR136" s="1017"/>
      <c r="BS136" s="1017"/>
      <c r="BT136" s="1017"/>
      <c r="BU136" s="1017"/>
      <c r="BV136" s="1017"/>
      <c r="BW136" s="1017"/>
      <c r="BX136" s="1017"/>
      <c r="BY136" s="1017"/>
      <c r="BZ136" s="1017"/>
      <c r="CA136" s="1017"/>
      <c r="CB136" s="1017"/>
      <c r="CC136" s="1017"/>
      <c r="CD136" s="1017"/>
      <c r="CE136" s="1017"/>
      <c r="CF136" s="1017"/>
      <c r="CG136" s="1017"/>
      <c r="CH136" s="1017"/>
      <c r="CI136" s="1017"/>
      <c r="CJ136" s="1017"/>
      <c r="CK136" s="1017"/>
      <c r="CL136" s="1017"/>
      <c r="CM136" s="1017"/>
      <c r="CN136" s="1017"/>
      <c r="CO136" s="1017"/>
      <c r="CP136" s="1017"/>
      <c r="CQ136" s="1017"/>
      <c r="CR136" s="1017"/>
      <c r="CS136" s="1017"/>
      <c r="CT136" s="1017"/>
      <c r="CU136" s="1017"/>
      <c r="CV136" s="1017"/>
      <c r="CW136" s="1017"/>
      <c r="CX136" s="1017"/>
      <c r="CY136" s="1017"/>
      <c r="CZ136" s="1017"/>
      <c r="DA136" s="1017"/>
      <c r="DB136" s="1017"/>
      <c r="DC136" s="1017"/>
      <c r="DD136" s="1017"/>
      <c r="DE136" s="1017"/>
      <c r="DF136" s="1017"/>
      <c r="DG136" s="1017"/>
      <c r="DH136" s="1017"/>
      <c r="DI136" s="1017"/>
      <c r="DJ136" s="1017"/>
      <c r="DK136" s="1017"/>
      <c r="DL136" s="1017"/>
      <c r="DM136" s="1017"/>
      <c r="DN136" s="1017"/>
      <c r="DO136" s="1017"/>
      <c r="DP136" s="1017"/>
      <c r="DQ136" s="1017"/>
      <c r="DR136" s="1017"/>
      <c r="DS136" s="1017"/>
      <c r="DT136" s="1017"/>
      <c r="DU136" s="1017"/>
      <c r="DV136" s="1017"/>
      <c r="DW136" s="1017"/>
      <c r="DX136" s="1017"/>
      <c r="DY136" s="1017"/>
      <c r="DZ136" s="1017"/>
      <c r="EA136" s="1017"/>
      <c r="EB136" s="1017"/>
      <c r="EC136" s="1017"/>
      <c r="ED136" s="1017"/>
      <c r="EE136" s="1017"/>
      <c r="EF136" s="1017"/>
      <c r="EG136" s="1017"/>
      <c r="EH136" s="1017"/>
      <c r="EI136" s="1017"/>
      <c r="EJ136" s="1017"/>
      <c r="EK136" s="1017"/>
      <c r="EL136" s="1017"/>
      <c r="EM136" s="1017"/>
      <c r="EN136" s="1017"/>
      <c r="EO136" s="1017"/>
      <c r="EP136" s="1017"/>
      <c r="EQ136" s="1017"/>
      <c r="ER136" s="1017"/>
      <c r="ES136" s="1017"/>
      <c r="ET136" s="1017"/>
      <c r="EU136" s="1017"/>
      <c r="EV136" s="1017"/>
      <c r="EW136" s="1017"/>
      <c r="EX136" s="1017"/>
      <c r="EY136" s="1017"/>
      <c r="EZ136" s="1017"/>
      <c r="FA136" s="1017"/>
      <c r="FB136" s="1017"/>
      <c r="FC136" s="1017"/>
      <c r="FD136" s="1017"/>
      <c r="FE136" s="1017"/>
      <c r="FF136" s="1017"/>
      <c r="FG136" s="1017"/>
      <c r="FH136" s="1017"/>
      <c r="FI136" s="1017"/>
      <c r="FJ136" s="1017"/>
      <c r="FK136" s="1017"/>
      <c r="FL136" s="1017"/>
      <c r="FM136" s="1017"/>
      <c r="FN136" s="1017"/>
      <c r="FO136" s="1017"/>
      <c r="FP136" s="1017"/>
      <c r="FQ136" s="1017"/>
      <c r="FR136" s="1017"/>
      <c r="FS136" s="1017"/>
      <c r="FT136" s="1017"/>
      <c r="FU136" s="1017"/>
      <c r="FV136" s="1017"/>
      <c r="FW136" s="1017"/>
      <c r="FX136" s="1017"/>
      <c r="FY136" s="1017"/>
      <c r="FZ136" s="1017"/>
      <c r="GA136" s="1017"/>
      <c r="GB136" s="1017"/>
      <c r="GC136" s="1017"/>
      <c r="GD136" s="1017"/>
      <c r="GE136" s="1017"/>
      <c r="GF136" s="1017"/>
      <c r="GG136" s="1017"/>
      <c r="GH136" s="1017"/>
      <c r="GI136" s="1017"/>
      <c r="GJ136" s="1017"/>
      <c r="GK136" s="1017"/>
      <c r="GL136" s="1017"/>
      <c r="GM136" s="1017"/>
      <c r="GN136" s="1017"/>
      <c r="GO136" s="1017"/>
      <c r="GP136" s="1017"/>
      <c r="GQ136" s="1017"/>
      <c r="GR136" s="1017"/>
      <c r="GS136" s="1017"/>
      <c r="GT136" s="1017"/>
      <c r="GU136" s="1017"/>
      <c r="GV136" s="1017"/>
      <c r="GW136" s="1017"/>
      <c r="GX136" s="1017"/>
      <c r="GY136" s="1017"/>
      <c r="GZ136" s="1017"/>
      <c r="HA136" s="1017"/>
      <c r="HB136" s="1017"/>
      <c r="HC136" s="1017"/>
      <c r="HD136" s="1017"/>
      <c r="HE136" s="1017"/>
      <c r="HF136" s="1017"/>
      <c r="HG136" s="1017"/>
      <c r="HH136" s="1017"/>
      <c r="HI136" s="1017"/>
      <c r="HJ136" s="1017"/>
      <c r="HK136" s="1017"/>
      <c r="HL136" s="1017"/>
      <c r="HM136" s="1017"/>
      <c r="HN136" s="1017"/>
      <c r="HO136" s="1017"/>
      <c r="HP136" s="1017"/>
      <c r="HQ136" s="1017"/>
      <c r="HR136" s="1017"/>
      <c r="HS136" s="1017"/>
      <c r="HT136" s="1017"/>
      <c r="HU136" s="1017"/>
      <c r="HV136" s="1017"/>
      <c r="HW136" s="1017"/>
      <c r="HX136" s="1017"/>
      <c r="HY136" s="1017"/>
      <c r="HZ136" s="1017"/>
      <c r="IA136" s="1017"/>
      <c r="IB136" s="1017"/>
      <c r="IC136" s="1017"/>
      <c r="ID136" s="1017"/>
      <c r="IE136" s="1017"/>
      <c r="IF136" s="1017"/>
      <c r="IG136" s="1017"/>
      <c r="IH136" s="1017"/>
      <c r="II136" s="1017"/>
      <c r="IJ136" s="1017"/>
      <c r="IK136" s="1017"/>
      <c r="IL136" s="1017"/>
      <c r="IM136" s="1017"/>
    </row>
    <row r="137" spans="1:247">
      <c r="A137" s="1052" t="s">
        <v>996</v>
      </c>
      <c r="B137" s="1053"/>
      <c r="C137" s="1050">
        <v>0</v>
      </c>
      <c r="D137" s="1068">
        <v>32.5</v>
      </c>
      <c r="E137" s="1046">
        <v>0</v>
      </c>
      <c r="F137" s="1046">
        <v>0</v>
      </c>
      <c r="G137" s="1047">
        <v>0</v>
      </c>
      <c r="H137" s="1048">
        <v>96.768271999999996</v>
      </c>
      <c r="I137" s="1048">
        <v>126.304728</v>
      </c>
      <c r="J137" s="1048">
        <v>0</v>
      </c>
      <c r="K137" s="1049">
        <v>0</v>
      </c>
      <c r="L137" s="1028"/>
      <c r="M137" s="1045"/>
      <c r="N137" s="1050">
        <f t="shared" si="102"/>
        <v>96.768271999999996</v>
      </c>
      <c r="O137" s="1045">
        <f>I137</f>
        <v>126.304728</v>
      </c>
      <c r="P137" s="1046">
        <v>0</v>
      </c>
      <c r="Q137" s="1046">
        <v>0</v>
      </c>
      <c r="R137" s="1045">
        <f t="shared" si="99"/>
        <v>0</v>
      </c>
      <c r="S137" s="1046">
        <f t="shared" si="99"/>
        <v>0</v>
      </c>
      <c r="T137" s="1046">
        <f t="shared" si="99"/>
        <v>0</v>
      </c>
      <c r="U137" s="1050">
        <f t="shared" si="100"/>
        <v>29.536456000000001</v>
      </c>
      <c r="V137" s="948"/>
      <c r="W137" s="1045">
        <f t="shared" si="101"/>
        <v>126.304728</v>
      </c>
      <c r="X137" s="1046">
        <v>0</v>
      </c>
      <c r="Y137" s="1045">
        <f t="shared" si="78"/>
        <v>-126.304728</v>
      </c>
      <c r="Z137" s="1051">
        <f t="shared" si="80"/>
        <v>-0.14112995910013659</v>
      </c>
      <c r="AA137" s="1017"/>
      <c r="AB137" s="952"/>
      <c r="AC137" s="1017"/>
      <c r="AD137" s="1017"/>
      <c r="AE137" s="1017"/>
      <c r="AF137" s="1017"/>
      <c r="AG137" s="1017"/>
      <c r="AH137" s="1017"/>
      <c r="AI137" s="1017"/>
      <c r="AJ137" s="1017"/>
      <c r="AK137" s="1017"/>
      <c r="AL137" s="1017"/>
      <c r="AM137" s="1017"/>
      <c r="AN137" s="1017"/>
      <c r="AO137" s="1017"/>
      <c r="AP137" s="1017"/>
      <c r="AQ137" s="1017"/>
      <c r="AR137" s="1017"/>
      <c r="AS137" s="1017"/>
      <c r="AT137" s="1017"/>
      <c r="AU137" s="1017"/>
      <c r="AV137" s="1017"/>
      <c r="AW137" s="1017"/>
      <c r="AX137" s="1017"/>
      <c r="AY137" s="1017"/>
      <c r="AZ137" s="1017"/>
      <c r="BA137" s="1017"/>
      <c r="BB137" s="1017"/>
      <c r="BC137" s="1017"/>
      <c r="BD137" s="1017"/>
      <c r="BE137" s="1017"/>
      <c r="BF137" s="1017"/>
      <c r="BG137" s="1017"/>
      <c r="BH137" s="1017"/>
      <c r="BI137" s="1017"/>
      <c r="BJ137" s="1017"/>
      <c r="BK137" s="1017"/>
      <c r="BL137" s="1017"/>
      <c r="BM137" s="1017"/>
      <c r="BN137" s="1017"/>
      <c r="BO137" s="1017"/>
      <c r="BP137" s="1017"/>
      <c r="BQ137" s="1017"/>
      <c r="BR137" s="1017"/>
      <c r="BS137" s="1017"/>
      <c r="BT137" s="1017"/>
      <c r="BU137" s="1017"/>
      <c r="BV137" s="1017"/>
      <c r="BW137" s="1017"/>
      <c r="BX137" s="1017"/>
      <c r="BY137" s="1017"/>
      <c r="BZ137" s="1017"/>
      <c r="CA137" s="1017"/>
      <c r="CB137" s="1017"/>
      <c r="CC137" s="1017"/>
      <c r="CD137" s="1017"/>
      <c r="CE137" s="1017"/>
      <c r="CF137" s="1017"/>
      <c r="CG137" s="1017"/>
      <c r="CH137" s="1017"/>
      <c r="CI137" s="1017"/>
      <c r="CJ137" s="1017"/>
      <c r="CK137" s="1017"/>
      <c r="CL137" s="1017"/>
      <c r="CM137" s="1017"/>
      <c r="CN137" s="1017"/>
      <c r="CO137" s="1017"/>
      <c r="CP137" s="1017"/>
      <c r="CQ137" s="1017"/>
      <c r="CR137" s="1017"/>
      <c r="CS137" s="1017"/>
      <c r="CT137" s="1017"/>
      <c r="CU137" s="1017"/>
      <c r="CV137" s="1017"/>
      <c r="CW137" s="1017"/>
      <c r="CX137" s="1017"/>
      <c r="CY137" s="1017"/>
      <c r="CZ137" s="1017"/>
      <c r="DA137" s="1017"/>
      <c r="DB137" s="1017"/>
      <c r="DC137" s="1017"/>
      <c r="DD137" s="1017"/>
      <c r="DE137" s="1017"/>
      <c r="DF137" s="1017"/>
      <c r="DG137" s="1017"/>
      <c r="DH137" s="1017"/>
      <c r="DI137" s="1017"/>
      <c r="DJ137" s="1017"/>
      <c r="DK137" s="1017"/>
      <c r="DL137" s="1017"/>
      <c r="DM137" s="1017"/>
      <c r="DN137" s="1017"/>
      <c r="DO137" s="1017"/>
      <c r="DP137" s="1017"/>
      <c r="DQ137" s="1017"/>
      <c r="DR137" s="1017"/>
      <c r="DS137" s="1017"/>
      <c r="DT137" s="1017"/>
      <c r="DU137" s="1017"/>
      <c r="DV137" s="1017"/>
      <c r="DW137" s="1017"/>
      <c r="DX137" s="1017"/>
      <c r="DY137" s="1017"/>
      <c r="DZ137" s="1017"/>
      <c r="EA137" s="1017"/>
      <c r="EB137" s="1017"/>
      <c r="EC137" s="1017"/>
      <c r="ED137" s="1017"/>
      <c r="EE137" s="1017"/>
      <c r="EF137" s="1017"/>
      <c r="EG137" s="1017"/>
      <c r="EH137" s="1017"/>
      <c r="EI137" s="1017"/>
      <c r="EJ137" s="1017"/>
      <c r="EK137" s="1017"/>
      <c r="EL137" s="1017"/>
      <c r="EM137" s="1017"/>
      <c r="EN137" s="1017"/>
      <c r="EO137" s="1017"/>
      <c r="EP137" s="1017"/>
      <c r="EQ137" s="1017"/>
      <c r="ER137" s="1017"/>
      <c r="ES137" s="1017"/>
      <c r="ET137" s="1017"/>
      <c r="EU137" s="1017"/>
      <c r="EV137" s="1017"/>
      <c r="EW137" s="1017"/>
      <c r="EX137" s="1017"/>
      <c r="EY137" s="1017"/>
      <c r="EZ137" s="1017"/>
      <c r="FA137" s="1017"/>
      <c r="FB137" s="1017"/>
      <c r="FC137" s="1017"/>
      <c r="FD137" s="1017"/>
      <c r="FE137" s="1017"/>
      <c r="FF137" s="1017"/>
      <c r="FG137" s="1017"/>
      <c r="FH137" s="1017"/>
      <c r="FI137" s="1017"/>
      <c r="FJ137" s="1017"/>
      <c r="FK137" s="1017"/>
      <c r="FL137" s="1017"/>
      <c r="FM137" s="1017"/>
      <c r="FN137" s="1017"/>
      <c r="FO137" s="1017"/>
      <c r="FP137" s="1017"/>
      <c r="FQ137" s="1017"/>
      <c r="FR137" s="1017"/>
      <c r="FS137" s="1017"/>
      <c r="FT137" s="1017"/>
      <c r="FU137" s="1017"/>
      <c r="FV137" s="1017"/>
      <c r="FW137" s="1017"/>
      <c r="FX137" s="1017"/>
      <c r="FY137" s="1017"/>
      <c r="FZ137" s="1017"/>
      <c r="GA137" s="1017"/>
      <c r="GB137" s="1017"/>
      <c r="GC137" s="1017"/>
      <c r="GD137" s="1017"/>
      <c r="GE137" s="1017"/>
      <c r="GF137" s="1017"/>
      <c r="GG137" s="1017"/>
      <c r="GH137" s="1017"/>
      <c r="GI137" s="1017"/>
      <c r="GJ137" s="1017"/>
      <c r="GK137" s="1017"/>
      <c r="GL137" s="1017"/>
      <c r="GM137" s="1017"/>
      <c r="GN137" s="1017"/>
      <c r="GO137" s="1017"/>
      <c r="GP137" s="1017"/>
      <c r="GQ137" s="1017"/>
      <c r="GR137" s="1017"/>
      <c r="GS137" s="1017"/>
      <c r="GT137" s="1017"/>
      <c r="GU137" s="1017"/>
      <c r="GV137" s="1017"/>
      <c r="GW137" s="1017"/>
      <c r="GX137" s="1017"/>
      <c r="GY137" s="1017"/>
      <c r="GZ137" s="1017"/>
      <c r="HA137" s="1017"/>
      <c r="HB137" s="1017"/>
      <c r="HC137" s="1017"/>
      <c r="HD137" s="1017"/>
      <c r="HE137" s="1017"/>
      <c r="HF137" s="1017"/>
      <c r="HG137" s="1017"/>
      <c r="HH137" s="1017"/>
      <c r="HI137" s="1017"/>
      <c r="HJ137" s="1017"/>
      <c r="HK137" s="1017"/>
      <c r="HL137" s="1017"/>
      <c r="HM137" s="1017"/>
      <c r="HN137" s="1017"/>
      <c r="HO137" s="1017"/>
      <c r="HP137" s="1017"/>
      <c r="HQ137" s="1017"/>
      <c r="HR137" s="1017"/>
      <c r="HS137" s="1017"/>
      <c r="HT137" s="1017"/>
      <c r="HU137" s="1017"/>
      <c r="HV137" s="1017"/>
      <c r="HW137" s="1017"/>
      <c r="HX137" s="1017"/>
      <c r="HY137" s="1017"/>
      <c r="HZ137" s="1017"/>
      <c r="IA137" s="1017"/>
      <c r="IB137" s="1017"/>
      <c r="IC137" s="1017"/>
      <c r="ID137" s="1017"/>
      <c r="IE137" s="1017"/>
      <c r="IF137" s="1017"/>
      <c r="IG137" s="1017"/>
      <c r="IH137" s="1017"/>
      <c r="II137" s="1017"/>
      <c r="IJ137" s="1017"/>
      <c r="IK137" s="1017"/>
      <c r="IL137" s="1017"/>
      <c r="IM137" s="1017"/>
    </row>
    <row r="138" spans="1:247">
      <c r="A138" s="1052" t="s">
        <v>997</v>
      </c>
      <c r="B138" s="1053"/>
      <c r="C138" s="1050">
        <f>14.35+22.847</f>
        <v>37.197000000000003</v>
      </c>
      <c r="D138" s="1068">
        <f>11.615</f>
        <v>11.615</v>
      </c>
      <c r="E138" s="1046">
        <f>19.174</f>
        <v>19.173999999999999</v>
      </c>
      <c r="F138" s="1046">
        <f>26.116+67.95</f>
        <v>94.066000000000003</v>
      </c>
      <c r="G138" s="1047">
        <f>13.638+125.814</f>
        <v>139.452</v>
      </c>
      <c r="H138" s="1048">
        <v>11.615</v>
      </c>
      <c r="I138" s="1048">
        <v>19.173999999999999</v>
      </c>
      <c r="J138" s="1048">
        <v>94.066000000000003</v>
      </c>
      <c r="K138" s="1049">
        <v>139.452</v>
      </c>
      <c r="L138" s="1028"/>
      <c r="M138" s="1045"/>
      <c r="N138" s="1050">
        <f t="shared" si="102"/>
        <v>11.615</v>
      </c>
      <c r="O138" s="1045">
        <f>I138</f>
        <v>19.173999999999999</v>
      </c>
      <c r="P138" s="1046">
        <f t="shared" ref="P138:Q138" si="103">J138</f>
        <v>94.066000000000003</v>
      </c>
      <c r="Q138" s="1046">
        <f t="shared" si="103"/>
        <v>139.452</v>
      </c>
      <c r="R138" s="1045">
        <f t="shared" si="99"/>
        <v>0</v>
      </c>
      <c r="S138" s="1046">
        <f t="shared" si="99"/>
        <v>0</v>
      </c>
      <c r="T138" s="1046">
        <f t="shared" si="99"/>
        <v>0</v>
      </c>
      <c r="U138" s="1050">
        <f t="shared" si="100"/>
        <v>7.5589999999999993</v>
      </c>
      <c r="V138" s="948"/>
      <c r="W138" s="1045">
        <f t="shared" si="101"/>
        <v>19.173999999999999</v>
      </c>
      <c r="X138" s="1046">
        <v>19.173999999999999</v>
      </c>
      <c r="Y138" s="1045">
        <f t="shared" si="78"/>
        <v>0</v>
      </c>
      <c r="Z138" s="1051">
        <f t="shared" si="80"/>
        <v>0</v>
      </c>
      <c r="AA138" s="1017"/>
      <c r="AB138" s="952"/>
      <c r="AC138" s="1017"/>
      <c r="AD138" s="1017"/>
      <c r="AE138" s="1017"/>
      <c r="AF138" s="1017"/>
      <c r="AG138" s="1017"/>
      <c r="AH138" s="1017"/>
      <c r="AI138" s="1017"/>
      <c r="AJ138" s="1017"/>
      <c r="AK138" s="1017"/>
      <c r="AL138" s="1017"/>
      <c r="AM138" s="1017"/>
      <c r="AN138" s="1017"/>
      <c r="AO138" s="1017"/>
      <c r="AP138" s="1017"/>
      <c r="AQ138" s="1017"/>
      <c r="AR138" s="1017"/>
      <c r="AS138" s="1017"/>
      <c r="AT138" s="1017"/>
      <c r="AU138" s="1017"/>
      <c r="AV138" s="1017"/>
      <c r="AW138" s="1017"/>
      <c r="AX138" s="1017"/>
      <c r="AY138" s="1017"/>
      <c r="AZ138" s="1017"/>
      <c r="BA138" s="1017"/>
      <c r="BB138" s="1017"/>
      <c r="BC138" s="1017"/>
      <c r="BD138" s="1017"/>
      <c r="BE138" s="1017"/>
      <c r="BF138" s="1017"/>
      <c r="BG138" s="1017"/>
      <c r="BH138" s="1017"/>
      <c r="BI138" s="1017"/>
      <c r="BJ138" s="1017"/>
      <c r="BK138" s="1017"/>
      <c r="BL138" s="1017"/>
      <c r="BM138" s="1017"/>
      <c r="BN138" s="1017"/>
      <c r="BO138" s="1017"/>
      <c r="BP138" s="1017"/>
      <c r="BQ138" s="1017"/>
      <c r="BR138" s="1017"/>
      <c r="BS138" s="1017"/>
      <c r="BT138" s="1017"/>
      <c r="BU138" s="1017"/>
      <c r="BV138" s="1017"/>
      <c r="BW138" s="1017"/>
      <c r="BX138" s="1017"/>
      <c r="BY138" s="1017"/>
      <c r="BZ138" s="1017"/>
      <c r="CA138" s="1017"/>
      <c r="CB138" s="1017"/>
      <c r="CC138" s="1017"/>
      <c r="CD138" s="1017"/>
      <c r="CE138" s="1017"/>
      <c r="CF138" s="1017"/>
      <c r="CG138" s="1017"/>
      <c r="CH138" s="1017"/>
      <c r="CI138" s="1017"/>
      <c r="CJ138" s="1017"/>
      <c r="CK138" s="1017"/>
      <c r="CL138" s="1017"/>
      <c r="CM138" s="1017"/>
      <c r="CN138" s="1017"/>
      <c r="CO138" s="1017"/>
      <c r="CP138" s="1017"/>
      <c r="CQ138" s="1017"/>
      <c r="CR138" s="1017"/>
      <c r="CS138" s="1017"/>
      <c r="CT138" s="1017"/>
      <c r="CU138" s="1017"/>
      <c r="CV138" s="1017"/>
      <c r="CW138" s="1017"/>
      <c r="CX138" s="1017"/>
      <c r="CY138" s="1017"/>
      <c r="CZ138" s="1017"/>
      <c r="DA138" s="1017"/>
      <c r="DB138" s="1017"/>
      <c r="DC138" s="1017"/>
      <c r="DD138" s="1017"/>
      <c r="DE138" s="1017"/>
      <c r="DF138" s="1017"/>
      <c r="DG138" s="1017"/>
      <c r="DH138" s="1017"/>
      <c r="DI138" s="1017"/>
      <c r="DJ138" s="1017"/>
      <c r="DK138" s="1017"/>
      <c r="DL138" s="1017"/>
      <c r="DM138" s="1017"/>
      <c r="DN138" s="1017"/>
      <c r="DO138" s="1017"/>
      <c r="DP138" s="1017"/>
      <c r="DQ138" s="1017"/>
      <c r="DR138" s="1017"/>
      <c r="DS138" s="1017"/>
      <c r="DT138" s="1017"/>
      <c r="DU138" s="1017"/>
      <c r="DV138" s="1017"/>
      <c r="DW138" s="1017"/>
      <c r="DX138" s="1017"/>
      <c r="DY138" s="1017"/>
      <c r="DZ138" s="1017"/>
      <c r="EA138" s="1017"/>
      <c r="EB138" s="1017"/>
      <c r="EC138" s="1017"/>
      <c r="ED138" s="1017"/>
      <c r="EE138" s="1017"/>
      <c r="EF138" s="1017"/>
      <c r="EG138" s="1017"/>
      <c r="EH138" s="1017"/>
      <c r="EI138" s="1017"/>
      <c r="EJ138" s="1017"/>
      <c r="EK138" s="1017"/>
      <c r="EL138" s="1017"/>
      <c r="EM138" s="1017"/>
      <c r="EN138" s="1017"/>
      <c r="EO138" s="1017"/>
      <c r="EP138" s="1017"/>
      <c r="EQ138" s="1017"/>
      <c r="ER138" s="1017"/>
      <c r="ES138" s="1017"/>
      <c r="ET138" s="1017"/>
      <c r="EU138" s="1017"/>
      <c r="EV138" s="1017"/>
      <c r="EW138" s="1017"/>
      <c r="EX138" s="1017"/>
      <c r="EY138" s="1017"/>
      <c r="EZ138" s="1017"/>
      <c r="FA138" s="1017"/>
      <c r="FB138" s="1017"/>
      <c r="FC138" s="1017"/>
      <c r="FD138" s="1017"/>
      <c r="FE138" s="1017"/>
      <c r="FF138" s="1017"/>
      <c r="FG138" s="1017"/>
      <c r="FH138" s="1017"/>
      <c r="FI138" s="1017"/>
      <c r="FJ138" s="1017"/>
      <c r="FK138" s="1017"/>
      <c r="FL138" s="1017"/>
      <c r="FM138" s="1017"/>
      <c r="FN138" s="1017"/>
      <c r="FO138" s="1017"/>
      <c r="FP138" s="1017"/>
      <c r="FQ138" s="1017"/>
      <c r="FR138" s="1017"/>
      <c r="FS138" s="1017"/>
      <c r="FT138" s="1017"/>
      <c r="FU138" s="1017"/>
      <c r="FV138" s="1017"/>
      <c r="FW138" s="1017"/>
      <c r="FX138" s="1017"/>
      <c r="FY138" s="1017"/>
      <c r="FZ138" s="1017"/>
      <c r="GA138" s="1017"/>
      <c r="GB138" s="1017"/>
      <c r="GC138" s="1017"/>
      <c r="GD138" s="1017"/>
      <c r="GE138" s="1017"/>
      <c r="GF138" s="1017"/>
      <c r="GG138" s="1017"/>
      <c r="GH138" s="1017"/>
      <c r="GI138" s="1017"/>
      <c r="GJ138" s="1017"/>
      <c r="GK138" s="1017"/>
      <c r="GL138" s="1017"/>
      <c r="GM138" s="1017"/>
      <c r="GN138" s="1017"/>
      <c r="GO138" s="1017"/>
      <c r="GP138" s="1017"/>
      <c r="GQ138" s="1017"/>
      <c r="GR138" s="1017"/>
      <c r="GS138" s="1017"/>
      <c r="GT138" s="1017"/>
      <c r="GU138" s="1017"/>
      <c r="GV138" s="1017"/>
      <c r="GW138" s="1017"/>
      <c r="GX138" s="1017"/>
      <c r="GY138" s="1017"/>
      <c r="GZ138" s="1017"/>
      <c r="HA138" s="1017"/>
      <c r="HB138" s="1017"/>
      <c r="HC138" s="1017"/>
      <c r="HD138" s="1017"/>
      <c r="HE138" s="1017"/>
      <c r="HF138" s="1017"/>
      <c r="HG138" s="1017"/>
      <c r="HH138" s="1017"/>
      <c r="HI138" s="1017"/>
      <c r="HJ138" s="1017"/>
      <c r="HK138" s="1017"/>
      <c r="HL138" s="1017"/>
      <c r="HM138" s="1017"/>
      <c r="HN138" s="1017"/>
      <c r="HO138" s="1017"/>
      <c r="HP138" s="1017"/>
      <c r="HQ138" s="1017"/>
      <c r="HR138" s="1017"/>
      <c r="HS138" s="1017"/>
      <c r="HT138" s="1017"/>
      <c r="HU138" s="1017"/>
      <c r="HV138" s="1017"/>
      <c r="HW138" s="1017"/>
      <c r="HX138" s="1017"/>
      <c r="HY138" s="1017"/>
      <c r="HZ138" s="1017"/>
      <c r="IA138" s="1017"/>
      <c r="IB138" s="1017"/>
      <c r="IC138" s="1017"/>
      <c r="ID138" s="1017"/>
      <c r="IE138" s="1017"/>
      <c r="IF138" s="1017"/>
      <c r="IG138" s="1017"/>
      <c r="IH138" s="1017"/>
      <c r="II138" s="1017"/>
      <c r="IJ138" s="1017"/>
      <c r="IK138" s="1017"/>
      <c r="IL138" s="1017"/>
      <c r="IM138" s="1017"/>
    </row>
    <row r="139" spans="1:247">
      <c r="A139" s="1052" t="s">
        <v>940</v>
      </c>
      <c r="B139" s="1053"/>
      <c r="C139" s="1050">
        <v>85.499499999999998</v>
      </c>
      <c r="D139" s="1045">
        <f>15.08052519+62.579-0.1953</f>
        <v>77.464225189999993</v>
      </c>
      <c r="E139" s="1046">
        <f>16.27499+62.036075</f>
        <v>78.311064999999999</v>
      </c>
      <c r="F139" s="1046">
        <f>15.80670362+56.6898</f>
        <v>72.496503619999999</v>
      </c>
      <c r="G139" s="1047">
        <f>16.88642541+32.961</f>
        <v>49.84742541</v>
      </c>
      <c r="H139" s="1048">
        <v>77.464225189999993</v>
      </c>
      <c r="I139" s="1048">
        <v>78.311064999999999</v>
      </c>
      <c r="J139" s="1048">
        <v>72.496503619999999</v>
      </c>
      <c r="K139" s="1049">
        <v>49.84742541</v>
      </c>
      <c r="L139" s="1028"/>
      <c r="M139" s="1045"/>
      <c r="N139" s="1050">
        <f t="shared" si="102"/>
        <v>77.464225189999993</v>
      </c>
      <c r="O139" s="1045">
        <v>82.107605805267582</v>
      </c>
      <c r="P139" s="1046">
        <v>87.560334031689251</v>
      </c>
      <c r="Q139" s="1046">
        <v>93.415973771952991</v>
      </c>
      <c r="R139" s="1045">
        <f t="shared" si="99"/>
        <v>-3.7965408052675826</v>
      </c>
      <c r="S139" s="1046">
        <f t="shared" si="99"/>
        <v>-15.063830411689253</v>
      </c>
      <c r="T139" s="1046">
        <f t="shared" si="99"/>
        <v>-43.568548361952992</v>
      </c>
      <c r="U139" s="1050">
        <f t="shared" si="100"/>
        <v>4.6433806152675885</v>
      </c>
      <c r="V139" s="948"/>
      <c r="W139" s="1045">
        <f t="shared" si="101"/>
        <v>82.107605805267582</v>
      </c>
      <c r="X139" s="1046">
        <v>78.311064999999999</v>
      </c>
      <c r="Y139" s="1045">
        <f t="shared" si="78"/>
        <v>-3.7965408052675826</v>
      </c>
      <c r="Z139" s="1051">
        <f>Y139/$X$179*100</f>
        <v>-4.2421662043357049E-3</v>
      </c>
      <c r="AA139" s="1017"/>
      <c r="AB139" s="952"/>
      <c r="AC139" s="1017"/>
      <c r="AD139" s="1017"/>
      <c r="AE139" s="1017"/>
      <c r="AF139" s="1017"/>
      <c r="AG139" s="1017"/>
      <c r="AH139" s="1017"/>
      <c r="AI139" s="1017"/>
      <c r="AJ139" s="1017"/>
      <c r="AK139" s="1017"/>
      <c r="AL139" s="1017"/>
      <c r="AM139" s="1017"/>
      <c r="AN139" s="1017"/>
      <c r="AO139" s="1017"/>
      <c r="AP139" s="1017"/>
      <c r="AQ139" s="1017"/>
      <c r="AR139" s="1017"/>
      <c r="AS139" s="1017"/>
      <c r="AT139" s="1017"/>
      <c r="AU139" s="1017"/>
      <c r="AV139" s="1017"/>
      <c r="AW139" s="1017"/>
      <c r="AX139" s="1017"/>
      <c r="AY139" s="1017"/>
      <c r="AZ139" s="1017"/>
      <c r="BA139" s="1017"/>
      <c r="BB139" s="1017"/>
      <c r="BC139" s="1017"/>
      <c r="BD139" s="1017"/>
      <c r="BE139" s="1017"/>
      <c r="BF139" s="1017"/>
      <c r="BG139" s="1017"/>
      <c r="BH139" s="1017"/>
      <c r="BI139" s="1017"/>
      <c r="BJ139" s="1017"/>
      <c r="BK139" s="1017"/>
      <c r="BL139" s="1017"/>
      <c r="BM139" s="1017"/>
      <c r="BN139" s="1017"/>
      <c r="BO139" s="1017"/>
      <c r="BP139" s="1017"/>
      <c r="BQ139" s="1017"/>
      <c r="BR139" s="1017"/>
      <c r="BS139" s="1017"/>
      <c r="BT139" s="1017"/>
      <c r="BU139" s="1017"/>
      <c r="BV139" s="1017"/>
      <c r="BW139" s="1017"/>
      <c r="BX139" s="1017"/>
      <c r="BY139" s="1017"/>
      <c r="BZ139" s="1017"/>
      <c r="CA139" s="1017"/>
      <c r="CB139" s="1017"/>
      <c r="CC139" s="1017"/>
      <c r="CD139" s="1017"/>
      <c r="CE139" s="1017"/>
      <c r="CF139" s="1017"/>
      <c r="CG139" s="1017"/>
      <c r="CH139" s="1017"/>
      <c r="CI139" s="1017"/>
      <c r="CJ139" s="1017"/>
      <c r="CK139" s="1017"/>
      <c r="CL139" s="1017"/>
      <c r="CM139" s="1017"/>
      <c r="CN139" s="1017"/>
      <c r="CO139" s="1017"/>
      <c r="CP139" s="1017"/>
      <c r="CQ139" s="1017"/>
      <c r="CR139" s="1017"/>
      <c r="CS139" s="1017"/>
      <c r="CT139" s="1017"/>
      <c r="CU139" s="1017"/>
      <c r="CV139" s="1017"/>
      <c r="CW139" s="1017"/>
      <c r="CX139" s="1017"/>
      <c r="CY139" s="1017"/>
      <c r="CZ139" s="1017"/>
      <c r="DA139" s="1017"/>
      <c r="DB139" s="1017"/>
      <c r="DC139" s="1017"/>
      <c r="DD139" s="1017"/>
      <c r="DE139" s="1017"/>
      <c r="DF139" s="1017"/>
      <c r="DG139" s="1017"/>
      <c r="DH139" s="1017"/>
      <c r="DI139" s="1017"/>
      <c r="DJ139" s="1017"/>
      <c r="DK139" s="1017"/>
      <c r="DL139" s="1017"/>
      <c r="DM139" s="1017"/>
      <c r="DN139" s="1017"/>
      <c r="DO139" s="1017"/>
      <c r="DP139" s="1017"/>
      <c r="DQ139" s="1017"/>
      <c r="DR139" s="1017"/>
      <c r="DS139" s="1017"/>
      <c r="DT139" s="1017"/>
      <c r="DU139" s="1017"/>
      <c r="DV139" s="1017"/>
      <c r="DW139" s="1017"/>
      <c r="DX139" s="1017"/>
      <c r="DY139" s="1017"/>
      <c r="DZ139" s="1017"/>
      <c r="EA139" s="1017"/>
      <c r="EB139" s="1017"/>
      <c r="EC139" s="1017"/>
      <c r="ED139" s="1017"/>
      <c r="EE139" s="1017"/>
      <c r="EF139" s="1017"/>
      <c r="EG139" s="1017"/>
      <c r="EH139" s="1017"/>
      <c r="EI139" s="1017"/>
      <c r="EJ139" s="1017"/>
      <c r="EK139" s="1017"/>
      <c r="EL139" s="1017"/>
      <c r="EM139" s="1017"/>
      <c r="EN139" s="1017"/>
      <c r="EO139" s="1017"/>
      <c r="EP139" s="1017"/>
      <c r="EQ139" s="1017"/>
      <c r="ER139" s="1017"/>
      <c r="ES139" s="1017"/>
      <c r="ET139" s="1017"/>
      <c r="EU139" s="1017"/>
      <c r="EV139" s="1017"/>
      <c r="EW139" s="1017"/>
      <c r="EX139" s="1017"/>
      <c r="EY139" s="1017"/>
      <c r="EZ139" s="1017"/>
      <c r="FA139" s="1017"/>
      <c r="FB139" s="1017"/>
      <c r="FC139" s="1017"/>
      <c r="FD139" s="1017"/>
      <c r="FE139" s="1017"/>
      <c r="FF139" s="1017"/>
      <c r="FG139" s="1017"/>
      <c r="FH139" s="1017"/>
      <c r="FI139" s="1017"/>
      <c r="FJ139" s="1017"/>
      <c r="FK139" s="1017"/>
      <c r="FL139" s="1017"/>
      <c r="FM139" s="1017"/>
      <c r="FN139" s="1017"/>
      <c r="FO139" s="1017"/>
      <c r="FP139" s="1017"/>
      <c r="FQ139" s="1017"/>
      <c r="FR139" s="1017"/>
      <c r="FS139" s="1017"/>
      <c r="FT139" s="1017"/>
      <c r="FU139" s="1017"/>
      <c r="FV139" s="1017"/>
      <c r="FW139" s="1017"/>
      <c r="FX139" s="1017"/>
      <c r="FY139" s="1017"/>
      <c r="FZ139" s="1017"/>
      <c r="GA139" s="1017"/>
      <c r="GB139" s="1017"/>
      <c r="GC139" s="1017"/>
      <c r="GD139" s="1017"/>
      <c r="GE139" s="1017"/>
      <c r="GF139" s="1017"/>
      <c r="GG139" s="1017"/>
      <c r="GH139" s="1017"/>
      <c r="GI139" s="1017"/>
      <c r="GJ139" s="1017"/>
      <c r="GK139" s="1017"/>
      <c r="GL139" s="1017"/>
      <c r="GM139" s="1017"/>
      <c r="GN139" s="1017"/>
      <c r="GO139" s="1017"/>
      <c r="GP139" s="1017"/>
      <c r="GQ139" s="1017"/>
      <c r="GR139" s="1017"/>
      <c r="GS139" s="1017"/>
      <c r="GT139" s="1017"/>
      <c r="GU139" s="1017"/>
      <c r="GV139" s="1017"/>
      <c r="GW139" s="1017"/>
      <c r="GX139" s="1017"/>
      <c r="GY139" s="1017"/>
      <c r="GZ139" s="1017"/>
      <c r="HA139" s="1017"/>
      <c r="HB139" s="1017"/>
      <c r="HC139" s="1017"/>
      <c r="HD139" s="1017"/>
      <c r="HE139" s="1017"/>
      <c r="HF139" s="1017"/>
      <c r="HG139" s="1017"/>
      <c r="HH139" s="1017"/>
      <c r="HI139" s="1017"/>
      <c r="HJ139" s="1017"/>
      <c r="HK139" s="1017"/>
      <c r="HL139" s="1017"/>
      <c r="HM139" s="1017"/>
      <c r="HN139" s="1017"/>
      <c r="HO139" s="1017"/>
      <c r="HP139" s="1017"/>
      <c r="HQ139" s="1017"/>
      <c r="HR139" s="1017"/>
      <c r="HS139" s="1017"/>
      <c r="HT139" s="1017"/>
      <c r="HU139" s="1017"/>
      <c r="HV139" s="1017"/>
      <c r="HW139" s="1017"/>
      <c r="HX139" s="1017"/>
      <c r="HY139" s="1017"/>
      <c r="HZ139" s="1017"/>
      <c r="IA139" s="1017"/>
      <c r="IB139" s="1017"/>
      <c r="IC139" s="1017"/>
      <c r="ID139" s="1017"/>
      <c r="IE139" s="1017"/>
      <c r="IF139" s="1017"/>
      <c r="IG139" s="1017"/>
      <c r="IH139" s="1017"/>
      <c r="II139" s="1017"/>
      <c r="IJ139" s="1017"/>
      <c r="IK139" s="1017"/>
      <c r="IL139" s="1017"/>
      <c r="IM139" s="1017"/>
    </row>
    <row r="140" spans="1:247" s="1077" customFormat="1">
      <c r="A140" s="1052" t="s">
        <v>964</v>
      </c>
      <c r="B140" s="1053"/>
      <c r="C140" s="1050">
        <f>175.272+84.196</f>
        <v>259.46799999999996</v>
      </c>
      <c r="D140" s="1068">
        <v>227.72499999999999</v>
      </c>
      <c r="E140" s="1046">
        <v>259.80900000000003</v>
      </c>
      <c r="F140" s="1046">
        <v>329.33800000000002</v>
      </c>
      <c r="G140" s="1047">
        <v>337.78199999999998</v>
      </c>
      <c r="H140" s="1048">
        <v>271.13922049457744</v>
      </c>
      <c r="I140" s="1048">
        <v>286.82979446626643</v>
      </c>
      <c r="J140" s="1048">
        <v>305.30837225721973</v>
      </c>
      <c r="K140" s="1049">
        <v>323.72573511203336</v>
      </c>
      <c r="L140" s="1028"/>
      <c r="M140" s="1045"/>
      <c r="N140" s="1050">
        <f t="shared" si="102"/>
        <v>271.13922049457744</v>
      </c>
      <c r="O140" s="1045">
        <v>287.06528964897774</v>
      </c>
      <c r="P140" s="1046">
        <v>305.90387563425139</v>
      </c>
      <c r="Q140" s="1046">
        <v>324.66023530783917</v>
      </c>
      <c r="R140" s="1045">
        <f t="shared" si="99"/>
        <v>-0.2354951827113041</v>
      </c>
      <c r="S140" s="1046">
        <f t="shared" si="99"/>
        <v>-0.59550337703166178</v>
      </c>
      <c r="T140" s="1046">
        <f t="shared" si="99"/>
        <v>-0.93450019580581056</v>
      </c>
      <c r="U140" s="1050">
        <f t="shared" si="100"/>
        <v>15.926069154400295</v>
      </c>
      <c r="V140" s="948"/>
      <c r="W140" s="1075">
        <f t="shared" si="101"/>
        <v>287.06528964897774</v>
      </c>
      <c r="X140" s="1048">
        <v>286.82979446626643</v>
      </c>
      <c r="Y140" s="1075">
        <f t="shared" si="78"/>
        <v>-0.2354951827113041</v>
      </c>
      <c r="Z140" s="1076">
        <f>Y140/$X$179*100</f>
        <v>-2.6313682813461695E-4</v>
      </c>
      <c r="AA140" s="1017"/>
      <c r="AB140" s="952"/>
      <c r="AC140" s="1017"/>
      <c r="AD140" s="1017"/>
      <c r="AE140" s="1017"/>
      <c r="AF140" s="1017"/>
      <c r="AG140" s="1017"/>
      <c r="AH140" s="1017"/>
      <c r="AI140" s="1017"/>
      <c r="AJ140" s="1017"/>
      <c r="AK140" s="1017"/>
      <c r="AL140" s="1017"/>
      <c r="AM140" s="1017"/>
      <c r="AN140" s="1017"/>
      <c r="AO140" s="1017"/>
      <c r="AP140" s="1017"/>
      <c r="AQ140" s="1017"/>
      <c r="AR140" s="1017"/>
      <c r="AS140" s="1017"/>
      <c r="AT140" s="1017"/>
      <c r="AU140" s="1017"/>
      <c r="AV140" s="1017"/>
      <c r="AW140" s="1017"/>
      <c r="AX140" s="1017"/>
      <c r="AY140" s="1017"/>
      <c r="AZ140" s="1017"/>
      <c r="BA140" s="1017"/>
      <c r="BB140" s="1017"/>
      <c r="BC140" s="1017"/>
      <c r="BD140" s="1017"/>
      <c r="BE140" s="1017"/>
      <c r="BF140" s="1017"/>
      <c r="BG140" s="1017"/>
      <c r="BH140" s="1017"/>
      <c r="BI140" s="1017"/>
      <c r="BJ140" s="1017"/>
      <c r="BK140" s="1017"/>
      <c r="BL140" s="1017"/>
      <c r="BM140" s="1017"/>
      <c r="BN140" s="1017"/>
      <c r="BO140" s="1017"/>
      <c r="BP140" s="1017"/>
      <c r="BQ140" s="1017"/>
      <c r="BR140" s="1017"/>
      <c r="BS140" s="1017"/>
      <c r="BT140" s="1017"/>
      <c r="BU140" s="1017"/>
      <c r="BV140" s="1017"/>
      <c r="BW140" s="1017"/>
      <c r="BX140" s="1017"/>
      <c r="BY140" s="1017"/>
      <c r="BZ140" s="1017"/>
      <c r="CA140" s="1017"/>
      <c r="CB140" s="1017"/>
      <c r="CC140" s="1017"/>
      <c r="CD140" s="1017"/>
      <c r="CE140" s="1017"/>
      <c r="CF140" s="1017"/>
      <c r="CG140" s="1017"/>
      <c r="CH140" s="1017"/>
      <c r="CI140" s="1017"/>
      <c r="CJ140" s="1017"/>
      <c r="CK140" s="1017"/>
      <c r="CL140" s="1017"/>
      <c r="CM140" s="1017"/>
      <c r="CN140" s="1017"/>
      <c r="CO140" s="1017"/>
      <c r="CP140" s="1017"/>
      <c r="CQ140" s="1017"/>
      <c r="CR140" s="1017"/>
      <c r="CS140" s="1017"/>
      <c r="CT140" s="1017"/>
      <c r="CU140" s="1017"/>
      <c r="CV140" s="1017"/>
      <c r="CW140" s="1017"/>
      <c r="CX140" s="1017"/>
      <c r="CY140" s="1017"/>
      <c r="CZ140" s="1017"/>
      <c r="DA140" s="1017"/>
      <c r="DB140" s="1017"/>
      <c r="DC140" s="1017"/>
      <c r="DD140" s="1017"/>
      <c r="DE140" s="1017"/>
      <c r="DF140" s="1017"/>
      <c r="DG140" s="1017"/>
      <c r="DH140" s="1017"/>
      <c r="DI140" s="1017"/>
      <c r="DJ140" s="1017"/>
      <c r="DK140" s="1017"/>
      <c r="DL140" s="1017"/>
      <c r="DM140" s="1017"/>
      <c r="DN140" s="1017"/>
      <c r="DO140" s="1017"/>
      <c r="DP140" s="1017"/>
      <c r="DQ140" s="1017"/>
      <c r="DR140" s="1017"/>
      <c r="DS140" s="1017"/>
      <c r="DT140" s="1017"/>
      <c r="DU140" s="1017"/>
      <c r="DV140" s="1017"/>
      <c r="DW140" s="1017"/>
      <c r="DX140" s="1017"/>
      <c r="DY140" s="1017"/>
      <c r="DZ140" s="1017"/>
      <c r="EA140" s="1017"/>
      <c r="EB140" s="1017"/>
      <c r="EC140" s="1017"/>
      <c r="ED140" s="1017"/>
      <c r="EE140" s="1017"/>
      <c r="EF140" s="1017"/>
      <c r="EG140" s="1017"/>
      <c r="EH140" s="1017"/>
      <c r="EI140" s="1017"/>
      <c r="EJ140" s="1017"/>
      <c r="EK140" s="1017"/>
      <c r="EL140" s="1017"/>
      <c r="EM140" s="1017"/>
      <c r="EN140" s="1017"/>
      <c r="EO140" s="1017"/>
      <c r="EP140" s="1017"/>
      <c r="EQ140" s="1017"/>
      <c r="ER140" s="1017"/>
      <c r="ES140" s="1017"/>
      <c r="ET140" s="1017"/>
      <c r="EU140" s="1017"/>
      <c r="EV140" s="1017"/>
      <c r="EW140" s="1017"/>
      <c r="EX140" s="1017"/>
      <c r="EY140" s="1017"/>
      <c r="EZ140" s="1017"/>
      <c r="FA140" s="1017"/>
      <c r="FB140" s="1017"/>
      <c r="FC140" s="1017"/>
      <c r="FD140" s="1017"/>
      <c r="FE140" s="1017"/>
      <c r="FF140" s="1017"/>
      <c r="FG140" s="1017"/>
      <c r="FH140" s="1017"/>
      <c r="FI140" s="1017"/>
      <c r="FJ140" s="1017"/>
      <c r="FK140" s="1017"/>
      <c r="FL140" s="1017"/>
      <c r="FM140" s="1017"/>
      <c r="FN140" s="1017"/>
      <c r="FO140" s="1017"/>
      <c r="FP140" s="1017"/>
      <c r="FQ140" s="1017"/>
      <c r="FR140" s="1017"/>
      <c r="FS140" s="1017"/>
      <c r="FT140" s="1017"/>
      <c r="FU140" s="1017"/>
      <c r="FV140" s="1017"/>
      <c r="FW140" s="1017"/>
      <c r="FX140" s="1017"/>
      <c r="FY140" s="1017"/>
      <c r="FZ140" s="1017"/>
      <c r="GA140" s="1017"/>
      <c r="GB140" s="1017"/>
      <c r="GC140" s="1017"/>
      <c r="GD140" s="1017"/>
      <c r="GE140" s="1017"/>
      <c r="GF140" s="1017"/>
      <c r="GG140" s="1017"/>
      <c r="GH140" s="1017"/>
      <c r="GI140" s="1017"/>
      <c r="GJ140" s="1017"/>
      <c r="GK140" s="1017"/>
      <c r="GL140" s="1017"/>
      <c r="GM140" s="1017"/>
      <c r="GN140" s="1017"/>
      <c r="GO140" s="1017"/>
      <c r="GP140" s="1017"/>
      <c r="GQ140" s="1017"/>
      <c r="GR140" s="1017"/>
      <c r="GS140" s="1017"/>
      <c r="GT140" s="1017"/>
      <c r="GU140" s="1017"/>
      <c r="GV140" s="1017"/>
      <c r="GW140" s="1017"/>
      <c r="GX140" s="1017"/>
      <c r="GY140" s="1017"/>
      <c r="GZ140" s="1017"/>
      <c r="HA140" s="1017"/>
      <c r="HB140" s="1017"/>
      <c r="HC140" s="1017"/>
      <c r="HD140" s="1017"/>
      <c r="HE140" s="1017"/>
      <c r="HF140" s="1017"/>
      <c r="HG140" s="1017"/>
      <c r="HH140" s="1017"/>
      <c r="HI140" s="1017"/>
      <c r="HJ140" s="1017"/>
      <c r="HK140" s="1017"/>
      <c r="HL140" s="1017"/>
      <c r="HM140" s="1017"/>
      <c r="HN140" s="1017"/>
      <c r="HO140" s="1017"/>
      <c r="HP140" s="1017"/>
      <c r="HQ140" s="1017"/>
      <c r="HR140" s="1017"/>
      <c r="HS140" s="1017"/>
      <c r="HT140" s="1017"/>
      <c r="HU140" s="1017"/>
      <c r="HV140" s="1017"/>
      <c r="HW140" s="1017"/>
      <c r="HX140" s="1017"/>
      <c r="HY140" s="1017"/>
      <c r="HZ140" s="1017"/>
      <c r="IA140" s="1017"/>
      <c r="IB140" s="1017"/>
      <c r="IC140" s="1017"/>
      <c r="ID140" s="1017"/>
      <c r="IE140" s="1017"/>
      <c r="IF140" s="1017"/>
      <c r="IG140" s="1017"/>
      <c r="IH140" s="1017"/>
      <c r="II140" s="1017"/>
      <c r="IJ140" s="1017"/>
      <c r="IK140" s="1017"/>
      <c r="IL140" s="1017"/>
      <c r="IM140" s="1017"/>
    </row>
    <row r="141" spans="1:247" s="1077" customFormat="1">
      <c r="A141" s="1052" t="s">
        <v>948</v>
      </c>
      <c r="B141" s="1053"/>
      <c r="C141" s="1050">
        <v>71.778000000000006</v>
      </c>
      <c r="D141" s="1068">
        <v>69.644000000000005</v>
      </c>
      <c r="E141" s="1046">
        <v>75.424000000000007</v>
      </c>
      <c r="F141" s="1046">
        <v>72.177999999999997</v>
      </c>
      <c r="G141" s="1047">
        <v>73.731999999999999</v>
      </c>
      <c r="H141" s="1048">
        <v>69.644000000000005</v>
      </c>
      <c r="I141" s="1048">
        <v>75.424000000000007</v>
      </c>
      <c r="J141" s="1048">
        <v>72.177999999999997</v>
      </c>
      <c r="K141" s="1049">
        <v>73.731999999999999</v>
      </c>
      <c r="L141" s="1028"/>
      <c r="M141" s="1045"/>
      <c r="N141" s="1050">
        <f t="shared" si="102"/>
        <v>69.644000000000005</v>
      </c>
      <c r="O141" s="1045">
        <f>I141</f>
        <v>75.424000000000007</v>
      </c>
      <c r="P141" s="1046">
        <f t="shared" ref="P141:Q141" si="104">J141</f>
        <v>72.177999999999997</v>
      </c>
      <c r="Q141" s="1046">
        <f t="shared" si="104"/>
        <v>73.731999999999999</v>
      </c>
      <c r="R141" s="1045">
        <f t="shared" si="99"/>
        <v>0</v>
      </c>
      <c r="S141" s="1046">
        <f t="shared" si="99"/>
        <v>0</v>
      </c>
      <c r="T141" s="1046">
        <f t="shared" si="99"/>
        <v>0</v>
      </c>
      <c r="U141" s="1050">
        <f t="shared" si="100"/>
        <v>5.7800000000000011</v>
      </c>
      <c r="V141" s="948"/>
      <c r="W141" s="1075">
        <f t="shared" si="101"/>
        <v>75.424000000000007</v>
      </c>
      <c r="X141" s="1048">
        <v>75.424000000000007</v>
      </c>
      <c r="Y141" s="1075">
        <f t="shared" si="78"/>
        <v>0</v>
      </c>
      <c r="Z141" s="1076">
        <f>Y141/$X$179*100</f>
        <v>0</v>
      </c>
      <c r="AA141" s="1017"/>
      <c r="AB141" s="952"/>
      <c r="AC141" s="1017"/>
      <c r="AD141" s="1017"/>
      <c r="AE141" s="1017"/>
      <c r="AF141" s="1017"/>
      <c r="AG141" s="1017"/>
      <c r="AH141" s="1017"/>
      <c r="AI141" s="1017"/>
      <c r="AJ141" s="1017"/>
      <c r="AK141" s="1017"/>
      <c r="AL141" s="1017"/>
      <c r="AM141" s="1017"/>
      <c r="AN141" s="1017"/>
      <c r="AO141" s="1017"/>
      <c r="AP141" s="1017"/>
      <c r="AQ141" s="1017"/>
      <c r="AR141" s="1017"/>
      <c r="AS141" s="1017"/>
      <c r="AT141" s="1017"/>
      <c r="AU141" s="1017"/>
      <c r="AV141" s="1017"/>
      <c r="AW141" s="1017"/>
      <c r="AX141" s="1017"/>
      <c r="AY141" s="1017"/>
      <c r="AZ141" s="1017"/>
      <c r="BA141" s="1017"/>
      <c r="BB141" s="1017"/>
      <c r="BC141" s="1017"/>
      <c r="BD141" s="1017"/>
      <c r="BE141" s="1017"/>
      <c r="BF141" s="1017"/>
      <c r="BG141" s="1017"/>
      <c r="BH141" s="1017"/>
      <c r="BI141" s="1017"/>
      <c r="BJ141" s="1017"/>
      <c r="BK141" s="1017"/>
      <c r="BL141" s="1017"/>
      <c r="BM141" s="1017"/>
      <c r="BN141" s="1017"/>
      <c r="BO141" s="1017"/>
      <c r="BP141" s="1017"/>
      <c r="BQ141" s="1017"/>
      <c r="BR141" s="1017"/>
      <c r="BS141" s="1017"/>
      <c r="BT141" s="1017"/>
      <c r="BU141" s="1017"/>
      <c r="BV141" s="1017"/>
      <c r="BW141" s="1017"/>
      <c r="BX141" s="1017"/>
      <c r="BY141" s="1017"/>
      <c r="BZ141" s="1017"/>
      <c r="CA141" s="1017"/>
      <c r="CB141" s="1017"/>
      <c r="CC141" s="1017"/>
      <c r="CD141" s="1017"/>
      <c r="CE141" s="1017"/>
      <c r="CF141" s="1017"/>
      <c r="CG141" s="1017"/>
      <c r="CH141" s="1017"/>
      <c r="CI141" s="1017"/>
      <c r="CJ141" s="1017"/>
      <c r="CK141" s="1017"/>
      <c r="CL141" s="1017"/>
      <c r="CM141" s="1017"/>
      <c r="CN141" s="1017"/>
      <c r="CO141" s="1017"/>
      <c r="CP141" s="1017"/>
      <c r="CQ141" s="1017"/>
      <c r="CR141" s="1017"/>
      <c r="CS141" s="1017"/>
      <c r="CT141" s="1017"/>
      <c r="CU141" s="1017"/>
      <c r="CV141" s="1017"/>
      <c r="CW141" s="1017"/>
      <c r="CX141" s="1017"/>
      <c r="CY141" s="1017"/>
      <c r="CZ141" s="1017"/>
      <c r="DA141" s="1017"/>
      <c r="DB141" s="1017"/>
      <c r="DC141" s="1017"/>
      <c r="DD141" s="1017"/>
      <c r="DE141" s="1017"/>
      <c r="DF141" s="1017"/>
      <c r="DG141" s="1017"/>
      <c r="DH141" s="1017"/>
      <c r="DI141" s="1017"/>
      <c r="DJ141" s="1017"/>
      <c r="DK141" s="1017"/>
      <c r="DL141" s="1017"/>
      <c r="DM141" s="1017"/>
      <c r="DN141" s="1017"/>
      <c r="DO141" s="1017"/>
      <c r="DP141" s="1017"/>
      <c r="DQ141" s="1017"/>
      <c r="DR141" s="1017"/>
      <c r="DS141" s="1017"/>
      <c r="DT141" s="1017"/>
      <c r="DU141" s="1017"/>
      <c r="DV141" s="1017"/>
      <c r="DW141" s="1017"/>
      <c r="DX141" s="1017"/>
      <c r="DY141" s="1017"/>
      <c r="DZ141" s="1017"/>
      <c r="EA141" s="1017"/>
      <c r="EB141" s="1017"/>
      <c r="EC141" s="1017"/>
      <c r="ED141" s="1017"/>
      <c r="EE141" s="1017"/>
      <c r="EF141" s="1017"/>
      <c r="EG141" s="1017"/>
      <c r="EH141" s="1017"/>
      <c r="EI141" s="1017"/>
      <c r="EJ141" s="1017"/>
      <c r="EK141" s="1017"/>
      <c r="EL141" s="1017"/>
      <c r="EM141" s="1017"/>
      <c r="EN141" s="1017"/>
      <c r="EO141" s="1017"/>
      <c r="EP141" s="1017"/>
      <c r="EQ141" s="1017"/>
      <c r="ER141" s="1017"/>
      <c r="ES141" s="1017"/>
      <c r="ET141" s="1017"/>
      <c r="EU141" s="1017"/>
      <c r="EV141" s="1017"/>
      <c r="EW141" s="1017"/>
      <c r="EX141" s="1017"/>
      <c r="EY141" s="1017"/>
      <c r="EZ141" s="1017"/>
      <c r="FA141" s="1017"/>
      <c r="FB141" s="1017"/>
      <c r="FC141" s="1017"/>
      <c r="FD141" s="1017"/>
      <c r="FE141" s="1017"/>
      <c r="FF141" s="1017"/>
      <c r="FG141" s="1017"/>
      <c r="FH141" s="1017"/>
      <c r="FI141" s="1017"/>
      <c r="FJ141" s="1017"/>
      <c r="FK141" s="1017"/>
      <c r="FL141" s="1017"/>
      <c r="FM141" s="1017"/>
      <c r="FN141" s="1017"/>
      <c r="FO141" s="1017"/>
      <c r="FP141" s="1017"/>
      <c r="FQ141" s="1017"/>
      <c r="FR141" s="1017"/>
      <c r="FS141" s="1017"/>
      <c r="FT141" s="1017"/>
      <c r="FU141" s="1017"/>
      <c r="FV141" s="1017"/>
      <c r="FW141" s="1017"/>
      <c r="FX141" s="1017"/>
      <c r="FY141" s="1017"/>
      <c r="FZ141" s="1017"/>
      <c r="GA141" s="1017"/>
      <c r="GB141" s="1017"/>
      <c r="GC141" s="1017"/>
      <c r="GD141" s="1017"/>
      <c r="GE141" s="1017"/>
      <c r="GF141" s="1017"/>
      <c r="GG141" s="1017"/>
      <c r="GH141" s="1017"/>
      <c r="GI141" s="1017"/>
      <c r="GJ141" s="1017"/>
      <c r="GK141" s="1017"/>
      <c r="GL141" s="1017"/>
      <c r="GM141" s="1017"/>
      <c r="GN141" s="1017"/>
      <c r="GO141" s="1017"/>
      <c r="GP141" s="1017"/>
      <c r="GQ141" s="1017"/>
      <c r="GR141" s="1017"/>
      <c r="GS141" s="1017"/>
      <c r="GT141" s="1017"/>
      <c r="GU141" s="1017"/>
      <c r="GV141" s="1017"/>
      <c r="GW141" s="1017"/>
      <c r="GX141" s="1017"/>
      <c r="GY141" s="1017"/>
      <c r="GZ141" s="1017"/>
      <c r="HA141" s="1017"/>
      <c r="HB141" s="1017"/>
      <c r="HC141" s="1017"/>
      <c r="HD141" s="1017"/>
      <c r="HE141" s="1017"/>
      <c r="HF141" s="1017"/>
      <c r="HG141" s="1017"/>
      <c r="HH141" s="1017"/>
      <c r="HI141" s="1017"/>
      <c r="HJ141" s="1017"/>
      <c r="HK141" s="1017"/>
      <c r="HL141" s="1017"/>
      <c r="HM141" s="1017"/>
      <c r="HN141" s="1017"/>
      <c r="HO141" s="1017"/>
      <c r="HP141" s="1017"/>
      <c r="HQ141" s="1017"/>
      <c r="HR141" s="1017"/>
      <c r="HS141" s="1017"/>
      <c r="HT141" s="1017"/>
      <c r="HU141" s="1017"/>
      <c r="HV141" s="1017"/>
      <c r="HW141" s="1017"/>
      <c r="HX141" s="1017"/>
      <c r="HY141" s="1017"/>
      <c r="HZ141" s="1017"/>
      <c r="IA141" s="1017"/>
      <c r="IB141" s="1017"/>
      <c r="IC141" s="1017"/>
      <c r="ID141" s="1017"/>
      <c r="IE141" s="1017"/>
      <c r="IF141" s="1017"/>
      <c r="IG141" s="1017"/>
      <c r="IH141" s="1017"/>
      <c r="II141" s="1017"/>
      <c r="IJ141" s="1017"/>
      <c r="IK141" s="1017"/>
      <c r="IL141" s="1017"/>
      <c r="IM141" s="1017"/>
    </row>
    <row r="142" spans="1:247" s="1077" customFormat="1">
      <c r="A142" s="1052" t="s">
        <v>941</v>
      </c>
      <c r="B142" s="1053"/>
      <c r="C142" s="1071">
        <v>5.1402069199999998</v>
      </c>
      <c r="D142" s="1068">
        <v>0</v>
      </c>
      <c r="E142" s="1069">
        <v>0</v>
      </c>
      <c r="F142" s="1069">
        <v>0</v>
      </c>
      <c r="G142" s="1070">
        <v>0</v>
      </c>
      <c r="H142" s="1072">
        <v>5.1402069199999998</v>
      </c>
      <c r="I142" s="1072">
        <v>5.1402069199999998</v>
      </c>
      <c r="J142" s="1072">
        <v>5.1402069199999998</v>
      </c>
      <c r="K142" s="1073">
        <v>5.1402069199999998</v>
      </c>
      <c r="L142" s="1028"/>
      <c r="M142" s="1045"/>
      <c r="N142" s="1050">
        <f t="shared" si="102"/>
        <v>5.1402069199999998</v>
      </c>
      <c r="O142" s="1045">
        <v>5.4421303773534673</v>
      </c>
      <c r="P142" s="1046">
        <v>5.7992687871633288</v>
      </c>
      <c r="Q142" s="1046">
        <v>6.1548483658473829</v>
      </c>
      <c r="R142" s="1045">
        <f t="shared" si="99"/>
        <v>-0.30192345735346748</v>
      </c>
      <c r="S142" s="1046">
        <f t="shared" si="99"/>
        <v>-0.65906186716332904</v>
      </c>
      <c r="T142" s="1046">
        <f t="shared" si="99"/>
        <v>-1.0146414458473831</v>
      </c>
      <c r="U142" s="1050">
        <f t="shared" si="100"/>
        <v>0.30192345735346748</v>
      </c>
      <c r="V142" s="948"/>
      <c r="W142" s="1075">
        <f>O142</f>
        <v>5.4421303773534673</v>
      </c>
      <c r="X142" s="1048">
        <v>5.1402069199999998</v>
      </c>
      <c r="Y142" s="1075">
        <f>X142-W142</f>
        <v>-0.30192345735346748</v>
      </c>
      <c r="Z142" s="1076">
        <f t="shared" ref="Z142:Z166" si="105">Y142/$X$179*100</f>
        <v>-3.3736223387984893E-4</v>
      </c>
      <c r="AA142" s="1017"/>
      <c r="AB142" s="952"/>
      <c r="AC142" s="1017"/>
      <c r="AD142" s="1017"/>
      <c r="AE142" s="1017"/>
      <c r="AF142" s="1017"/>
      <c r="AG142" s="1017"/>
      <c r="AH142" s="1017"/>
      <c r="AI142" s="1017"/>
      <c r="AJ142" s="1017"/>
      <c r="AK142" s="1017"/>
      <c r="AL142" s="1017"/>
      <c r="AM142" s="1017"/>
      <c r="AN142" s="1017"/>
      <c r="AO142" s="1017"/>
      <c r="AP142" s="1017"/>
      <c r="AQ142" s="1017"/>
      <c r="AR142" s="1017"/>
      <c r="AS142" s="1017"/>
      <c r="AT142" s="1017"/>
      <c r="AU142" s="1017"/>
      <c r="AV142" s="1017"/>
      <c r="AW142" s="1017"/>
      <c r="AX142" s="1017"/>
      <c r="AY142" s="1017"/>
      <c r="AZ142" s="1017"/>
      <c r="BA142" s="1017"/>
      <c r="BB142" s="1017"/>
      <c r="BC142" s="1017"/>
      <c r="BD142" s="1017"/>
      <c r="BE142" s="1017"/>
      <c r="BF142" s="1017"/>
      <c r="BG142" s="1017"/>
      <c r="BH142" s="1017"/>
      <c r="BI142" s="1017"/>
      <c r="BJ142" s="1017"/>
      <c r="BK142" s="1017"/>
      <c r="BL142" s="1017"/>
      <c r="BM142" s="1017"/>
      <c r="BN142" s="1017"/>
      <c r="BO142" s="1017"/>
      <c r="BP142" s="1017"/>
      <c r="BQ142" s="1017"/>
      <c r="BR142" s="1017"/>
      <c r="BS142" s="1017"/>
      <c r="BT142" s="1017"/>
      <c r="BU142" s="1017"/>
      <c r="BV142" s="1017"/>
      <c r="BW142" s="1017"/>
      <c r="BX142" s="1017"/>
      <c r="BY142" s="1017"/>
      <c r="BZ142" s="1017"/>
      <c r="CA142" s="1017"/>
      <c r="CB142" s="1017"/>
      <c r="CC142" s="1017"/>
      <c r="CD142" s="1017"/>
      <c r="CE142" s="1017"/>
      <c r="CF142" s="1017"/>
      <c r="CG142" s="1017"/>
      <c r="CH142" s="1017"/>
      <c r="CI142" s="1017"/>
      <c r="CJ142" s="1017"/>
      <c r="CK142" s="1017"/>
      <c r="CL142" s="1017"/>
      <c r="CM142" s="1017"/>
      <c r="CN142" s="1017"/>
      <c r="CO142" s="1017"/>
      <c r="CP142" s="1017"/>
      <c r="CQ142" s="1017"/>
      <c r="CR142" s="1017"/>
      <c r="CS142" s="1017"/>
      <c r="CT142" s="1017"/>
      <c r="CU142" s="1017"/>
      <c r="CV142" s="1017"/>
      <c r="CW142" s="1017"/>
      <c r="CX142" s="1017"/>
      <c r="CY142" s="1017"/>
      <c r="CZ142" s="1017"/>
      <c r="DA142" s="1017"/>
      <c r="DB142" s="1017"/>
      <c r="DC142" s="1017"/>
      <c r="DD142" s="1017"/>
      <c r="DE142" s="1017"/>
      <c r="DF142" s="1017"/>
      <c r="DG142" s="1017"/>
      <c r="DH142" s="1017"/>
      <c r="DI142" s="1017"/>
      <c r="DJ142" s="1017"/>
      <c r="DK142" s="1017"/>
      <c r="DL142" s="1017"/>
      <c r="DM142" s="1017"/>
      <c r="DN142" s="1017"/>
      <c r="DO142" s="1017"/>
      <c r="DP142" s="1017"/>
      <c r="DQ142" s="1017"/>
      <c r="DR142" s="1017"/>
      <c r="DS142" s="1017"/>
      <c r="DT142" s="1017"/>
      <c r="DU142" s="1017"/>
      <c r="DV142" s="1017"/>
      <c r="DW142" s="1017"/>
      <c r="DX142" s="1017"/>
      <c r="DY142" s="1017"/>
      <c r="DZ142" s="1017"/>
      <c r="EA142" s="1017"/>
      <c r="EB142" s="1017"/>
      <c r="EC142" s="1017"/>
      <c r="ED142" s="1017"/>
      <c r="EE142" s="1017"/>
      <c r="EF142" s="1017"/>
      <c r="EG142" s="1017"/>
      <c r="EH142" s="1017"/>
      <c r="EI142" s="1017"/>
      <c r="EJ142" s="1017"/>
      <c r="EK142" s="1017"/>
      <c r="EL142" s="1017"/>
      <c r="EM142" s="1017"/>
      <c r="EN142" s="1017"/>
      <c r="EO142" s="1017"/>
      <c r="EP142" s="1017"/>
      <c r="EQ142" s="1017"/>
      <c r="ER142" s="1017"/>
      <c r="ES142" s="1017"/>
      <c r="ET142" s="1017"/>
      <c r="EU142" s="1017"/>
      <c r="EV142" s="1017"/>
      <c r="EW142" s="1017"/>
      <c r="EX142" s="1017"/>
      <c r="EY142" s="1017"/>
      <c r="EZ142" s="1017"/>
      <c r="FA142" s="1017"/>
      <c r="FB142" s="1017"/>
      <c r="FC142" s="1017"/>
      <c r="FD142" s="1017"/>
      <c r="FE142" s="1017"/>
      <c r="FF142" s="1017"/>
      <c r="FG142" s="1017"/>
      <c r="FH142" s="1017"/>
      <c r="FI142" s="1017"/>
      <c r="FJ142" s="1017"/>
      <c r="FK142" s="1017"/>
      <c r="FL142" s="1017"/>
      <c r="FM142" s="1017"/>
      <c r="FN142" s="1017"/>
      <c r="FO142" s="1017"/>
      <c r="FP142" s="1017"/>
      <c r="FQ142" s="1017"/>
      <c r="FR142" s="1017"/>
      <c r="FS142" s="1017"/>
      <c r="FT142" s="1017"/>
      <c r="FU142" s="1017"/>
      <c r="FV142" s="1017"/>
      <c r="FW142" s="1017"/>
      <c r="FX142" s="1017"/>
      <c r="FY142" s="1017"/>
      <c r="FZ142" s="1017"/>
      <c r="GA142" s="1017"/>
      <c r="GB142" s="1017"/>
      <c r="GC142" s="1017"/>
      <c r="GD142" s="1017"/>
      <c r="GE142" s="1017"/>
      <c r="GF142" s="1017"/>
      <c r="GG142" s="1017"/>
      <c r="GH142" s="1017"/>
      <c r="GI142" s="1017"/>
      <c r="GJ142" s="1017"/>
      <c r="GK142" s="1017"/>
      <c r="GL142" s="1017"/>
      <c r="GM142" s="1017"/>
      <c r="GN142" s="1017"/>
      <c r="GO142" s="1017"/>
      <c r="GP142" s="1017"/>
      <c r="GQ142" s="1017"/>
      <c r="GR142" s="1017"/>
      <c r="GS142" s="1017"/>
      <c r="GT142" s="1017"/>
      <c r="GU142" s="1017"/>
      <c r="GV142" s="1017"/>
      <c r="GW142" s="1017"/>
      <c r="GX142" s="1017"/>
      <c r="GY142" s="1017"/>
      <c r="GZ142" s="1017"/>
      <c r="HA142" s="1017"/>
      <c r="HB142" s="1017"/>
      <c r="HC142" s="1017"/>
      <c r="HD142" s="1017"/>
      <c r="HE142" s="1017"/>
      <c r="HF142" s="1017"/>
      <c r="HG142" s="1017"/>
      <c r="HH142" s="1017"/>
      <c r="HI142" s="1017"/>
      <c r="HJ142" s="1017"/>
      <c r="HK142" s="1017"/>
      <c r="HL142" s="1017"/>
      <c r="HM142" s="1017"/>
      <c r="HN142" s="1017"/>
      <c r="HO142" s="1017"/>
      <c r="HP142" s="1017"/>
      <c r="HQ142" s="1017"/>
      <c r="HR142" s="1017"/>
      <c r="HS142" s="1017"/>
      <c r="HT142" s="1017"/>
      <c r="HU142" s="1017"/>
      <c r="HV142" s="1017"/>
      <c r="HW142" s="1017"/>
      <c r="HX142" s="1017"/>
      <c r="HY142" s="1017"/>
      <c r="HZ142" s="1017"/>
      <c r="IA142" s="1017"/>
      <c r="IB142" s="1017"/>
      <c r="IC142" s="1017"/>
      <c r="ID142" s="1017"/>
      <c r="IE142" s="1017"/>
      <c r="IF142" s="1017"/>
      <c r="IG142" s="1017"/>
      <c r="IH142" s="1017"/>
      <c r="II142" s="1017"/>
      <c r="IJ142" s="1017"/>
      <c r="IK142" s="1017"/>
      <c r="IL142" s="1017"/>
      <c r="IM142" s="1017"/>
    </row>
    <row r="143" spans="1:247" s="1077" customFormat="1">
      <c r="A143" s="1052" t="s">
        <v>942</v>
      </c>
      <c r="B143" s="1053"/>
      <c r="C143" s="1071">
        <v>0.80287164040000003</v>
      </c>
      <c r="D143" s="1068">
        <v>0.6</v>
      </c>
      <c r="E143" s="1069">
        <v>0</v>
      </c>
      <c r="F143" s="1069">
        <v>0</v>
      </c>
      <c r="G143" s="1070">
        <v>0</v>
      </c>
      <c r="H143" s="1072">
        <v>0.80287164040000003</v>
      </c>
      <c r="I143" s="1072">
        <v>0.80287164040000003</v>
      </c>
      <c r="J143" s="1072">
        <v>0.80287164040000003</v>
      </c>
      <c r="K143" s="1073">
        <v>0.80287164040000003</v>
      </c>
      <c r="L143" s="1028"/>
      <c r="M143" s="1045"/>
      <c r="N143" s="1050">
        <f t="shared" si="102"/>
        <v>0.80287164040000003</v>
      </c>
      <c r="O143" s="1045">
        <v>0.85003039981442019</v>
      </c>
      <c r="P143" s="1046">
        <v>0.90581342672297327</v>
      </c>
      <c r="Q143" s="1046">
        <v>0.96135297290739175</v>
      </c>
      <c r="R143" s="1045">
        <f t="shared" si="99"/>
        <v>-4.7158759414420159E-2</v>
      </c>
      <c r="S143" s="1046">
        <f t="shared" si="99"/>
        <v>-0.10294178632297324</v>
      </c>
      <c r="T143" s="1046">
        <f t="shared" si="99"/>
        <v>-0.15848133250739171</v>
      </c>
      <c r="U143" s="1050">
        <f t="shared" si="100"/>
        <v>4.7158759414420159E-2</v>
      </c>
      <c r="V143" s="948"/>
      <c r="W143" s="1075">
        <f t="shared" si="101"/>
        <v>0.85003039981442019</v>
      </c>
      <c r="X143" s="1048">
        <v>0.80287164040000003</v>
      </c>
      <c r="Y143" s="1075">
        <f t="shared" si="78"/>
        <v>-4.7158759414420159E-2</v>
      </c>
      <c r="Z143" s="1076">
        <f t="shared" si="105"/>
        <v>-5.2694098572226838E-5</v>
      </c>
      <c r="AA143" s="1017"/>
      <c r="AB143" s="952"/>
      <c r="AC143" s="1017"/>
      <c r="AD143" s="1017"/>
      <c r="AE143" s="1017"/>
      <c r="AF143" s="1017"/>
      <c r="AG143" s="1017"/>
      <c r="AH143" s="1017"/>
      <c r="AI143" s="1017"/>
      <c r="AJ143" s="1017"/>
      <c r="AK143" s="1017"/>
      <c r="AL143" s="1017"/>
      <c r="AM143" s="1017"/>
      <c r="AN143" s="1017"/>
      <c r="AO143" s="1017"/>
      <c r="AP143" s="1017"/>
      <c r="AQ143" s="1017"/>
      <c r="AR143" s="1017"/>
      <c r="AS143" s="1017"/>
      <c r="AT143" s="1017"/>
      <c r="AU143" s="1017"/>
      <c r="AV143" s="1017"/>
      <c r="AW143" s="1017"/>
      <c r="AX143" s="1017"/>
      <c r="AY143" s="1017"/>
      <c r="AZ143" s="1017"/>
      <c r="BA143" s="1017"/>
      <c r="BB143" s="1017"/>
      <c r="BC143" s="1017"/>
      <c r="BD143" s="1017"/>
      <c r="BE143" s="1017"/>
      <c r="BF143" s="1017"/>
      <c r="BG143" s="1017"/>
      <c r="BH143" s="1017"/>
      <c r="BI143" s="1017"/>
      <c r="BJ143" s="1017"/>
      <c r="BK143" s="1017"/>
      <c r="BL143" s="1017"/>
      <c r="BM143" s="1017"/>
      <c r="BN143" s="1017"/>
      <c r="BO143" s="1017"/>
      <c r="BP143" s="1017"/>
      <c r="BQ143" s="1017"/>
      <c r="BR143" s="1017"/>
      <c r="BS143" s="1017"/>
      <c r="BT143" s="1017"/>
      <c r="BU143" s="1017"/>
      <c r="BV143" s="1017"/>
      <c r="BW143" s="1017"/>
      <c r="BX143" s="1017"/>
      <c r="BY143" s="1017"/>
      <c r="BZ143" s="1017"/>
      <c r="CA143" s="1017"/>
      <c r="CB143" s="1017"/>
      <c r="CC143" s="1017"/>
      <c r="CD143" s="1017"/>
      <c r="CE143" s="1017"/>
      <c r="CF143" s="1017"/>
      <c r="CG143" s="1017"/>
      <c r="CH143" s="1017"/>
      <c r="CI143" s="1017"/>
      <c r="CJ143" s="1017"/>
      <c r="CK143" s="1017"/>
      <c r="CL143" s="1017"/>
      <c r="CM143" s="1017"/>
      <c r="CN143" s="1017"/>
      <c r="CO143" s="1017"/>
      <c r="CP143" s="1017"/>
      <c r="CQ143" s="1017"/>
      <c r="CR143" s="1017"/>
      <c r="CS143" s="1017"/>
      <c r="CT143" s="1017"/>
      <c r="CU143" s="1017"/>
      <c r="CV143" s="1017"/>
      <c r="CW143" s="1017"/>
      <c r="CX143" s="1017"/>
      <c r="CY143" s="1017"/>
      <c r="CZ143" s="1017"/>
      <c r="DA143" s="1017"/>
      <c r="DB143" s="1017"/>
      <c r="DC143" s="1017"/>
      <c r="DD143" s="1017"/>
      <c r="DE143" s="1017"/>
      <c r="DF143" s="1017"/>
      <c r="DG143" s="1017"/>
      <c r="DH143" s="1017"/>
      <c r="DI143" s="1017"/>
      <c r="DJ143" s="1017"/>
      <c r="DK143" s="1017"/>
      <c r="DL143" s="1017"/>
      <c r="DM143" s="1017"/>
      <c r="DN143" s="1017"/>
      <c r="DO143" s="1017"/>
      <c r="DP143" s="1017"/>
      <c r="DQ143" s="1017"/>
      <c r="DR143" s="1017"/>
      <c r="DS143" s="1017"/>
      <c r="DT143" s="1017"/>
      <c r="DU143" s="1017"/>
      <c r="DV143" s="1017"/>
      <c r="DW143" s="1017"/>
      <c r="DX143" s="1017"/>
      <c r="DY143" s="1017"/>
      <c r="DZ143" s="1017"/>
      <c r="EA143" s="1017"/>
      <c r="EB143" s="1017"/>
      <c r="EC143" s="1017"/>
      <c r="ED143" s="1017"/>
      <c r="EE143" s="1017"/>
      <c r="EF143" s="1017"/>
      <c r="EG143" s="1017"/>
      <c r="EH143" s="1017"/>
      <c r="EI143" s="1017"/>
      <c r="EJ143" s="1017"/>
      <c r="EK143" s="1017"/>
      <c r="EL143" s="1017"/>
      <c r="EM143" s="1017"/>
      <c r="EN143" s="1017"/>
      <c r="EO143" s="1017"/>
      <c r="EP143" s="1017"/>
      <c r="EQ143" s="1017"/>
      <c r="ER143" s="1017"/>
      <c r="ES143" s="1017"/>
      <c r="ET143" s="1017"/>
      <c r="EU143" s="1017"/>
      <c r="EV143" s="1017"/>
      <c r="EW143" s="1017"/>
      <c r="EX143" s="1017"/>
      <c r="EY143" s="1017"/>
      <c r="EZ143" s="1017"/>
      <c r="FA143" s="1017"/>
      <c r="FB143" s="1017"/>
      <c r="FC143" s="1017"/>
      <c r="FD143" s="1017"/>
      <c r="FE143" s="1017"/>
      <c r="FF143" s="1017"/>
      <c r="FG143" s="1017"/>
      <c r="FH143" s="1017"/>
      <c r="FI143" s="1017"/>
      <c r="FJ143" s="1017"/>
      <c r="FK143" s="1017"/>
      <c r="FL143" s="1017"/>
      <c r="FM143" s="1017"/>
      <c r="FN143" s="1017"/>
      <c r="FO143" s="1017"/>
      <c r="FP143" s="1017"/>
      <c r="FQ143" s="1017"/>
      <c r="FR143" s="1017"/>
      <c r="FS143" s="1017"/>
      <c r="FT143" s="1017"/>
      <c r="FU143" s="1017"/>
      <c r="FV143" s="1017"/>
      <c r="FW143" s="1017"/>
      <c r="FX143" s="1017"/>
      <c r="FY143" s="1017"/>
      <c r="FZ143" s="1017"/>
      <c r="GA143" s="1017"/>
      <c r="GB143" s="1017"/>
      <c r="GC143" s="1017"/>
      <c r="GD143" s="1017"/>
      <c r="GE143" s="1017"/>
      <c r="GF143" s="1017"/>
      <c r="GG143" s="1017"/>
      <c r="GH143" s="1017"/>
      <c r="GI143" s="1017"/>
      <c r="GJ143" s="1017"/>
      <c r="GK143" s="1017"/>
      <c r="GL143" s="1017"/>
      <c r="GM143" s="1017"/>
      <c r="GN143" s="1017"/>
      <c r="GO143" s="1017"/>
      <c r="GP143" s="1017"/>
      <c r="GQ143" s="1017"/>
      <c r="GR143" s="1017"/>
      <c r="GS143" s="1017"/>
      <c r="GT143" s="1017"/>
      <c r="GU143" s="1017"/>
      <c r="GV143" s="1017"/>
      <c r="GW143" s="1017"/>
      <c r="GX143" s="1017"/>
      <c r="GY143" s="1017"/>
      <c r="GZ143" s="1017"/>
      <c r="HA143" s="1017"/>
      <c r="HB143" s="1017"/>
      <c r="HC143" s="1017"/>
      <c r="HD143" s="1017"/>
      <c r="HE143" s="1017"/>
      <c r="HF143" s="1017"/>
      <c r="HG143" s="1017"/>
      <c r="HH143" s="1017"/>
      <c r="HI143" s="1017"/>
      <c r="HJ143" s="1017"/>
      <c r="HK143" s="1017"/>
      <c r="HL143" s="1017"/>
      <c r="HM143" s="1017"/>
      <c r="HN143" s="1017"/>
      <c r="HO143" s="1017"/>
      <c r="HP143" s="1017"/>
      <c r="HQ143" s="1017"/>
      <c r="HR143" s="1017"/>
      <c r="HS143" s="1017"/>
      <c r="HT143" s="1017"/>
      <c r="HU143" s="1017"/>
      <c r="HV143" s="1017"/>
      <c r="HW143" s="1017"/>
      <c r="HX143" s="1017"/>
      <c r="HY143" s="1017"/>
      <c r="HZ143" s="1017"/>
      <c r="IA143" s="1017"/>
      <c r="IB143" s="1017"/>
      <c r="IC143" s="1017"/>
      <c r="ID143" s="1017"/>
      <c r="IE143" s="1017"/>
      <c r="IF143" s="1017"/>
      <c r="IG143" s="1017"/>
      <c r="IH143" s="1017"/>
      <c r="II143" s="1017"/>
      <c r="IJ143" s="1017"/>
      <c r="IK143" s="1017"/>
      <c r="IL143" s="1017"/>
      <c r="IM143" s="1017"/>
    </row>
    <row r="144" spans="1:247" s="1077" customFormat="1">
      <c r="A144" s="1052" t="s">
        <v>950</v>
      </c>
      <c r="B144" s="1053"/>
      <c r="C144" s="1071">
        <v>6.4442449999999996</v>
      </c>
      <c r="D144" s="1068">
        <f>0.159*0.08+29.45</f>
        <v>29.462720000000001</v>
      </c>
      <c r="E144" s="1069">
        <f>0.622*0.08+23</f>
        <v>23.049759999999999</v>
      </c>
      <c r="F144" s="1069">
        <f>0.609*0.08+23</f>
        <v>23.048719999999999</v>
      </c>
      <c r="G144" s="1070">
        <f>0.584*0.08+23</f>
        <v>23.046720000000001</v>
      </c>
      <c r="H144" s="1072">
        <v>29.462720000000001</v>
      </c>
      <c r="I144" s="1072">
        <v>23.049759999999999</v>
      </c>
      <c r="J144" s="1072">
        <v>23.048719999999999</v>
      </c>
      <c r="K144" s="1073">
        <v>23.046720000000001</v>
      </c>
      <c r="L144" s="1028"/>
      <c r="M144" s="1045"/>
      <c r="N144" s="1050">
        <f t="shared" si="102"/>
        <v>29.462720000000001</v>
      </c>
      <c r="O144" s="1045">
        <v>31.19328968792944</v>
      </c>
      <c r="P144" s="1046">
        <v>33.240341320915682</v>
      </c>
      <c r="Q144" s="1046">
        <v>35.278458020794808</v>
      </c>
      <c r="R144" s="1045">
        <f t="shared" si="99"/>
        <v>-8.1435296879294405</v>
      </c>
      <c r="S144" s="1046">
        <f t="shared" si="99"/>
        <v>-10.191621320915683</v>
      </c>
      <c r="T144" s="1046">
        <f t="shared" si="99"/>
        <v>-12.231738020794808</v>
      </c>
      <c r="U144" s="1050">
        <f t="shared" si="100"/>
        <v>1.7305696879294388</v>
      </c>
      <c r="V144" s="948"/>
      <c r="W144" s="1075">
        <f t="shared" si="101"/>
        <v>31.19328968792944</v>
      </c>
      <c r="X144" s="1048">
        <v>23.049759999999999</v>
      </c>
      <c r="Y144" s="1075">
        <f t="shared" si="78"/>
        <v>-8.1435296879294405</v>
      </c>
      <c r="Z144" s="1076">
        <f t="shared" si="105"/>
        <v>-9.0993902602619133E-3</v>
      </c>
      <c r="AA144" s="1017"/>
      <c r="AB144" s="952"/>
      <c r="AC144" s="1017"/>
      <c r="AD144" s="1017"/>
      <c r="AE144" s="1017"/>
      <c r="AF144" s="1017"/>
      <c r="AG144" s="1017"/>
      <c r="AH144" s="1017"/>
      <c r="AI144" s="1017"/>
      <c r="AJ144" s="1017"/>
      <c r="AK144" s="1017"/>
      <c r="AL144" s="1017"/>
      <c r="AM144" s="1017"/>
      <c r="AN144" s="1017"/>
      <c r="AO144" s="1017"/>
      <c r="AP144" s="1017"/>
      <c r="AQ144" s="1017"/>
      <c r="AR144" s="1017"/>
      <c r="AS144" s="1017"/>
      <c r="AT144" s="1017"/>
      <c r="AU144" s="1017"/>
      <c r="AV144" s="1017"/>
      <c r="AW144" s="1017"/>
      <c r="AX144" s="1017"/>
      <c r="AY144" s="1017"/>
      <c r="AZ144" s="1017"/>
      <c r="BA144" s="1017"/>
      <c r="BB144" s="1017"/>
      <c r="BC144" s="1017"/>
      <c r="BD144" s="1017"/>
      <c r="BE144" s="1017"/>
      <c r="BF144" s="1017"/>
      <c r="BG144" s="1017"/>
      <c r="BH144" s="1017"/>
      <c r="BI144" s="1017"/>
      <c r="BJ144" s="1017"/>
      <c r="BK144" s="1017"/>
      <c r="BL144" s="1017"/>
      <c r="BM144" s="1017"/>
      <c r="BN144" s="1017"/>
      <c r="BO144" s="1017"/>
      <c r="BP144" s="1017"/>
      <c r="BQ144" s="1017"/>
      <c r="BR144" s="1017"/>
      <c r="BS144" s="1017"/>
      <c r="BT144" s="1017"/>
      <c r="BU144" s="1017"/>
      <c r="BV144" s="1017"/>
      <c r="BW144" s="1017"/>
      <c r="BX144" s="1017"/>
      <c r="BY144" s="1017"/>
      <c r="BZ144" s="1017"/>
      <c r="CA144" s="1017"/>
      <c r="CB144" s="1017"/>
      <c r="CC144" s="1017"/>
      <c r="CD144" s="1017"/>
      <c r="CE144" s="1017"/>
      <c r="CF144" s="1017"/>
      <c r="CG144" s="1017"/>
      <c r="CH144" s="1017"/>
      <c r="CI144" s="1017"/>
      <c r="CJ144" s="1017"/>
      <c r="CK144" s="1017"/>
      <c r="CL144" s="1017"/>
      <c r="CM144" s="1017"/>
      <c r="CN144" s="1017"/>
      <c r="CO144" s="1017"/>
      <c r="CP144" s="1017"/>
      <c r="CQ144" s="1017"/>
      <c r="CR144" s="1017"/>
      <c r="CS144" s="1017"/>
      <c r="CT144" s="1017"/>
      <c r="CU144" s="1017"/>
      <c r="CV144" s="1017"/>
      <c r="CW144" s="1017"/>
      <c r="CX144" s="1017"/>
      <c r="CY144" s="1017"/>
      <c r="CZ144" s="1017"/>
      <c r="DA144" s="1017"/>
      <c r="DB144" s="1017"/>
      <c r="DC144" s="1017"/>
      <c r="DD144" s="1017"/>
      <c r="DE144" s="1017"/>
      <c r="DF144" s="1017"/>
      <c r="DG144" s="1017"/>
      <c r="DH144" s="1017"/>
      <c r="DI144" s="1017"/>
      <c r="DJ144" s="1017"/>
      <c r="DK144" s="1017"/>
      <c r="DL144" s="1017"/>
      <c r="DM144" s="1017"/>
      <c r="DN144" s="1017"/>
      <c r="DO144" s="1017"/>
      <c r="DP144" s="1017"/>
      <c r="DQ144" s="1017"/>
      <c r="DR144" s="1017"/>
      <c r="DS144" s="1017"/>
      <c r="DT144" s="1017"/>
      <c r="DU144" s="1017"/>
      <c r="DV144" s="1017"/>
      <c r="DW144" s="1017"/>
      <c r="DX144" s="1017"/>
      <c r="DY144" s="1017"/>
      <c r="DZ144" s="1017"/>
      <c r="EA144" s="1017"/>
      <c r="EB144" s="1017"/>
      <c r="EC144" s="1017"/>
      <c r="ED144" s="1017"/>
      <c r="EE144" s="1017"/>
      <c r="EF144" s="1017"/>
      <c r="EG144" s="1017"/>
      <c r="EH144" s="1017"/>
      <c r="EI144" s="1017"/>
      <c r="EJ144" s="1017"/>
      <c r="EK144" s="1017"/>
      <c r="EL144" s="1017"/>
      <c r="EM144" s="1017"/>
      <c r="EN144" s="1017"/>
      <c r="EO144" s="1017"/>
      <c r="EP144" s="1017"/>
      <c r="EQ144" s="1017"/>
      <c r="ER144" s="1017"/>
      <c r="ES144" s="1017"/>
      <c r="ET144" s="1017"/>
      <c r="EU144" s="1017"/>
      <c r="EV144" s="1017"/>
      <c r="EW144" s="1017"/>
      <c r="EX144" s="1017"/>
      <c r="EY144" s="1017"/>
      <c r="EZ144" s="1017"/>
      <c r="FA144" s="1017"/>
      <c r="FB144" s="1017"/>
      <c r="FC144" s="1017"/>
      <c r="FD144" s="1017"/>
      <c r="FE144" s="1017"/>
      <c r="FF144" s="1017"/>
      <c r="FG144" s="1017"/>
      <c r="FH144" s="1017"/>
      <c r="FI144" s="1017"/>
      <c r="FJ144" s="1017"/>
      <c r="FK144" s="1017"/>
      <c r="FL144" s="1017"/>
      <c r="FM144" s="1017"/>
      <c r="FN144" s="1017"/>
      <c r="FO144" s="1017"/>
      <c r="FP144" s="1017"/>
      <c r="FQ144" s="1017"/>
      <c r="FR144" s="1017"/>
      <c r="FS144" s="1017"/>
      <c r="FT144" s="1017"/>
      <c r="FU144" s="1017"/>
      <c r="FV144" s="1017"/>
      <c r="FW144" s="1017"/>
      <c r="FX144" s="1017"/>
      <c r="FY144" s="1017"/>
      <c r="FZ144" s="1017"/>
      <c r="GA144" s="1017"/>
      <c r="GB144" s="1017"/>
      <c r="GC144" s="1017"/>
      <c r="GD144" s="1017"/>
      <c r="GE144" s="1017"/>
      <c r="GF144" s="1017"/>
      <c r="GG144" s="1017"/>
      <c r="GH144" s="1017"/>
      <c r="GI144" s="1017"/>
      <c r="GJ144" s="1017"/>
      <c r="GK144" s="1017"/>
      <c r="GL144" s="1017"/>
      <c r="GM144" s="1017"/>
      <c r="GN144" s="1017"/>
      <c r="GO144" s="1017"/>
      <c r="GP144" s="1017"/>
      <c r="GQ144" s="1017"/>
      <c r="GR144" s="1017"/>
      <c r="GS144" s="1017"/>
      <c r="GT144" s="1017"/>
      <c r="GU144" s="1017"/>
      <c r="GV144" s="1017"/>
      <c r="GW144" s="1017"/>
      <c r="GX144" s="1017"/>
      <c r="GY144" s="1017"/>
      <c r="GZ144" s="1017"/>
      <c r="HA144" s="1017"/>
      <c r="HB144" s="1017"/>
      <c r="HC144" s="1017"/>
      <c r="HD144" s="1017"/>
      <c r="HE144" s="1017"/>
      <c r="HF144" s="1017"/>
      <c r="HG144" s="1017"/>
      <c r="HH144" s="1017"/>
      <c r="HI144" s="1017"/>
      <c r="HJ144" s="1017"/>
      <c r="HK144" s="1017"/>
      <c r="HL144" s="1017"/>
      <c r="HM144" s="1017"/>
      <c r="HN144" s="1017"/>
      <c r="HO144" s="1017"/>
      <c r="HP144" s="1017"/>
      <c r="HQ144" s="1017"/>
      <c r="HR144" s="1017"/>
      <c r="HS144" s="1017"/>
      <c r="HT144" s="1017"/>
      <c r="HU144" s="1017"/>
      <c r="HV144" s="1017"/>
      <c r="HW144" s="1017"/>
      <c r="HX144" s="1017"/>
      <c r="HY144" s="1017"/>
      <c r="HZ144" s="1017"/>
      <c r="IA144" s="1017"/>
      <c r="IB144" s="1017"/>
      <c r="IC144" s="1017"/>
      <c r="ID144" s="1017"/>
      <c r="IE144" s="1017"/>
      <c r="IF144" s="1017"/>
      <c r="IG144" s="1017"/>
      <c r="IH144" s="1017"/>
      <c r="II144" s="1017"/>
      <c r="IJ144" s="1017"/>
      <c r="IK144" s="1017"/>
      <c r="IL144" s="1017"/>
      <c r="IM144" s="1017"/>
    </row>
    <row r="145" spans="1:247" s="1077" customFormat="1">
      <c r="A145" s="1052" t="s">
        <v>549</v>
      </c>
      <c r="B145" s="1053"/>
      <c r="C145" s="1050">
        <v>0</v>
      </c>
      <c r="D145" s="1068">
        <v>88.741310999999996</v>
      </c>
      <c r="E145" s="1046">
        <v>126.304405</v>
      </c>
      <c r="F145" s="1046">
        <v>0</v>
      </c>
      <c r="G145" s="1047">
        <v>0</v>
      </c>
      <c r="H145" s="1048">
        <v>0</v>
      </c>
      <c r="I145" s="1048">
        <v>0</v>
      </c>
      <c r="J145" s="1048">
        <v>0</v>
      </c>
      <c r="K145" s="1049">
        <v>0</v>
      </c>
      <c r="L145" s="1028"/>
      <c r="M145" s="1045"/>
      <c r="N145" s="1050">
        <f t="shared" si="102"/>
        <v>0</v>
      </c>
      <c r="O145" s="1045">
        <v>0</v>
      </c>
      <c r="P145" s="1046">
        <v>0</v>
      </c>
      <c r="Q145" s="1046">
        <v>0</v>
      </c>
      <c r="R145" s="1045">
        <f t="shared" si="99"/>
        <v>0</v>
      </c>
      <c r="S145" s="1046">
        <f t="shared" si="99"/>
        <v>0</v>
      </c>
      <c r="T145" s="1046">
        <f t="shared" si="99"/>
        <v>0</v>
      </c>
      <c r="U145" s="1050">
        <f t="shared" si="100"/>
        <v>0</v>
      </c>
      <c r="V145" s="948"/>
      <c r="W145" s="1075">
        <f t="shared" si="101"/>
        <v>0</v>
      </c>
      <c r="X145" s="1048">
        <v>126.304405</v>
      </c>
      <c r="Y145" s="1075">
        <f t="shared" si="78"/>
        <v>126.304405</v>
      </c>
      <c r="Z145" s="1076">
        <f t="shared" si="105"/>
        <v>0.14112959818746523</v>
      </c>
      <c r="AA145" s="1017"/>
      <c r="AB145" s="952"/>
      <c r="AC145" s="1017"/>
      <c r="AD145" s="1017"/>
      <c r="AE145" s="1017"/>
      <c r="AF145" s="1017"/>
      <c r="AG145" s="1017"/>
      <c r="AH145" s="1017"/>
      <c r="AI145" s="1017"/>
      <c r="AJ145" s="1017"/>
      <c r="AK145" s="1017"/>
      <c r="AL145" s="1017"/>
      <c r="AM145" s="1017"/>
      <c r="AN145" s="1017"/>
      <c r="AO145" s="1017"/>
      <c r="AP145" s="1017"/>
      <c r="AQ145" s="1017"/>
      <c r="AR145" s="1017"/>
      <c r="AS145" s="1017"/>
      <c r="AT145" s="1017"/>
      <c r="AU145" s="1017"/>
      <c r="AV145" s="1017"/>
      <c r="AW145" s="1017"/>
      <c r="AX145" s="1017"/>
      <c r="AY145" s="1017"/>
      <c r="AZ145" s="1017"/>
      <c r="BA145" s="1017"/>
      <c r="BB145" s="1017"/>
      <c r="BC145" s="1017"/>
      <c r="BD145" s="1017"/>
      <c r="BE145" s="1017"/>
      <c r="BF145" s="1017"/>
      <c r="BG145" s="1017"/>
      <c r="BH145" s="1017"/>
      <c r="BI145" s="1017"/>
      <c r="BJ145" s="1017"/>
      <c r="BK145" s="1017"/>
      <c r="BL145" s="1017"/>
      <c r="BM145" s="1017"/>
      <c r="BN145" s="1017"/>
      <c r="BO145" s="1017"/>
      <c r="BP145" s="1017"/>
      <c r="BQ145" s="1017"/>
      <c r="BR145" s="1017"/>
      <c r="BS145" s="1017"/>
      <c r="BT145" s="1017"/>
      <c r="BU145" s="1017"/>
      <c r="BV145" s="1017"/>
      <c r="BW145" s="1017"/>
      <c r="BX145" s="1017"/>
      <c r="BY145" s="1017"/>
      <c r="BZ145" s="1017"/>
      <c r="CA145" s="1017"/>
      <c r="CB145" s="1017"/>
      <c r="CC145" s="1017"/>
      <c r="CD145" s="1017"/>
      <c r="CE145" s="1017"/>
      <c r="CF145" s="1017"/>
      <c r="CG145" s="1017"/>
      <c r="CH145" s="1017"/>
      <c r="CI145" s="1017"/>
      <c r="CJ145" s="1017"/>
      <c r="CK145" s="1017"/>
      <c r="CL145" s="1017"/>
      <c r="CM145" s="1017"/>
      <c r="CN145" s="1017"/>
      <c r="CO145" s="1017"/>
      <c r="CP145" s="1017"/>
      <c r="CQ145" s="1017"/>
      <c r="CR145" s="1017"/>
      <c r="CS145" s="1017"/>
      <c r="CT145" s="1017"/>
      <c r="CU145" s="1017"/>
      <c r="CV145" s="1017"/>
      <c r="CW145" s="1017"/>
      <c r="CX145" s="1017"/>
      <c r="CY145" s="1017"/>
      <c r="CZ145" s="1017"/>
      <c r="DA145" s="1017"/>
      <c r="DB145" s="1017"/>
      <c r="DC145" s="1017"/>
      <c r="DD145" s="1017"/>
      <c r="DE145" s="1017"/>
      <c r="DF145" s="1017"/>
      <c r="DG145" s="1017"/>
      <c r="DH145" s="1017"/>
      <c r="DI145" s="1017"/>
      <c r="DJ145" s="1017"/>
      <c r="DK145" s="1017"/>
      <c r="DL145" s="1017"/>
      <c r="DM145" s="1017"/>
      <c r="DN145" s="1017"/>
      <c r="DO145" s="1017"/>
      <c r="DP145" s="1017"/>
      <c r="DQ145" s="1017"/>
      <c r="DR145" s="1017"/>
      <c r="DS145" s="1017"/>
      <c r="DT145" s="1017"/>
      <c r="DU145" s="1017"/>
      <c r="DV145" s="1017"/>
      <c r="DW145" s="1017"/>
      <c r="DX145" s="1017"/>
      <c r="DY145" s="1017"/>
      <c r="DZ145" s="1017"/>
      <c r="EA145" s="1017"/>
      <c r="EB145" s="1017"/>
      <c r="EC145" s="1017"/>
      <c r="ED145" s="1017"/>
      <c r="EE145" s="1017"/>
      <c r="EF145" s="1017"/>
      <c r="EG145" s="1017"/>
      <c r="EH145" s="1017"/>
      <c r="EI145" s="1017"/>
      <c r="EJ145" s="1017"/>
      <c r="EK145" s="1017"/>
      <c r="EL145" s="1017"/>
      <c r="EM145" s="1017"/>
      <c r="EN145" s="1017"/>
      <c r="EO145" s="1017"/>
      <c r="EP145" s="1017"/>
      <c r="EQ145" s="1017"/>
      <c r="ER145" s="1017"/>
      <c r="ES145" s="1017"/>
      <c r="ET145" s="1017"/>
      <c r="EU145" s="1017"/>
      <c r="EV145" s="1017"/>
      <c r="EW145" s="1017"/>
      <c r="EX145" s="1017"/>
      <c r="EY145" s="1017"/>
      <c r="EZ145" s="1017"/>
      <c r="FA145" s="1017"/>
      <c r="FB145" s="1017"/>
      <c r="FC145" s="1017"/>
      <c r="FD145" s="1017"/>
      <c r="FE145" s="1017"/>
      <c r="FF145" s="1017"/>
      <c r="FG145" s="1017"/>
      <c r="FH145" s="1017"/>
      <c r="FI145" s="1017"/>
      <c r="FJ145" s="1017"/>
      <c r="FK145" s="1017"/>
      <c r="FL145" s="1017"/>
      <c r="FM145" s="1017"/>
      <c r="FN145" s="1017"/>
      <c r="FO145" s="1017"/>
      <c r="FP145" s="1017"/>
      <c r="FQ145" s="1017"/>
      <c r="FR145" s="1017"/>
      <c r="FS145" s="1017"/>
      <c r="FT145" s="1017"/>
      <c r="FU145" s="1017"/>
      <c r="FV145" s="1017"/>
      <c r="FW145" s="1017"/>
      <c r="FX145" s="1017"/>
      <c r="FY145" s="1017"/>
      <c r="FZ145" s="1017"/>
      <c r="GA145" s="1017"/>
      <c r="GB145" s="1017"/>
      <c r="GC145" s="1017"/>
      <c r="GD145" s="1017"/>
      <c r="GE145" s="1017"/>
      <c r="GF145" s="1017"/>
      <c r="GG145" s="1017"/>
      <c r="GH145" s="1017"/>
      <c r="GI145" s="1017"/>
      <c r="GJ145" s="1017"/>
      <c r="GK145" s="1017"/>
      <c r="GL145" s="1017"/>
      <c r="GM145" s="1017"/>
      <c r="GN145" s="1017"/>
      <c r="GO145" s="1017"/>
      <c r="GP145" s="1017"/>
      <c r="GQ145" s="1017"/>
      <c r="GR145" s="1017"/>
      <c r="GS145" s="1017"/>
      <c r="GT145" s="1017"/>
      <c r="GU145" s="1017"/>
      <c r="GV145" s="1017"/>
      <c r="GW145" s="1017"/>
      <c r="GX145" s="1017"/>
      <c r="GY145" s="1017"/>
      <c r="GZ145" s="1017"/>
      <c r="HA145" s="1017"/>
      <c r="HB145" s="1017"/>
      <c r="HC145" s="1017"/>
      <c r="HD145" s="1017"/>
      <c r="HE145" s="1017"/>
      <c r="HF145" s="1017"/>
      <c r="HG145" s="1017"/>
      <c r="HH145" s="1017"/>
      <c r="HI145" s="1017"/>
      <c r="HJ145" s="1017"/>
      <c r="HK145" s="1017"/>
      <c r="HL145" s="1017"/>
      <c r="HM145" s="1017"/>
      <c r="HN145" s="1017"/>
      <c r="HO145" s="1017"/>
      <c r="HP145" s="1017"/>
      <c r="HQ145" s="1017"/>
      <c r="HR145" s="1017"/>
      <c r="HS145" s="1017"/>
      <c r="HT145" s="1017"/>
      <c r="HU145" s="1017"/>
      <c r="HV145" s="1017"/>
      <c r="HW145" s="1017"/>
      <c r="HX145" s="1017"/>
      <c r="HY145" s="1017"/>
      <c r="HZ145" s="1017"/>
      <c r="IA145" s="1017"/>
      <c r="IB145" s="1017"/>
      <c r="IC145" s="1017"/>
      <c r="ID145" s="1017"/>
      <c r="IE145" s="1017"/>
      <c r="IF145" s="1017"/>
      <c r="IG145" s="1017"/>
      <c r="IH145" s="1017"/>
      <c r="II145" s="1017"/>
      <c r="IJ145" s="1017"/>
      <c r="IK145" s="1017"/>
      <c r="IL145" s="1017"/>
      <c r="IM145" s="1017"/>
    </row>
    <row r="146" spans="1:247" s="1077" customFormat="1">
      <c r="A146" s="1052" t="s">
        <v>972</v>
      </c>
      <c r="B146" s="1053"/>
      <c r="C146" s="1050">
        <v>0</v>
      </c>
      <c r="D146" s="1107">
        <v>0</v>
      </c>
      <c r="E146" s="1046">
        <v>0</v>
      </c>
      <c r="F146" s="1046">
        <v>40</v>
      </c>
      <c r="G146" s="1047">
        <v>40</v>
      </c>
      <c r="H146" s="1048">
        <v>0</v>
      </c>
      <c r="I146" s="1048">
        <v>0</v>
      </c>
      <c r="J146" s="1048">
        <v>0</v>
      </c>
      <c r="K146" s="1049">
        <v>0</v>
      </c>
      <c r="L146" s="1028"/>
      <c r="M146" s="1045"/>
      <c r="N146" s="1050">
        <f t="shared" si="102"/>
        <v>0</v>
      </c>
      <c r="O146" s="1045">
        <v>0</v>
      </c>
      <c r="P146" s="1046">
        <v>0</v>
      </c>
      <c r="Q146" s="1046">
        <v>0</v>
      </c>
      <c r="R146" s="1045">
        <f t="shared" si="99"/>
        <v>0</v>
      </c>
      <c r="S146" s="1046">
        <f t="shared" si="99"/>
        <v>0</v>
      </c>
      <c r="T146" s="1046">
        <f t="shared" si="99"/>
        <v>0</v>
      </c>
      <c r="U146" s="1050">
        <f t="shared" si="100"/>
        <v>0</v>
      </c>
      <c r="V146" s="948"/>
      <c r="W146" s="1075">
        <f t="shared" si="101"/>
        <v>0</v>
      </c>
      <c r="X146" s="1048">
        <v>0</v>
      </c>
      <c r="Y146" s="1075">
        <f t="shared" si="78"/>
        <v>0</v>
      </c>
      <c r="Z146" s="1076">
        <f t="shared" si="105"/>
        <v>0</v>
      </c>
      <c r="AA146" s="1017"/>
      <c r="AB146" s="952"/>
      <c r="AC146" s="1017"/>
      <c r="AD146" s="1017"/>
      <c r="AE146" s="1017"/>
      <c r="AF146" s="1017"/>
      <c r="AG146" s="1017"/>
      <c r="AH146" s="1017"/>
      <c r="AI146" s="1017"/>
      <c r="AJ146" s="1017"/>
      <c r="AK146" s="1017"/>
      <c r="AL146" s="1017"/>
      <c r="AM146" s="1017"/>
      <c r="AN146" s="1017"/>
      <c r="AO146" s="1017"/>
      <c r="AP146" s="1017"/>
      <c r="AQ146" s="1017"/>
      <c r="AR146" s="1017"/>
      <c r="AS146" s="1017"/>
      <c r="AT146" s="1017"/>
      <c r="AU146" s="1017"/>
      <c r="AV146" s="1017"/>
      <c r="AW146" s="1017"/>
      <c r="AX146" s="1017"/>
      <c r="AY146" s="1017"/>
      <c r="AZ146" s="1017"/>
      <c r="BA146" s="1017"/>
      <c r="BB146" s="1017"/>
      <c r="BC146" s="1017"/>
      <c r="BD146" s="1017"/>
      <c r="BE146" s="1017"/>
      <c r="BF146" s="1017"/>
      <c r="BG146" s="1017"/>
      <c r="BH146" s="1017"/>
      <c r="BI146" s="1017"/>
      <c r="BJ146" s="1017"/>
      <c r="BK146" s="1017"/>
      <c r="BL146" s="1017"/>
      <c r="BM146" s="1017"/>
      <c r="BN146" s="1017"/>
      <c r="BO146" s="1017"/>
      <c r="BP146" s="1017"/>
      <c r="BQ146" s="1017"/>
      <c r="BR146" s="1017"/>
      <c r="BS146" s="1017"/>
      <c r="BT146" s="1017"/>
      <c r="BU146" s="1017"/>
      <c r="BV146" s="1017"/>
      <c r="BW146" s="1017"/>
      <c r="BX146" s="1017"/>
      <c r="BY146" s="1017"/>
      <c r="BZ146" s="1017"/>
      <c r="CA146" s="1017"/>
      <c r="CB146" s="1017"/>
      <c r="CC146" s="1017"/>
      <c r="CD146" s="1017"/>
      <c r="CE146" s="1017"/>
      <c r="CF146" s="1017"/>
      <c r="CG146" s="1017"/>
      <c r="CH146" s="1017"/>
      <c r="CI146" s="1017"/>
      <c r="CJ146" s="1017"/>
      <c r="CK146" s="1017"/>
      <c r="CL146" s="1017"/>
      <c r="CM146" s="1017"/>
      <c r="CN146" s="1017"/>
      <c r="CO146" s="1017"/>
      <c r="CP146" s="1017"/>
      <c r="CQ146" s="1017"/>
      <c r="CR146" s="1017"/>
      <c r="CS146" s="1017"/>
      <c r="CT146" s="1017"/>
      <c r="CU146" s="1017"/>
      <c r="CV146" s="1017"/>
      <c r="CW146" s="1017"/>
      <c r="CX146" s="1017"/>
      <c r="CY146" s="1017"/>
      <c r="CZ146" s="1017"/>
      <c r="DA146" s="1017"/>
      <c r="DB146" s="1017"/>
      <c r="DC146" s="1017"/>
      <c r="DD146" s="1017"/>
      <c r="DE146" s="1017"/>
      <c r="DF146" s="1017"/>
      <c r="DG146" s="1017"/>
      <c r="DH146" s="1017"/>
      <c r="DI146" s="1017"/>
      <c r="DJ146" s="1017"/>
      <c r="DK146" s="1017"/>
      <c r="DL146" s="1017"/>
      <c r="DM146" s="1017"/>
      <c r="DN146" s="1017"/>
      <c r="DO146" s="1017"/>
      <c r="DP146" s="1017"/>
      <c r="DQ146" s="1017"/>
      <c r="DR146" s="1017"/>
      <c r="DS146" s="1017"/>
      <c r="DT146" s="1017"/>
      <c r="DU146" s="1017"/>
      <c r="DV146" s="1017"/>
      <c r="DW146" s="1017"/>
      <c r="DX146" s="1017"/>
      <c r="DY146" s="1017"/>
      <c r="DZ146" s="1017"/>
      <c r="EA146" s="1017"/>
      <c r="EB146" s="1017"/>
      <c r="EC146" s="1017"/>
      <c r="ED146" s="1017"/>
      <c r="EE146" s="1017"/>
      <c r="EF146" s="1017"/>
      <c r="EG146" s="1017"/>
      <c r="EH146" s="1017"/>
      <c r="EI146" s="1017"/>
      <c r="EJ146" s="1017"/>
      <c r="EK146" s="1017"/>
      <c r="EL146" s="1017"/>
      <c r="EM146" s="1017"/>
      <c r="EN146" s="1017"/>
      <c r="EO146" s="1017"/>
      <c r="EP146" s="1017"/>
      <c r="EQ146" s="1017"/>
      <c r="ER146" s="1017"/>
      <c r="ES146" s="1017"/>
      <c r="ET146" s="1017"/>
      <c r="EU146" s="1017"/>
      <c r="EV146" s="1017"/>
      <c r="EW146" s="1017"/>
      <c r="EX146" s="1017"/>
      <c r="EY146" s="1017"/>
      <c r="EZ146" s="1017"/>
      <c r="FA146" s="1017"/>
      <c r="FB146" s="1017"/>
      <c r="FC146" s="1017"/>
      <c r="FD146" s="1017"/>
      <c r="FE146" s="1017"/>
      <c r="FF146" s="1017"/>
      <c r="FG146" s="1017"/>
      <c r="FH146" s="1017"/>
      <c r="FI146" s="1017"/>
      <c r="FJ146" s="1017"/>
      <c r="FK146" s="1017"/>
      <c r="FL146" s="1017"/>
      <c r="FM146" s="1017"/>
      <c r="FN146" s="1017"/>
      <c r="FO146" s="1017"/>
      <c r="FP146" s="1017"/>
      <c r="FQ146" s="1017"/>
      <c r="FR146" s="1017"/>
      <c r="FS146" s="1017"/>
      <c r="FT146" s="1017"/>
      <c r="FU146" s="1017"/>
      <c r="FV146" s="1017"/>
      <c r="FW146" s="1017"/>
      <c r="FX146" s="1017"/>
      <c r="FY146" s="1017"/>
      <c r="FZ146" s="1017"/>
      <c r="GA146" s="1017"/>
      <c r="GB146" s="1017"/>
      <c r="GC146" s="1017"/>
      <c r="GD146" s="1017"/>
      <c r="GE146" s="1017"/>
      <c r="GF146" s="1017"/>
      <c r="GG146" s="1017"/>
      <c r="GH146" s="1017"/>
      <c r="GI146" s="1017"/>
      <c r="GJ146" s="1017"/>
      <c r="GK146" s="1017"/>
      <c r="GL146" s="1017"/>
      <c r="GM146" s="1017"/>
      <c r="GN146" s="1017"/>
      <c r="GO146" s="1017"/>
      <c r="GP146" s="1017"/>
      <c r="GQ146" s="1017"/>
      <c r="GR146" s="1017"/>
      <c r="GS146" s="1017"/>
      <c r="GT146" s="1017"/>
      <c r="GU146" s="1017"/>
      <c r="GV146" s="1017"/>
      <c r="GW146" s="1017"/>
      <c r="GX146" s="1017"/>
      <c r="GY146" s="1017"/>
      <c r="GZ146" s="1017"/>
      <c r="HA146" s="1017"/>
      <c r="HB146" s="1017"/>
      <c r="HC146" s="1017"/>
      <c r="HD146" s="1017"/>
      <c r="HE146" s="1017"/>
      <c r="HF146" s="1017"/>
      <c r="HG146" s="1017"/>
      <c r="HH146" s="1017"/>
      <c r="HI146" s="1017"/>
      <c r="HJ146" s="1017"/>
      <c r="HK146" s="1017"/>
      <c r="HL146" s="1017"/>
      <c r="HM146" s="1017"/>
      <c r="HN146" s="1017"/>
      <c r="HO146" s="1017"/>
      <c r="HP146" s="1017"/>
      <c r="HQ146" s="1017"/>
      <c r="HR146" s="1017"/>
      <c r="HS146" s="1017"/>
      <c r="HT146" s="1017"/>
      <c r="HU146" s="1017"/>
      <c r="HV146" s="1017"/>
      <c r="HW146" s="1017"/>
      <c r="HX146" s="1017"/>
      <c r="HY146" s="1017"/>
      <c r="HZ146" s="1017"/>
      <c r="IA146" s="1017"/>
      <c r="IB146" s="1017"/>
      <c r="IC146" s="1017"/>
      <c r="ID146" s="1017"/>
      <c r="IE146" s="1017"/>
      <c r="IF146" s="1017"/>
      <c r="IG146" s="1017"/>
      <c r="IH146" s="1017"/>
      <c r="II146" s="1017"/>
      <c r="IJ146" s="1017"/>
      <c r="IK146" s="1017"/>
      <c r="IL146" s="1017"/>
      <c r="IM146" s="1017"/>
    </row>
    <row r="147" spans="1:247">
      <c r="A147" s="1052" t="s">
        <v>432</v>
      </c>
      <c r="B147" s="1053"/>
      <c r="C147" s="1050">
        <f>C131-SUM(C132:C146)</f>
        <v>1419.4924522596</v>
      </c>
      <c r="D147" s="1045">
        <f>D131-SUM(D132:D146)</f>
        <v>1573.39336181</v>
      </c>
      <c r="E147" s="1046">
        <f>E131-SUM(E132:E146)</f>
        <v>1325.2775150000002</v>
      </c>
      <c r="F147" s="1046">
        <f>F131-SUM(F132:F146)</f>
        <v>1256.6068403799998</v>
      </c>
      <c r="G147" s="1047">
        <f>G131-SUM(G132:G146)</f>
        <v>1362.0093025899998</v>
      </c>
      <c r="H147" s="1048">
        <v>1502.2126526265461</v>
      </c>
      <c r="I147" s="1048">
        <v>1480.0524295570469</v>
      </c>
      <c r="J147" s="1048">
        <v>1542.1982766190447</v>
      </c>
      <c r="K147" s="1049">
        <v>1684.6919546650929</v>
      </c>
      <c r="L147" s="1028"/>
      <c r="M147" s="1045"/>
      <c r="N147" s="1050">
        <f t="shared" si="102"/>
        <v>1502.2126526265461</v>
      </c>
      <c r="O147" s="1045">
        <v>1590.4490300370355</v>
      </c>
      <c r="P147" s="1046">
        <v>1694.8218395960907</v>
      </c>
      <c r="Q147" s="1046">
        <v>1798.7390846463743</v>
      </c>
      <c r="R147" s="1045">
        <f t="shared" si="99"/>
        <v>-110.39660047998859</v>
      </c>
      <c r="S147" s="1046">
        <f t="shared" si="99"/>
        <v>-152.62356297704605</v>
      </c>
      <c r="T147" s="1046">
        <f t="shared" si="99"/>
        <v>-114.04712998128139</v>
      </c>
      <c r="U147" s="1050">
        <f t="shared" si="100"/>
        <v>88.236377410489467</v>
      </c>
      <c r="V147" s="948"/>
      <c r="W147" s="1045">
        <f>O147</f>
        <v>1590.4490300370355</v>
      </c>
      <c r="X147" s="1046">
        <v>1325.2775150000002</v>
      </c>
      <c r="Y147" s="1045">
        <f t="shared" si="78"/>
        <v>-265.17151503703531</v>
      </c>
      <c r="Z147" s="1051">
        <f t="shared" si="105"/>
        <v>-0.29629647016616867</v>
      </c>
      <c r="AA147" s="958"/>
      <c r="AB147" s="952"/>
      <c r="AC147" s="1017"/>
      <c r="AD147" s="1017"/>
      <c r="AE147" s="1017"/>
      <c r="AF147" s="1017"/>
      <c r="AG147" s="1017"/>
      <c r="AH147" s="1017"/>
      <c r="AI147" s="1017"/>
      <c r="AJ147" s="1017"/>
      <c r="AK147" s="1017"/>
      <c r="AL147" s="1017"/>
      <c r="AM147" s="1017"/>
      <c r="AN147" s="1017"/>
      <c r="AO147" s="1017"/>
      <c r="AP147" s="1017"/>
      <c r="AQ147" s="1017"/>
      <c r="AR147" s="1017"/>
      <c r="AS147" s="1017"/>
      <c r="AT147" s="1017"/>
      <c r="AU147" s="1017"/>
      <c r="AV147" s="1017"/>
      <c r="AW147" s="1017"/>
      <c r="AX147" s="1017"/>
      <c r="AY147" s="1017"/>
      <c r="AZ147" s="1017"/>
      <c r="BA147" s="1017"/>
      <c r="BB147" s="1017"/>
      <c r="BC147" s="1017"/>
      <c r="BD147" s="1017"/>
      <c r="BE147" s="1017"/>
      <c r="BF147" s="1017"/>
      <c r="BG147" s="1017"/>
      <c r="BH147" s="1017"/>
      <c r="BI147" s="1017"/>
      <c r="BJ147" s="1017"/>
      <c r="BK147" s="1017"/>
      <c r="BL147" s="1017"/>
      <c r="BM147" s="1017"/>
      <c r="BN147" s="1017"/>
      <c r="BO147" s="1017"/>
      <c r="BP147" s="1017"/>
      <c r="BQ147" s="1017"/>
      <c r="BR147" s="1017"/>
      <c r="BS147" s="1017"/>
      <c r="BT147" s="1017"/>
      <c r="BU147" s="1017"/>
      <c r="BV147" s="1017"/>
      <c r="BW147" s="1017"/>
      <c r="BX147" s="1017"/>
      <c r="BY147" s="1017"/>
      <c r="BZ147" s="1017"/>
      <c r="CA147" s="1017"/>
      <c r="CB147" s="1017"/>
      <c r="CC147" s="1017"/>
      <c r="CD147" s="1017"/>
      <c r="CE147" s="1017"/>
      <c r="CF147" s="1017"/>
      <c r="CG147" s="1017"/>
      <c r="CH147" s="1017"/>
      <c r="CI147" s="1017"/>
      <c r="CJ147" s="1017"/>
      <c r="CK147" s="1017"/>
      <c r="CL147" s="1017"/>
      <c r="CM147" s="1017"/>
      <c r="CN147" s="1017"/>
      <c r="CO147" s="1017"/>
      <c r="CP147" s="1017"/>
      <c r="CQ147" s="1017"/>
      <c r="CR147" s="1017"/>
      <c r="CS147" s="1017"/>
      <c r="CT147" s="1017"/>
      <c r="CU147" s="1017"/>
      <c r="CV147" s="1017"/>
      <c r="CW147" s="1017"/>
      <c r="CX147" s="1017"/>
      <c r="CY147" s="1017"/>
      <c r="CZ147" s="1017"/>
      <c r="DA147" s="1017"/>
      <c r="DB147" s="1017"/>
      <c r="DC147" s="1017"/>
      <c r="DD147" s="1017"/>
      <c r="DE147" s="1017"/>
      <c r="DF147" s="1017"/>
      <c r="DG147" s="1017"/>
      <c r="DH147" s="1017"/>
      <c r="DI147" s="1017"/>
      <c r="DJ147" s="1017"/>
      <c r="DK147" s="1017"/>
      <c r="DL147" s="1017"/>
      <c r="DM147" s="1017"/>
      <c r="DN147" s="1017"/>
      <c r="DO147" s="1017"/>
      <c r="DP147" s="1017"/>
      <c r="DQ147" s="1017"/>
      <c r="DR147" s="1017"/>
      <c r="DS147" s="1017"/>
      <c r="DT147" s="1017"/>
      <c r="DU147" s="1017"/>
      <c r="DV147" s="1017"/>
      <c r="DW147" s="1017"/>
      <c r="DX147" s="1017"/>
      <c r="DY147" s="1017"/>
      <c r="DZ147" s="1017"/>
      <c r="EA147" s="1017"/>
      <c r="EB147" s="1017"/>
      <c r="EC147" s="1017"/>
      <c r="ED147" s="1017"/>
      <c r="EE147" s="1017"/>
      <c r="EF147" s="1017"/>
      <c r="EG147" s="1017"/>
      <c r="EH147" s="1017"/>
      <c r="EI147" s="1017"/>
      <c r="EJ147" s="1017"/>
      <c r="EK147" s="1017"/>
      <c r="EL147" s="1017"/>
      <c r="EM147" s="1017"/>
      <c r="EN147" s="1017"/>
      <c r="EO147" s="1017"/>
      <c r="EP147" s="1017"/>
      <c r="EQ147" s="1017"/>
      <c r="ER147" s="1017"/>
      <c r="ES147" s="1017"/>
      <c r="ET147" s="1017"/>
      <c r="EU147" s="1017"/>
      <c r="EV147" s="1017"/>
      <c r="EW147" s="1017"/>
      <c r="EX147" s="1017"/>
      <c r="EY147" s="1017"/>
      <c r="EZ147" s="1017"/>
      <c r="FA147" s="1017"/>
      <c r="FB147" s="1017"/>
      <c r="FC147" s="1017"/>
      <c r="FD147" s="1017"/>
      <c r="FE147" s="1017"/>
      <c r="FF147" s="1017"/>
      <c r="FG147" s="1017"/>
      <c r="FH147" s="1017"/>
      <c r="FI147" s="1017"/>
      <c r="FJ147" s="1017"/>
      <c r="FK147" s="1017"/>
      <c r="FL147" s="1017"/>
      <c r="FM147" s="1017"/>
      <c r="FN147" s="1017"/>
      <c r="FO147" s="1017"/>
      <c r="FP147" s="1017"/>
      <c r="FQ147" s="1017"/>
      <c r="FR147" s="1017"/>
      <c r="FS147" s="1017"/>
      <c r="FT147" s="1017"/>
      <c r="FU147" s="1017"/>
      <c r="FV147" s="1017"/>
      <c r="FW147" s="1017"/>
      <c r="FX147" s="1017"/>
      <c r="FY147" s="1017"/>
      <c r="FZ147" s="1017"/>
      <c r="GA147" s="1017"/>
      <c r="GB147" s="1017"/>
      <c r="GC147" s="1017"/>
      <c r="GD147" s="1017"/>
      <c r="GE147" s="1017"/>
      <c r="GF147" s="1017"/>
      <c r="GG147" s="1017"/>
      <c r="GH147" s="1017"/>
      <c r="GI147" s="1017"/>
      <c r="GJ147" s="1017"/>
      <c r="GK147" s="1017"/>
      <c r="GL147" s="1017"/>
      <c r="GM147" s="1017"/>
      <c r="GN147" s="1017"/>
      <c r="GO147" s="1017"/>
      <c r="GP147" s="1017"/>
      <c r="GQ147" s="1017"/>
      <c r="GR147" s="1017"/>
      <c r="GS147" s="1017"/>
      <c r="GT147" s="1017"/>
      <c r="GU147" s="1017"/>
      <c r="GV147" s="1017"/>
      <c r="GW147" s="1017"/>
      <c r="GX147" s="1017"/>
      <c r="GY147" s="1017"/>
      <c r="GZ147" s="1017"/>
      <c r="HA147" s="1017"/>
      <c r="HB147" s="1017"/>
      <c r="HC147" s="1017"/>
      <c r="HD147" s="1017"/>
      <c r="HE147" s="1017"/>
      <c r="HF147" s="1017"/>
      <c r="HG147" s="1017"/>
      <c r="HH147" s="1017"/>
      <c r="HI147" s="1017"/>
      <c r="HJ147" s="1017"/>
      <c r="HK147" s="1017"/>
      <c r="HL147" s="1017"/>
      <c r="HM147" s="1017"/>
      <c r="HN147" s="1017"/>
      <c r="HO147" s="1017"/>
      <c r="HP147" s="1017"/>
      <c r="HQ147" s="1017"/>
      <c r="HR147" s="1017"/>
      <c r="HS147" s="1017"/>
      <c r="HT147" s="1017"/>
      <c r="HU147" s="1017"/>
      <c r="HV147" s="1017"/>
      <c r="HW147" s="1017"/>
      <c r="HX147" s="1017"/>
      <c r="HY147" s="1017"/>
      <c r="HZ147" s="1017"/>
      <c r="IA147" s="1017"/>
      <c r="IB147" s="1017"/>
      <c r="IC147" s="1017"/>
      <c r="ID147" s="1017"/>
      <c r="IE147" s="1017"/>
      <c r="IF147" s="1017"/>
      <c r="IG147" s="1017"/>
      <c r="IH147" s="1017"/>
      <c r="II147" s="1017"/>
      <c r="IJ147" s="1017"/>
      <c r="IK147" s="1017"/>
      <c r="IL147" s="1017"/>
      <c r="IM147" s="1017"/>
    </row>
    <row r="148" spans="1:247" s="957" customFormat="1">
      <c r="A148" s="790" t="s">
        <v>38</v>
      </c>
      <c r="B148" s="1060" t="s">
        <v>998</v>
      </c>
      <c r="C148" s="1034">
        <v>343.53899999999999</v>
      </c>
      <c r="D148" s="1061">
        <v>278.19900000000007</v>
      </c>
      <c r="E148" s="1102">
        <v>228.965</v>
      </c>
      <c r="F148" s="1102">
        <v>229.88399999999999</v>
      </c>
      <c r="G148" s="1103">
        <v>242.81</v>
      </c>
      <c r="H148" s="1104">
        <f>SUM(H149:H155)</f>
        <v>422.54870349580574</v>
      </c>
      <c r="I148" s="1104">
        <f t="shared" ref="I148:K148" si="106">SUM(I149:I155)</f>
        <v>414.95203686983427</v>
      </c>
      <c r="J148" s="1104">
        <f t="shared" si="106"/>
        <v>357.9076000766272</v>
      </c>
      <c r="K148" s="1105">
        <f t="shared" si="106"/>
        <v>339.89594256925744</v>
      </c>
      <c r="L148" s="1028"/>
      <c r="M148" s="1066">
        <f>SUM(M149:M155)</f>
        <v>-96.787999999999997</v>
      </c>
      <c r="N148" s="1034">
        <f t="shared" si="102"/>
        <v>325.76070349580573</v>
      </c>
      <c r="O148" s="1066">
        <f>SUM(O149:O155)</f>
        <v>436.60977239230169</v>
      </c>
      <c r="P148" s="1062">
        <f>SUM(P149:P155)</f>
        <v>386.06538787040984</v>
      </c>
      <c r="Q148" s="1062">
        <f>SUM(Q149:Q155)</f>
        <v>384.2608825289966</v>
      </c>
      <c r="R148" s="1066">
        <f>SUM(R149:R155)</f>
        <v>-21.657735522467419</v>
      </c>
      <c r="S148" s="1062">
        <f t="shared" ref="S148:T148" si="107">SUM(S149:S155)</f>
        <v>-28.15778779378266</v>
      </c>
      <c r="T148" s="1062">
        <f t="shared" si="107"/>
        <v>-44.364939959739189</v>
      </c>
      <c r="U148" s="1034">
        <f t="shared" si="100"/>
        <v>110.84906889649596</v>
      </c>
      <c r="V148" s="1100"/>
      <c r="W148" s="1066">
        <f>SUM(W149:W155)</f>
        <v>436.60977239230169</v>
      </c>
      <c r="X148" s="1062">
        <f>SUM(X149:X155)</f>
        <v>246.5</v>
      </c>
      <c r="Y148" s="1066">
        <f t="shared" si="78"/>
        <v>-190.10977239230169</v>
      </c>
      <c r="Z148" s="1067">
        <f t="shared" si="105"/>
        <v>-0.21242422850759643</v>
      </c>
      <c r="AA148" s="1042"/>
      <c r="AB148" s="952"/>
      <c r="AC148" s="1042"/>
      <c r="AD148" s="1042"/>
      <c r="AE148" s="1042"/>
      <c r="AF148" s="1042"/>
      <c r="AG148" s="1042"/>
      <c r="AH148" s="1042"/>
      <c r="AI148" s="1042"/>
      <c r="AJ148" s="1042"/>
      <c r="AK148" s="1042"/>
      <c r="AL148" s="1042"/>
      <c r="AM148" s="1042"/>
      <c r="AN148" s="1042"/>
      <c r="AO148" s="1042"/>
      <c r="AP148" s="1042"/>
      <c r="AQ148" s="1042"/>
      <c r="AR148" s="1042"/>
      <c r="AS148" s="1042"/>
      <c r="AT148" s="1042"/>
      <c r="AU148" s="1042"/>
      <c r="AV148" s="1042"/>
      <c r="AW148" s="1042"/>
      <c r="AX148" s="1042"/>
      <c r="AY148" s="1042"/>
      <c r="AZ148" s="1042"/>
      <c r="BA148" s="1042"/>
      <c r="BB148" s="1042"/>
      <c r="BC148" s="1042"/>
      <c r="BD148" s="1042"/>
      <c r="BE148" s="1042"/>
      <c r="BF148" s="1042"/>
      <c r="BG148" s="1042"/>
      <c r="BH148" s="1042"/>
      <c r="BI148" s="1042"/>
      <c r="BJ148" s="1042"/>
      <c r="BK148" s="1042"/>
      <c r="BL148" s="1042"/>
      <c r="BM148" s="1042"/>
      <c r="BN148" s="1042"/>
      <c r="BO148" s="1042"/>
      <c r="BP148" s="1042"/>
      <c r="BQ148" s="1042"/>
      <c r="BR148" s="1042"/>
      <c r="BS148" s="1042"/>
      <c r="BT148" s="1042"/>
      <c r="BU148" s="1042"/>
      <c r="BV148" s="1042"/>
      <c r="BW148" s="1042"/>
      <c r="BX148" s="1042"/>
      <c r="BY148" s="1042"/>
      <c r="BZ148" s="1042"/>
      <c r="CA148" s="1042"/>
      <c r="CB148" s="1042"/>
      <c r="CC148" s="1042"/>
      <c r="CD148" s="1042"/>
      <c r="CE148" s="1042"/>
      <c r="CF148" s="1042"/>
      <c r="CG148" s="1042"/>
      <c r="CH148" s="1042"/>
      <c r="CI148" s="1042"/>
      <c r="CJ148" s="1042"/>
      <c r="CK148" s="1042"/>
      <c r="CL148" s="1042"/>
      <c r="CM148" s="1042"/>
      <c r="CN148" s="1042"/>
      <c r="CO148" s="1042"/>
      <c r="CP148" s="1042"/>
      <c r="CQ148" s="1042"/>
      <c r="CR148" s="1042"/>
      <c r="CS148" s="1042"/>
      <c r="CT148" s="1042"/>
      <c r="CU148" s="1042"/>
      <c r="CV148" s="1042"/>
      <c r="CW148" s="1042"/>
      <c r="CX148" s="1042"/>
      <c r="CY148" s="1042"/>
      <c r="CZ148" s="1042"/>
      <c r="DA148" s="1042"/>
      <c r="DB148" s="1042"/>
      <c r="DC148" s="1042"/>
      <c r="DD148" s="1042"/>
      <c r="DE148" s="1042"/>
      <c r="DF148" s="1042"/>
      <c r="DG148" s="1042"/>
      <c r="DH148" s="1042"/>
      <c r="DI148" s="1042"/>
      <c r="DJ148" s="1042"/>
      <c r="DK148" s="1042"/>
      <c r="DL148" s="1042"/>
      <c r="DM148" s="1042"/>
      <c r="DN148" s="1042"/>
      <c r="DO148" s="1042"/>
      <c r="DP148" s="1042"/>
      <c r="DQ148" s="1042"/>
      <c r="DR148" s="1042"/>
      <c r="DS148" s="1042"/>
      <c r="DT148" s="1042"/>
      <c r="DU148" s="1042"/>
      <c r="DV148" s="1042"/>
      <c r="DW148" s="1042"/>
      <c r="DX148" s="1042"/>
      <c r="DY148" s="1042"/>
      <c r="DZ148" s="1042"/>
      <c r="EA148" s="1042"/>
      <c r="EB148" s="1042"/>
      <c r="EC148" s="1042"/>
      <c r="ED148" s="1042"/>
      <c r="EE148" s="1042"/>
      <c r="EF148" s="1042"/>
      <c r="EG148" s="1042"/>
      <c r="EH148" s="1042"/>
      <c r="EI148" s="1042"/>
      <c r="EJ148" s="1042"/>
      <c r="EK148" s="1042"/>
      <c r="EL148" s="1042"/>
      <c r="EM148" s="1042"/>
      <c r="EN148" s="1042"/>
      <c r="EO148" s="1042"/>
      <c r="EP148" s="1042"/>
      <c r="EQ148" s="1042"/>
      <c r="ER148" s="1042"/>
      <c r="ES148" s="1042"/>
      <c r="ET148" s="1042"/>
      <c r="EU148" s="1042"/>
      <c r="EV148" s="1042"/>
      <c r="EW148" s="1042"/>
      <c r="EX148" s="1042"/>
      <c r="EY148" s="1042"/>
      <c r="EZ148" s="1042"/>
      <c r="FA148" s="1042"/>
      <c r="FB148" s="1042"/>
      <c r="FC148" s="1042"/>
      <c r="FD148" s="1042"/>
      <c r="FE148" s="1042"/>
      <c r="FF148" s="1042"/>
      <c r="FG148" s="1042"/>
      <c r="FH148" s="1042"/>
      <c r="FI148" s="1042"/>
      <c r="FJ148" s="1042"/>
      <c r="FK148" s="1042"/>
      <c r="FL148" s="1042"/>
      <c r="FM148" s="1042"/>
      <c r="FN148" s="1042"/>
      <c r="FO148" s="1042"/>
      <c r="FP148" s="1042"/>
      <c r="FQ148" s="1042"/>
      <c r="FR148" s="1042"/>
      <c r="FS148" s="1042"/>
      <c r="FT148" s="1042"/>
      <c r="FU148" s="1042"/>
      <c r="FV148" s="1042"/>
      <c r="FW148" s="1042"/>
      <c r="FX148" s="1042"/>
      <c r="FY148" s="1042"/>
      <c r="FZ148" s="1042"/>
      <c r="GA148" s="1042"/>
      <c r="GB148" s="1042"/>
      <c r="GC148" s="1042"/>
      <c r="GD148" s="1042"/>
      <c r="GE148" s="1042"/>
      <c r="GF148" s="1042"/>
      <c r="GG148" s="1042"/>
      <c r="GH148" s="1042"/>
      <c r="GI148" s="1042"/>
      <c r="GJ148" s="1042"/>
      <c r="GK148" s="1042"/>
      <c r="GL148" s="1042"/>
      <c r="GM148" s="1042"/>
      <c r="GN148" s="1042"/>
      <c r="GO148" s="1042"/>
      <c r="GP148" s="1042"/>
      <c r="GQ148" s="1042"/>
      <c r="GR148" s="1042"/>
      <c r="GS148" s="1042"/>
      <c r="GT148" s="1042"/>
      <c r="GU148" s="1042"/>
      <c r="GV148" s="1042"/>
      <c r="GW148" s="1042"/>
      <c r="GX148" s="1042"/>
      <c r="GY148" s="1042"/>
      <c r="GZ148" s="1042"/>
      <c r="HA148" s="1042"/>
      <c r="HB148" s="1042"/>
      <c r="HC148" s="1042"/>
      <c r="HD148" s="1042"/>
      <c r="HE148" s="1042"/>
      <c r="HF148" s="1042"/>
      <c r="HG148" s="1042"/>
      <c r="HH148" s="1042"/>
      <c r="HI148" s="1042"/>
      <c r="HJ148" s="1042"/>
      <c r="HK148" s="1042"/>
      <c r="HL148" s="1042"/>
      <c r="HM148" s="1042"/>
      <c r="HN148" s="1042"/>
      <c r="HO148" s="1042"/>
      <c r="HP148" s="1042"/>
      <c r="HQ148" s="1042"/>
      <c r="HR148" s="1042"/>
      <c r="HS148" s="1042"/>
      <c r="HT148" s="1042"/>
      <c r="HU148" s="1042"/>
      <c r="HV148" s="1042"/>
      <c r="HW148" s="1042"/>
      <c r="HX148" s="1042"/>
      <c r="HY148" s="1042"/>
      <c r="HZ148" s="1042"/>
      <c r="IA148" s="1042"/>
      <c r="IB148" s="1042"/>
      <c r="IC148" s="1042"/>
      <c r="ID148" s="1042"/>
      <c r="IE148" s="1042"/>
      <c r="IF148" s="1042"/>
      <c r="IG148" s="1042"/>
      <c r="IH148" s="1042"/>
      <c r="II148" s="1042"/>
      <c r="IJ148" s="1042"/>
      <c r="IK148" s="1042"/>
      <c r="IL148" s="1042"/>
      <c r="IM148" s="1042"/>
    </row>
    <row r="149" spans="1:247">
      <c r="A149" s="1052" t="s">
        <v>960</v>
      </c>
      <c r="B149" s="1060"/>
      <c r="C149" s="1050">
        <f>126.56424522-66.906146</f>
        <v>59.658099219999997</v>
      </c>
      <c r="D149" s="1045">
        <v>31.082999999999998</v>
      </c>
      <c r="E149" s="1046">
        <v>18.736000000000001</v>
      </c>
      <c r="F149" s="1046">
        <v>76.853746000000001</v>
      </c>
      <c r="G149" s="1047">
        <v>93.699459000000004</v>
      </c>
      <c r="H149" s="1048">
        <v>42.330703495805658</v>
      </c>
      <c r="I149" s="1048">
        <v>82.188036869834264</v>
      </c>
      <c r="J149" s="1048">
        <v>82.342346076627223</v>
      </c>
      <c r="K149" s="1049">
        <v>68.250401569257463</v>
      </c>
      <c r="L149" s="1028"/>
      <c r="M149" s="1045"/>
      <c r="N149" s="1050">
        <f t="shared" si="102"/>
        <v>42.330703495805658</v>
      </c>
      <c r="O149" s="1045">
        <f>I149</f>
        <v>82.188036869834264</v>
      </c>
      <c r="P149" s="1046">
        <f t="shared" ref="P149:Q149" si="108">J149</f>
        <v>82.342346076627223</v>
      </c>
      <c r="Q149" s="1046">
        <f t="shared" si="108"/>
        <v>68.250401569257463</v>
      </c>
      <c r="R149" s="1045">
        <f t="shared" ref="R149:T155" si="109">I149-O149</f>
        <v>0</v>
      </c>
      <c r="S149" s="1046">
        <f t="shared" si="109"/>
        <v>0</v>
      </c>
      <c r="T149" s="1046">
        <f t="shared" si="109"/>
        <v>0</v>
      </c>
      <c r="U149" s="1050">
        <f t="shared" si="100"/>
        <v>39.857333374028606</v>
      </c>
      <c r="V149" s="948"/>
      <c r="W149" s="1045">
        <f>O149</f>
        <v>82.188036869834264</v>
      </c>
      <c r="X149" s="1046">
        <v>18.736000000000001</v>
      </c>
      <c r="Y149" s="1045">
        <f t="shared" si="78"/>
        <v>-63.452036869834259</v>
      </c>
      <c r="Z149" s="1051">
        <f t="shared" si="105"/>
        <v>-7.0899827029911891E-2</v>
      </c>
      <c r="AA149" s="1017"/>
      <c r="AB149" s="952"/>
      <c r="AC149" s="1017"/>
      <c r="AD149" s="1017"/>
      <c r="AE149" s="1017"/>
      <c r="AF149" s="1017"/>
      <c r="AG149" s="1017"/>
      <c r="AH149" s="1017"/>
      <c r="AI149" s="1017"/>
      <c r="AJ149" s="1017"/>
      <c r="AK149" s="1017"/>
      <c r="AL149" s="1017"/>
      <c r="AM149" s="1017"/>
      <c r="AN149" s="1017"/>
      <c r="AO149" s="1017"/>
      <c r="AP149" s="1017"/>
      <c r="AQ149" s="1017"/>
      <c r="AR149" s="1017"/>
      <c r="AS149" s="1017"/>
      <c r="AT149" s="1017"/>
      <c r="AU149" s="1017"/>
      <c r="AV149" s="1017"/>
      <c r="AW149" s="1017"/>
      <c r="AX149" s="1017"/>
      <c r="AY149" s="1017"/>
      <c r="AZ149" s="1017"/>
      <c r="BA149" s="1017"/>
      <c r="BB149" s="1017"/>
      <c r="BC149" s="1017"/>
      <c r="BD149" s="1017"/>
      <c r="BE149" s="1017"/>
      <c r="BF149" s="1017"/>
      <c r="BG149" s="1017"/>
      <c r="BH149" s="1017"/>
      <c r="BI149" s="1017"/>
      <c r="BJ149" s="1017"/>
      <c r="BK149" s="1017"/>
      <c r="BL149" s="1017"/>
      <c r="BM149" s="1017"/>
      <c r="BN149" s="1017"/>
      <c r="BO149" s="1017"/>
      <c r="BP149" s="1017"/>
      <c r="BQ149" s="1017"/>
      <c r="BR149" s="1017"/>
      <c r="BS149" s="1017"/>
      <c r="BT149" s="1017"/>
      <c r="BU149" s="1017"/>
      <c r="BV149" s="1017"/>
      <c r="BW149" s="1017"/>
      <c r="BX149" s="1017"/>
      <c r="BY149" s="1017"/>
      <c r="BZ149" s="1017"/>
      <c r="CA149" s="1017"/>
      <c r="CB149" s="1017"/>
      <c r="CC149" s="1017"/>
      <c r="CD149" s="1017"/>
      <c r="CE149" s="1017"/>
      <c r="CF149" s="1017"/>
      <c r="CG149" s="1017"/>
      <c r="CH149" s="1017"/>
      <c r="CI149" s="1017"/>
      <c r="CJ149" s="1017"/>
      <c r="CK149" s="1017"/>
      <c r="CL149" s="1017"/>
      <c r="CM149" s="1017"/>
      <c r="CN149" s="1017"/>
      <c r="CO149" s="1017"/>
      <c r="CP149" s="1017"/>
      <c r="CQ149" s="1017"/>
      <c r="CR149" s="1017"/>
      <c r="CS149" s="1017"/>
      <c r="CT149" s="1017"/>
      <c r="CU149" s="1017"/>
      <c r="CV149" s="1017"/>
      <c r="CW149" s="1017"/>
      <c r="CX149" s="1017"/>
      <c r="CY149" s="1017"/>
      <c r="CZ149" s="1017"/>
      <c r="DA149" s="1017"/>
      <c r="DB149" s="1017"/>
      <c r="DC149" s="1017"/>
      <c r="DD149" s="1017"/>
      <c r="DE149" s="1017"/>
      <c r="DF149" s="1017"/>
      <c r="DG149" s="1017"/>
      <c r="DH149" s="1017"/>
      <c r="DI149" s="1017"/>
      <c r="DJ149" s="1017"/>
      <c r="DK149" s="1017"/>
      <c r="DL149" s="1017"/>
      <c r="DM149" s="1017"/>
      <c r="DN149" s="1017"/>
      <c r="DO149" s="1017"/>
      <c r="DP149" s="1017"/>
      <c r="DQ149" s="1017"/>
      <c r="DR149" s="1017"/>
      <c r="DS149" s="1017"/>
      <c r="DT149" s="1017"/>
      <c r="DU149" s="1017"/>
      <c r="DV149" s="1017"/>
      <c r="DW149" s="1017"/>
      <c r="DX149" s="1017"/>
      <c r="DY149" s="1017"/>
      <c r="DZ149" s="1017"/>
      <c r="EA149" s="1017"/>
      <c r="EB149" s="1017"/>
      <c r="EC149" s="1017"/>
      <c r="ED149" s="1017"/>
      <c r="EE149" s="1017"/>
      <c r="EF149" s="1017"/>
      <c r="EG149" s="1017"/>
      <c r="EH149" s="1017"/>
      <c r="EI149" s="1017"/>
      <c r="EJ149" s="1017"/>
      <c r="EK149" s="1017"/>
      <c r="EL149" s="1017"/>
      <c r="EM149" s="1017"/>
      <c r="EN149" s="1017"/>
      <c r="EO149" s="1017"/>
      <c r="EP149" s="1017"/>
      <c r="EQ149" s="1017"/>
      <c r="ER149" s="1017"/>
      <c r="ES149" s="1017"/>
      <c r="ET149" s="1017"/>
      <c r="EU149" s="1017"/>
      <c r="EV149" s="1017"/>
      <c r="EW149" s="1017"/>
      <c r="EX149" s="1017"/>
      <c r="EY149" s="1017"/>
      <c r="EZ149" s="1017"/>
      <c r="FA149" s="1017"/>
      <c r="FB149" s="1017"/>
      <c r="FC149" s="1017"/>
      <c r="FD149" s="1017"/>
      <c r="FE149" s="1017"/>
      <c r="FF149" s="1017"/>
      <c r="FG149" s="1017"/>
      <c r="FH149" s="1017"/>
      <c r="FI149" s="1017"/>
      <c r="FJ149" s="1017"/>
      <c r="FK149" s="1017"/>
      <c r="FL149" s="1017"/>
      <c r="FM149" s="1017"/>
      <c r="FN149" s="1017"/>
      <c r="FO149" s="1017"/>
      <c r="FP149" s="1017"/>
      <c r="FQ149" s="1017"/>
      <c r="FR149" s="1017"/>
      <c r="FS149" s="1017"/>
      <c r="FT149" s="1017"/>
      <c r="FU149" s="1017"/>
      <c r="FV149" s="1017"/>
      <c r="FW149" s="1017"/>
      <c r="FX149" s="1017"/>
      <c r="FY149" s="1017"/>
      <c r="FZ149" s="1017"/>
      <c r="GA149" s="1017"/>
      <c r="GB149" s="1017"/>
      <c r="GC149" s="1017"/>
      <c r="GD149" s="1017"/>
      <c r="GE149" s="1017"/>
      <c r="GF149" s="1017"/>
      <c r="GG149" s="1017"/>
      <c r="GH149" s="1017"/>
      <c r="GI149" s="1017"/>
      <c r="GJ149" s="1017"/>
      <c r="GK149" s="1017"/>
      <c r="GL149" s="1017"/>
      <c r="GM149" s="1017"/>
      <c r="GN149" s="1017"/>
      <c r="GO149" s="1017"/>
      <c r="GP149" s="1017"/>
      <c r="GQ149" s="1017"/>
      <c r="GR149" s="1017"/>
      <c r="GS149" s="1017"/>
      <c r="GT149" s="1017"/>
      <c r="GU149" s="1017"/>
      <c r="GV149" s="1017"/>
      <c r="GW149" s="1017"/>
      <c r="GX149" s="1017"/>
      <c r="GY149" s="1017"/>
      <c r="GZ149" s="1017"/>
      <c r="HA149" s="1017"/>
      <c r="HB149" s="1017"/>
      <c r="HC149" s="1017"/>
      <c r="HD149" s="1017"/>
      <c r="HE149" s="1017"/>
      <c r="HF149" s="1017"/>
      <c r="HG149" s="1017"/>
      <c r="HH149" s="1017"/>
      <c r="HI149" s="1017"/>
      <c r="HJ149" s="1017"/>
      <c r="HK149" s="1017"/>
      <c r="HL149" s="1017"/>
      <c r="HM149" s="1017"/>
      <c r="HN149" s="1017"/>
      <c r="HO149" s="1017"/>
      <c r="HP149" s="1017"/>
      <c r="HQ149" s="1017"/>
      <c r="HR149" s="1017"/>
      <c r="HS149" s="1017"/>
      <c r="HT149" s="1017"/>
      <c r="HU149" s="1017"/>
      <c r="HV149" s="1017"/>
      <c r="HW149" s="1017"/>
      <c r="HX149" s="1017"/>
      <c r="HY149" s="1017"/>
      <c r="HZ149" s="1017"/>
      <c r="IA149" s="1017"/>
      <c r="IB149" s="1017"/>
      <c r="IC149" s="1017"/>
      <c r="ID149" s="1017"/>
      <c r="IE149" s="1017"/>
      <c r="IF149" s="1017"/>
      <c r="IG149" s="1017"/>
      <c r="IH149" s="1017"/>
      <c r="II149" s="1017"/>
      <c r="IJ149" s="1017"/>
      <c r="IK149" s="1017"/>
      <c r="IL149" s="1017"/>
      <c r="IM149" s="1017"/>
    </row>
    <row r="150" spans="1:247" s="1017" customFormat="1">
      <c r="A150" s="1052" t="s">
        <v>430</v>
      </c>
      <c r="B150" s="1053"/>
      <c r="C150" s="1050">
        <v>0</v>
      </c>
      <c r="D150" s="1045">
        <v>0</v>
      </c>
      <c r="E150" s="1046">
        <v>0</v>
      </c>
      <c r="F150" s="1046">
        <v>0</v>
      </c>
      <c r="G150" s="1047">
        <v>0</v>
      </c>
      <c r="H150" s="1048">
        <v>17.535</v>
      </c>
      <c r="I150" s="1048">
        <v>17.535</v>
      </c>
      <c r="J150" s="1048">
        <v>17.535</v>
      </c>
      <c r="K150" s="1049">
        <v>17.535</v>
      </c>
      <c r="L150" s="1028"/>
      <c r="M150" s="1045"/>
      <c r="N150" s="1050">
        <f t="shared" si="102"/>
        <v>17.535</v>
      </c>
      <c r="O150" s="1045">
        <f>N150</f>
        <v>17.535</v>
      </c>
      <c r="P150" s="1046">
        <f t="shared" ref="P150:Q150" si="110">O150</f>
        <v>17.535</v>
      </c>
      <c r="Q150" s="1046">
        <f t="shared" si="110"/>
        <v>17.535</v>
      </c>
      <c r="R150" s="1045">
        <f t="shared" si="109"/>
        <v>0</v>
      </c>
      <c r="S150" s="1046">
        <f t="shared" si="109"/>
        <v>0</v>
      </c>
      <c r="T150" s="1046">
        <f t="shared" si="109"/>
        <v>0</v>
      </c>
      <c r="U150" s="1050">
        <f t="shared" si="100"/>
        <v>0</v>
      </c>
      <c r="V150" s="948"/>
      <c r="W150" s="1045">
        <f t="shared" ref="W150:W154" si="111">O150</f>
        <v>17.535</v>
      </c>
      <c r="X150" s="1046">
        <v>17.535</v>
      </c>
      <c r="Y150" s="1045">
        <f t="shared" si="78"/>
        <v>0</v>
      </c>
      <c r="Z150" s="1051">
        <f t="shared" si="105"/>
        <v>0</v>
      </c>
      <c r="AB150" s="952"/>
    </row>
    <row r="151" spans="1:247">
      <c r="A151" s="1052" t="s">
        <v>999</v>
      </c>
      <c r="B151" s="1053"/>
      <c r="C151" s="1050">
        <v>5.7880000000000003</v>
      </c>
      <c r="D151" s="1068">
        <v>5.7880000000000003</v>
      </c>
      <c r="E151" s="1046">
        <v>5.7880000000000003</v>
      </c>
      <c r="F151" s="948">
        <v>5.7880000000000003</v>
      </c>
      <c r="G151" s="1047">
        <v>5.7880000000000003</v>
      </c>
      <c r="H151" s="1048">
        <v>5.7880000000000003</v>
      </c>
      <c r="I151" s="1048">
        <v>5.7880000000000003</v>
      </c>
      <c r="J151" s="1048">
        <v>5.7880000000000003</v>
      </c>
      <c r="K151" s="1049">
        <v>5.7880000000000003</v>
      </c>
      <c r="L151" s="1028"/>
      <c r="M151" s="1045">
        <v>-5.7880000000000003</v>
      </c>
      <c r="N151" s="1050">
        <f t="shared" si="102"/>
        <v>0</v>
      </c>
      <c r="O151" s="1045">
        <f>E151</f>
        <v>5.7880000000000003</v>
      </c>
      <c r="P151" s="1046">
        <f>F151</f>
        <v>5.7880000000000003</v>
      </c>
      <c r="Q151" s="1046">
        <f>G151</f>
        <v>5.7880000000000003</v>
      </c>
      <c r="R151" s="1045">
        <f t="shared" si="109"/>
        <v>0</v>
      </c>
      <c r="S151" s="1046">
        <f t="shared" si="109"/>
        <v>0</v>
      </c>
      <c r="T151" s="1046">
        <f t="shared" si="109"/>
        <v>0</v>
      </c>
      <c r="U151" s="1050">
        <f t="shared" si="100"/>
        <v>5.7880000000000003</v>
      </c>
      <c r="V151" s="948"/>
      <c r="W151" s="1045">
        <f t="shared" si="111"/>
        <v>5.7880000000000003</v>
      </c>
      <c r="X151" s="1046">
        <v>5.7880000000000003</v>
      </c>
      <c r="Y151" s="1045">
        <f t="shared" si="78"/>
        <v>0</v>
      </c>
      <c r="Z151" s="1051">
        <f t="shared" si="105"/>
        <v>0</v>
      </c>
      <c r="AA151" s="1017"/>
      <c r="AB151" s="952"/>
      <c r="AC151" s="1017"/>
      <c r="AD151" s="1017"/>
      <c r="AE151" s="1017"/>
      <c r="AF151" s="1017"/>
      <c r="AG151" s="1017"/>
      <c r="AH151" s="1017"/>
      <c r="AI151" s="1017"/>
      <c r="AJ151" s="1017"/>
      <c r="AK151" s="1017"/>
      <c r="AL151" s="1017"/>
      <c r="AM151" s="1017"/>
      <c r="AN151" s="1017"/>
      <c r="AO151" s="1017"/>
      <c r="AP151" s="1017"/>
      <c r="AQ151" s="1017"/>
      <c r="AR151" s="1017"/>
      <c r="AS151" s="1017"/>
      <c r="AT151" s="1017"/>
      <c r="AU151" s="1017"/>
      <c r="AV151" s="1017"/>
      <c r="AW151" s="1017"/>
      <c r="AX151" s="1017"/>
      <c r="AY151" s="1017"/>
      <c r="AZ151" s="1017"/>
      <c r="BA151" s="1017"/>
      <c r="BB151" s="1017"/>
      <c r="BC151" s="1017"/>
      <c r="BD151" s="1017"/>
      <c r="BE151" s="1017"/>
      <c r="BF151" s="1017"/>
      <c r="BG151" s="1017"/>
      <c r="BH151" s="1017"/>
      <c r="BI151" s="1017"/>
      <c r="BJ151" s="1017"/>
      <c r="BK151" s="1017"/>
      <c r="BL151" s="1017"/>
      <c r="BM151" s="1017"/>
      <c r="BN151" s="1017"/>
      <c r="BO151" s="1017"/>
      <c r="BP151" s="1017"/>
      <c r="BQ151" s="1017"/>
      <c r="BR151" s="1017"/>
      <c r="BS151" s="1017"/>
      <c r="BT151" s="1017"/>
      <c r="BU151" s="1017"/>
      <c r="BV151" s="1017"/>
      <c r="BW151" s="1017"/>
      <c r="BX151" s="1017"/>
      <c r="BY151" s="1017"/>
      <c r="BZ151" s="1017"/>
      <c r="CA151" s="1017"/>
      <c r="CB151" s="1017"/>
      <c r="CC151" s="1017"/>
      <c r="CD151" s="1017"/>
      <c r="CE151" s="1017"/>
      <c r="CF151" s="1017"/>
      <c r="CG151" s="1017"/>
      <c r="CH151" s="1017"/>
      <c r="CI151" s="1017"/>
      <c r="CJ151" s="1017"/>
      <c r="CK151" s="1017"/>
      <c r="CL151" s="1017"/>
      <c r="CM151" s="1017"/>
      <c r="CN151" s="1017"/>
      <c r="CO151" s="1017"/>
      <c r="CP151" s="1017"/>
      <c r="CQ151" s="1017"/>
      <c r="CR151" s="1017"/>
      <c r="CS151" s="1017"/>
      <c r="CT151" s="1017"/>
      <c r="CU151" s="1017"/>
      <c r="CV151" s="1017"/>
      <c r="CW151" s="1017"/>
      <c r="CX151" s="1017"/>
      <c r="CY151" s="1017"/>
      <c r="CZ151" s="1017"/>
      <c r="DA151" s="1017"/>
      <c r="DB151" s="1017"/>
      <c r="DC151" s="1017"/>
      <c r="DD151" s="1017"/>
      <c r="DE151" s="1017"/>
      <c r="DF151" s="1017"/>
      <c r="DG151" s="1017"/>
      <c r="DH151" s="1017"/>
      <c r="DI151" s="1017"/>
      <c r="DJ151" s="1017"/>
      <c r="DK151" s="1017"/>
      <c r="DL151" s="1017"/>
      <c r="DM151" s="1017"/>
      <c r="DN151" s="1017"/>
      <c r="DO151" s="1017"/>
      <c r="DP151" s="1017"/>
      <c r="DQ151" s="1017"/>
      <c r="DR151" s="1017"/>
      <c r="DS151" s="1017"/>
      <c r="DT151" s="1017"/>
      <c r="DU151" s="1017"/>
      <c r="DV151" s="1017"/>
      <c r="DW151" s="1017"/>
      <c r="DX151" s="1017"/>
      <c r="DY151" s="1017"/>
      <c r="DZ151" s="1017"/>
      <c r="EA151" s="1017"/>
      <c r="EB151" s="1017"/>
      <c r="EC151" s="1017"/>
      <c r="ED151" s="1017"/>
      <c r="EE151" s="1017"/>
      <c r="EF151" s="1017"/>
      <c r="EG151" s="1017"/>
      <c r="EH151" s="1017"/>
      <c r="EI151" s="1017"/>
      <c r="EJ151" s="1017"/>
      <c r="EK151" s="1017"/>
      <c r="EL151" s="1017"/>
      <c r="EM151" s="1017"/>
      <c r="EN151" s="1017"/>
      <c r="EO151" s="1017"/>
      <c r="EP151" s="1017"/>
      <c r="EQ151" s="1017"/>
      <c r="ER151" s="1017"/>
      <c r="ES151" s="1017"/>
      <c r="ET151" s="1017"/>
      <c r="EU151" s="1017"/>
      <c r="EV151" s="1017"/>
      <c r="EW151" s="1017"/>
      <c r="EX151" s="1017"/>
      <c r="EY151" s="1017"/>
      <c r="EZ151" s="1017"/>
      <c r="FA151" s="1017"/>
      <c r="FB151" s="1017"/>
      <c r="FC151" s="1017"/>
      <c r="FD151" s="1017"/>
      <c r="FE151" s="1017"/>
      <c r="FF151" s="1017"/>
      <c r="FG151" s="1017"/>
      <c r="FH151" s="1017"/>
      <c r="FI151" s="1017"/>
      <c r="FJ151" s="1017"/>
      <c r="FK151" s="1017"/>
      <c r="FL151" s="1017"/>
      <c r="FM151" s="1017"/>
      <c r="FN151" s="1017"/>
      <c r="FO151" s="1017"/>
      <c r="FP151" s="1017"/>
      <c r="FQ151" s="1017"/>
      <c r="FR151" s="1017"/>
      <c r="FS151" s="1017"/>
      <c r="FT151" s="1017"/>
      <c r="FU151" s="1017"/>
      <c r="FV151" s="1017"/>
      <c r="FW151" s="1017"/>
      <c r="FX151" s="1017"/>
      <c r="FY151" s="1017"/>
      <c r="FZ151" s="1017"/>
      <c r="GA151" s="1017"/>
      <c r="GB151" s="1017"/>
      <c r="GC151" s="1017"/>
      <c r="GD151" s="1017"/>
      <c r="GE151" s="1017"/>
      <c r="GF151" s="1017"/>
      <c r="GG151" s="1017"/>
      <c r="GH151" s="1017"/>
      <c r="GI151" s="1017"/>
      <c r="GJ151" s="1017"/>
      <c r="GK151" s="1017"/>
      <c r="GL151" s="1017"/>
      <c r="GM151" s="1017"/>
      <c r="GN151" s="1017"/>
      <c r="GO151" s="1017"/>
      <c r="GP151" s="1017"/>
      <c r="GQ151" s="1017"/>
      <c r="GR151" s="1017"/>
      <c r="GS151" s="1017"/>
      <c r="GT151" s="1017"/>
      <c r="GU151" s="1017"/>
      <c r="GV151" s="1017"/>
      <c r="GW151" s="1017"/>
      <c r="GX151" s="1017"/>
      <c r="GY151" s="1017"/>
      <c r="GZ151" s="1017"/>
      <c r="HA151" s="1017"/>
      <c r="HB151" s="1017"/>
      <c r="HC151" s="1017"/>
      <c r="HD151" s="1017"/>
      <c r="HE151" s="1017"/>
      <c r="HF151" s="1017"/>
      <c r="HG151" s="1017"/>
      <c r="HH151" s="1017"/>
      <c r="HI151" s="1017"/>
      <c r="HJ151" s="1017"/>
      <c r="HK151" s="1017"/>
      <c r="HL151" s="1017"/>
      <c r="HM151" s="1017"/>
      <c r="HN151" s="1017"/>
      <c r="HO151" s="1017"/>
      <c r="HP151" s="1017"/>
      <c r="HQ151" s="1017"/>
      <c r="HR151" s="1017"/>
      <c r="HS151" s="1017"/>
      <c r="HT151" s="1017"/>
      <c r="HU151" s="1017"/>
      <c r="HV151" s="1017"/>
      <c r="HW151" s="1017"/>
      <c r="HX151" s="1017"/>
      <c r="HY151" s="1017"/>
      <c r="HZ151" s="1017"/>
      <c r="IA151" s="1017"/>
      <c r="IB151" s="1017"/>
      <c r="IC151" s="1017"/>
      <c r="ID151" s="1017"/>
      <c r="IE151" s="1017"/>
      <c r="IF151" s="1017"/>
      <c r="IG151" s="1017"/>
      <c r="IH151" s="1017"/>
      <c r="II151" s="1017"/>
      <c r="IJ151" s="1017"/>
      <c r="IK151" s="1017"/>
      <c r="IL151" s="1017"/>
      <c r="IM151" s="1017"/>
    </row>
    <row r="152" spans="1:247">
      <c r="A152" s="1052" t="s">
        <v>1000</v>
      </c>
      <c r="B152" s="1053"/>
      <c r="C152" s="1050">
        <f>187.658-38.571</f>
        <v>149.08699999999999</v>
      </c>
      <c r="D152" s="1068">
        <v>77.7</v>
      </c>
      <c r="E152" s="1046">
        <v>0</v>
      </c>
      <c r="F152" s="948">
        <v>0</v>
      </c>
      <c r="G152" s="1047">
        <v>0</v>
      </c>
      <c r="H152" s="1048">
        <v>77.7</v>
      </c>
      <c r="I152" s="1048">
        <v>80</v>
      </c>
      <c r="J152" s="1048">
        <v>80</v>
      </c>
      <c r="K152" s="1049">
        <v>80</v>
      </c>
      <c r="L152" s="1028"/>
      <c r="M152" s="1045"/>
      <c r="N152" s="1050">
        <f t="shared" si="102"/>
        <v>77.7</v>
      </c>
      <c r="O152" s="1045">
        <f>I152</f>
        <v>80</v>
      </c>
      <c r="P152" s="1046">
        <f t="shared" ref="P152:Q153" si="112">J152</f>
        <v>80</v>
      </c>
      <c r="Q152" s="1046">
        <f t="shared" si="112"/>
        <v>80</v>
      </c>
      <c r="R152" s="1045">
        <f t="shared" si="109"/>
        <v>0</v>
      </c>
      <c r="S152" s="1046">
        <f t="shared" si="109"/>
        <v>0</v>
      </c>
      <c r="T152" s="1046">
        <f t="shared" si="109"/>
        <v>0</v>
      </c>
      <c r="U152" s="1050">
        <f t="shared" si="100"/>
        <v>2.2999999999999972</v>
      </c>
      <c r="V152" s="948"/>
      <c r="W152" s="1045">
        <f t="shared" si="111"/>
        <v>80</v>
      </c>
      <c r="X152" s="1046">
        <v>0</v>
      </c>
      <c r="Y152" s="1045">
        <f t="shared" si="78"/>
        <v>-80</v>
      </c>
      <c r="Z152" s="1051">
        <f t="shared" si="105"/>
        <v>-8.9390135324236855E-2</v>
      </c>
      <c r="AA152" s="1017"/>
      <c r="AB152" s="952"/>
      <c r="AC152" s="1017"/>
      <c r="AD152" s="1017"/>
      <c r="AE152" s="1017"/>
      <c r="AF152" s="1017"/>
      <c r="AG152" s="1017"/>
      <c r="AH152" s="1017"/>
      <c r="AI152" s="1017"/>
      <c r="AJ152" s="1017"/>
      <c r="AK152" s="1017"/>
      <c r="AL152" s="1017"/>
      <c r="AM152" s="1017"/>
      <c r="AN152" s="1017"/>
      <c r="AO152" s="1017"/>
      <c r="AP152" s="1017"/>
      <c r="AQ152" s="1017"/>
      <c r="AR152" s="1017"/>
      <c r="AS152" s="1017"/>
      <c r="AT152" s="1017"/>
      <c r="AU152" s="1017"/>
      <c r="AV152" s="1017"/>
      <c r="AW152" s="1017"/>
      <c r="AX152" s="1017"/>
      <c r="AY152" s="1017"/>
      <c r="AZ152" s="1017"/>
      <c r="BA152" s="1017"/>
      <c r="BB152" s="1017"/>
      <c r="BC152" s="1017"/>
      <c r="BD152" s="1017"/>
      <c r="BE152" s="1017"/>
      <c r="BF152" s="1017"/>
      <c r="BG152" s="1017"/>
      <c r="BH152" s="1017"/>
      <c r="BI152" s="1017"/>
      <c r="BJ152" s="1017"/>
      <c r="BK152" s="1017"/>
      <c r="BL152" s="1017"/>
      <c r="BM152" s="1017"/>
      <c r="BN152" s="1017"/>
      <c r="BO152" s="1017"/>
      <c r="BP152" s="1017"/>
      <c r="BQ152" s="1017"/>
      <c r="BR152" s="1017"/>
      <c r="BS152" s="1017"/>
      <c r="BT152" s="1017"/>
      <c r="BU152" s="1017"/>
      <c r="BV152" s="1017"/>
      <c r="BW152" s="1017"/>
      <c r="BX152" s="1017"/>
      <c r="BY152" s="1017"/>
      <c r="BZ152" s="1017"/>
      <c r="CA152" s="1017"/>
      <c r="CB152" s="1017"/>
      <c r="CC152" s="1017"/>
      <c r="CD152" s="1017"/>
      <c r="CE152" s="1017"/>
      <c r="CF152" s="1017"/>
      <c r="CG152" s="1017"/>
      <c r="CH152" s="1017"/>
      <c r="CI152" s="1017"/>
      <c r="CJ152" s="1017"/>
      <c r="CK152" s="1017"/>
      <c r="CL152" s="1017"/>
      <c r="CM152" s="1017"/>
      <c r="CN152" s="1017"/>
      <c r="CO152" s="1017"/>
      <c r="CP152" s="1017"/>
      <c r="CQ152" s="1017"/>
      <c r="CR152" s="1017"/>
      <c r="CS152" s="1017"/>
      <c r="CT152" s="1017"/>
      <c r="CU152" s="1017"/>
      <c r="CV152" s="1017"/>
      <c r="CW152" s="1017"/>
      <c r="CX152" s="1017"/>
      <c r="CY152" s="1017"/>
      <c r="CZ152" s="1017"/>
      <c r="DA152" s="1017"/>
      <c r="DB152" s="1017"/>
      <c r="DC152" s="1017"/>
      <c r="DD152" s="1017"/>
      <c r="DE152" s="1017"/>
      <c r="DF152" s="1017"/>
      <c r="DG152" s="1017"/>
      <c r="DH152" s="1017"/>
      <c r="DI152" s="1017"/>
      <c r="DJ152" s="1017"/>
      <c r="DK152" s="1017"/>
      <c r="DL152" s="1017"/>
      <c r="DM152" s="1017"/>
      <c r="DN152" s="1017"/>
      <c r="DO152" s="1017"/>
      <c r="DP152" s="1017"/>
      <c r="DQ152" s="1017"/>
      <c r="DR152" s="1017"/>
      <c r="DS152" s="1017"/>
      <c r="DT152" s="1017"/>
      <c r="DU152" s="1017"/>
      <c r="DV152" s="1017"/>
      <c r="DW152" s="1017"/>
      <c r="DX152" s="1017"/>
      <c r="DY152" s="1017"/>
      <c r="DZ152" s="1017"/>
      <c r="EA152" s="1017"/>
      <c r="EB152" s="1017"/>
      <c r="EC152" s="1017"/>
      <c r="ED152" s="1017"/>
      <c r="EE152" s="1017"/>
      <c r="EF152" s="1017"/>
      <c r="EG152" s="1017"/>
      <c r="EH152" s="1017"/>
      <c r="EI152" s="1017"/>
      <c r="EJ152" s="1017"/>
      <c r="EK152" s="1017"/>
      <c r="EL152" s="1017"/>
      <c r="EM152" s="1017"/>
      <c r="EN152" s="1017"/>
      <c r="EO152" s="1017"/>
      <c r="EP152" s="1017"/>
      <c r="EQ152" s="1017"/>
      <c r="ER152" s="1017"/>
      <c r="ES152" s="1017"/>
      <c r="ET152" s="1017"/>
      <c r="EU152" s="1017"/>
      <c r="EV152" s="1017"/>
      <c r="EW152" s="1017"/>
      <c r="EX152" s="1017"/>
      <c r="EY152" s="1017"/>
      <c r="EZ152" s="1017"/>
      <c r="FA152" s="1017"/>
      <c r="FB152" s="1017"/>
      <c r="FC152" s="1017"/>
      <c r="FD152" s="1017"/>
      <c r="FE152" s="1017"/>
      <c r="FF152" s="1017"/>
      <c r="FG152" s="1017"/>
      <c r="FH152" s="1017"/>
      <c r="FI152" s="1017"/>
      <c r="FJ152" s="1017"/>
      <c r="FK152" s="1017"/>
      <c r="FL152" s="1017"/>
      <c r="FM152" s="1017"/>
      <c r="FN152" s="1017"/>
      <c r="FO152" s="1017"/>
      <c r="FP152" s="1017"/>
      <c r="FQ152" s="1017"/>
      <c r="FR152" s="1017"/>
      <c r="FS152" s="1017"/>
      <c r="FT152" s="1017"/>
      <c r="FU152" s="1017"/>
      <c r="FV152" s="1017"/>
      <c r="FW152" s="1017"/>
      <c r="FX152" s="1017"/>
      <c r="FY152" s="1017"/>
      <c r="FZ152" s="1017"/>
      <c r="GA152" s="1017"/>
      <c r="GB152" s="1017"/>
      <c r="GC152" s="1017"/>
      <c r="GD152" s="1017"/>
      <c r="GE152" s="1017"/>
      <c r="GF152" s="1017"/>
      <c r="GG152" s="1017"/>
      <c r="GH152" s="1017"/>
      <c r="GI152" s="1017"/>
      <c r="GJ152" s="1017"/>
      <c r="GK152" s="1017"/>
      <c r="GL152" s="1017"/>
      <c r="GM152" s="1017"/>
      <c r="GN152" s="1017"/>
      <c r="GO152" s="1017"/>
      <c r="GP152" s="1017"/>
      <c r="GQ152" s="1017"/>
      <c r="GR152" s="1017"/>
      <c r="GS152" s="1017"/>
      <c r="GT152" s="1017"/>
      <c r="GU152" s="1017"/>
      <c r="GV152" s="1017"/>
      <c r="GW152" s="1017"/>
      <c r="GX152" s="1017"/>
      <c r="GY152" s="1017"/>
      <c r="GZ152" s="1017"/>
      <c r="HA152" s="1017"/>
      <c r="HB152" s="1017"/>
      <c r="HC152" s="1017"/>
      <c r="HD152" s="1017"/>
      <c r="HE152" s="1017"/>
      <c r="HF152" s="1017"/>
      <c r="HG152" s="1017"/>
      <c r="HH152" s="1017"/>
      <c r="HI152" s="1017"/>
      <c r="HJ152" s="1017"/>
      <c r="HK152" s="1017"/>
      <c r="HL152" s="1017"/>
      <c r="HM152" s="1017"/>
      <c r="HN152" s="1017"/>
      <c r="HO152" s="1017"/>
      <c r="HP152" s="1017"/>
      <c r="HQ152" s="1017"/>
      <c r="HR152" s="1017"/>
      <c r="HS152" s="1017"/>
      <c r="HT152" s="1017"/>
      <c r="HU152" s="1017"/>
      <c r="HV152" s="1017"/>
      <c r="HW152" s="1017"/>
      <c r="HX152" s="1017"/>
      <c r="HY152" s="1017"/>
      <c r="HZ152" s="1017"/>
      <c r="IA152" s="1017"/>
      <c r="IB152" s="1017"/>
      <c r="IC152" s="1017"/>
      <c r="ID152" s="1017"/>
      <c r="IE152" s="1017"/>
      <c r="IF152" s="1017"/>
      <c r="IG152" s="1017"/>
      <c r="IH152" s="1017"/>
      <c r="II152" s="1017"/>
      <c r="IJ152" s="1017"/>
      <c r="IK152" s="1017"/>
      <c r="IL152" s="1017"/>
      <c r="IM152" s="1017"/>
    </row>
    <row r="153" spans="1:247">
      <c r="A153" s="1052" t="s">
        <v>1001</v>
      </c>
      <c r="B153" s="1053"/>
      <c r="C153" s="1050">
        <v>0</v>
      </c>
      <c r="D153" s="1068">
        <v>10.569558000000001</v>
      </c>
      <c r="E153" s="1046">
        <v>63.04</v>
      </c>
      <c r="F153" s="948">
        <v>0</v>
      </c>
      <c r="G153" s="1047">
        <v>0</v>
      </c>
      <c r="H153" s="1048">
        <v>10.569558000000001</v>
      </c>
      <c r="I153" s="1048">
        <v>63.04</v>
      </c>
      <c r="J153" s="1048">
        <v>0</v>
      </c>
      <c r="K153" s="1049">
        <v>0</v>
      </c>
      <c r="L153" s="1028"/>
      <c r="M153" s="1045"/>
      <c r="N153" s="1050">
        <f t="shared" si="102"/>
        <v>10.569558000000001</v>
      </c>
      <c r="O153" s="1045">
        <f>I153</f>
        <v>63.04</v>
      </c>
      <c r="P153" s="1046">
        <f t="shared" si="112"/>
        <v>0</v>
      </c>
      <c r="Q153" s="1046">
        <f t="shared" si="112"/>
        <v>0</v>
      </c>
      <c r="R153" s="1045">
        <f t="shared" si="109"/>
        <v>0</v>
      </c>
      <c r="S153" s="1046">
        <f t="shared" si="109"/>
        <v>0</v>
      </c>
      <c r="T153" s="1046">
        <f t="shared" si="109"/>
        <v>0</v>
      </c>
      <c r="U153" s="1050">
        <f t="shared" si="100"/>
        <v>52.470441999999998</v>
      </c>
      <c r="V153" s="948"/>
      <c r="W153" s="1045">
        <f t="shared" si="111"/>
        <v>63.04</v>
      </c>
      <c r="X153" s="1046">
        <v>63.04</v>
      </c>
      <c r="Y153" s="1045">
        <f t="shared" si="78"/>
        <v>0</v>
      </c>
      <c r="Z153" s="1051">
        <f t="shared" si="105"/>
        <v>0</v>
      </c>
      <c r="AA153" s="1017"/>
      <c r="AB153" s="952"/>
      <c r="AC153" s="1017"/>
      <c r="AD153" s="1017"/>
      <c r="AE153" s="1017"/>
      <c r="AF153" s="1017"/>
      <c r="AG153" s="1017"/>
      <c r="AH153" s="1017"/>
      <c r="AI153" s="1017"/>
      <c r="AJ153" s="1017"/>
      <c r="AK153" s="1017"/>
      <c r="AL153" s="1017"/>
      <c r="AM153" s="1017"/>
      <c r="AN153" s="1017"/>
      <c r="AO153" s="1017"/>
      <c r="AP153" s="1017"/>
      <c r="AQ153" s="1017"/>
      <c r="AR153" s="1017"/>
      <c r="AS153" s="1017"/>
      <c r="AT153" s="1017"/>
      <c r="AU153" s="1017"/>
      <c r="AV153" s="1017"/>
      <c r="AW153" s="1017"/>
      <c r="AX153" s="1017"/>
      <c r="AY153" s="1017"/>
      <c r="AZ153" s="1017"/>
      <c r="BA153" s="1017"/>
      <c r="BB153" s="1017"/>
      <c r="BC153" s="1017"/>
      <c r="BD153" s="1017"/>
      <c r="BE153" s="1017"/>
      <c r="BF153" s="1017"/>
      <c r="BG153" s="1017"/>
      <c r="BH153" s="1017"/>
      <c r="BI153" s="1017"/>
      <c r="BJ153" s="1017"/>
      <c r="BK153" s="1017"/>
      <c r="BL153" s="1017"/>
      <c r="BM153" s="1017"/>
      <c r="BN153" s="1017"/>
      <c r="BO153" s="1017"/>
      <c r="BP153" s="1017"/>
      <c r="BQ153" s="1017"/>
      <c r="BR153" s="1017"/>
      <c r="BS153" s="1017"/>
      <c r="BT153" s="1017"/>
      <c r="BU153" s="1017"/>
      <c r="BV153" s="1017"/>
      <c r="BW153" s="1017"/>
      <c r="BX153" s="1017"/>
      <c r="BY153" s="1017"/>
      <c r="BZ153" s="1017"/>
      <c r="CA153" s="1017"/>
      <c r="CB153" s="1017"/>
      <c r="CC153" s="1017"/>
      <c r="CD153" s="1017"/>
      <c r="CE153" s="1017"/>
      <c r="CF153" s="1017"/>
      <c r="CG153" s="1017"/>
      <c r="CH153" s="1017"/>
      <c r="CI153" s="1017"/>
      <c r="CJ153" s="1017"/>
      <c r="CK153" s="1017"/>
      <c r="CL153" s="1017"/>
      <c r="CM153" s="1017"/>
      <c r="CN153" s="1017"/>
      <c r="CO153" s="1017"/>
      <c r="CP153" s="1017"/>
      <c r="CQ153" s="1017"/>
      <c r="CR153" s="1017"/>
      <c r="CS153" s="1017"/>
      <c r="CT153" s="1017"/>
      <c r="CU153" s="1017"/>
      <c r="CV153" s="1017"/>
      <c r="CW153" s="1017"/>
      <c r="CX153" s="1017"/>
      <c r="CY153" s="1017"/>
      <c r="CZ153" s="1017"/>
      <c r="DA153" s="1017"/>
      <c r="DB153" s="1017"/>
      <c r="DC153" s="1017"/>
      <c r="DD153" s="1017"/>
      <c r="DE153" s="1017"/>
      <c r="DF153" s="1017"/>
      <c r="DG153" s="1017"/>
      <c r="DH153" s="1017"/>
      <c r="DI153" s="1017"/>
      <c r="DJ153" s="1017"/>
      <c r="DK153" s="1017"/>
      <c r="DL153" s="1017"/>
      <c r="DM153" s="1017"/>
      <c r="DN153" s="1017"/>
      <c r="DO153" s="1017"/>
      <c r="DP153" s="1017"/>
      <c r="DQ153" s="1017"/>
      <c r="DR153" s="1017"/>
      <c r="DS153" s="1017"/>
      <c r="DT153" s="1017"/>
      <c r="DU153" s="1017"/>
      <c r="DV153" s="1017"/>
      <c r="DW153" s="1017"/>
      <c r="DX153" s="1017"/>
      <c r="DY153" s="1017"/>
      <c r="DZ153" s="1017"/>
      <c r="EA153" s="1017"/>
      <c r="EB153" s="1017"/>
      <c r="EC153" s="1017"/>
      <c r="ED153" s="1017"/>
      <c r="EE153" s="1017"/>
      <c r="EF153" s="1017"/>
      <c r="EG153" s="1017"/>
      <c r="EH153" s="1017"/>
      <c r="EI153" s="1017"/>
      <c r="EJ153" s="1017"/>
      <c r="EK153" s="1017"/>
      <c r="EL153" s="1017"/>
      <c r="EM153" s="1017"/>
      <c r="EN153" s="1017"/>
      <c r="EO153" s="1017"/>
      <c r="EP153" s="1017"/>
      <c r="EQ153" s="1017"/>
      <c r="ER153" s="1017"/>
      <c r="ES153" s="1017"/>
      <c r="ET153" s="1017"/>
      <c r="EU153" s="1017"/>
      <c r="EV153" s="1017"/>
      <c r="EW153" s="1017"/>
      <c r="EX153" s="1017"/>
      <c r="EY153" s="1017"/>
      <c r="EZ153" s="1017"/>
      <c r="FA153" s="1017"/>
      <c r="FB153" s="1017"/>
      <c r="FC153" s="1017"/>
      <c r="FD153" s="1017"/>
      <c r="FE153" s="1017"/>
      <c r="FF153" s="1017"/>
      <c r="FG153" s="1017"/>
      <c r="FH153" s="1017"/>
      <c r="FI153" s="1017"/>
      <c r="FJ153" s="1017"/>
      <c r="FK153" s="1017"/>
      <c r="FL153" s="1017"/>
      <c r="FM153" s="1017"/>
      <c r="FN153" s="1017"/>
      <c r="FO153" s="1017"/>
      <c r="FP153" s="1017"/>
      <c r="FQ153" s="1017"/>
      <c r="FR153" s="1017"/>
      <c r="FS153" s="1017"/>
      <c r="FT153" s="1017"/>
      <c r="FU153" s="1017"/>
      <c r="FV153" s="1017"/>
      <c r="FW153" s="1017"/>
      <c r="FX153" s="1017"/>
      <c r="FY153" s="1017"/>
      <c r="FZ153" s="1017"/>
      <c r="GA153" s="1017"/>
      <c r="GB153" s="1017"/>
      <c r="GC153" s="1017"/>
      <c r="GD153" s="1017"/>
      <c r="GE153" s="1017"/>
      <c r="GF153" s="1017"/>
      <c r="GG153" s="1017"/>
      <c r="GH153" s="1017"/>
      <c r="GI153" s="1017"/>
      <c r="GJ153" s="1017"/>
      <c r="GK153" s="1017"/>
      <c r="GL153" s="1017"/>
      <c r="GM153" s="1017"/>
      <c r="GN153" s="1017"/>
      <c r="GO153" s="1017"/>
      <c r="GP153" s="1017"/>
      <c r="GQ153" s="1017"/>
      <c r="GR153" s="1017"/>
      <c r="GS153" s="1017"/>
      <c r="GT153" s="1017"/>
      <c r="GU153" s="1017"/>
      <c r="GV153" s="1017"/>
      <c r="GW153" s="1017"/>
      <c r="GX153" s="1017"/>
      <c r="GY153" s="1017"/>
      <c r="GZ153" s="1017"/>
      <c r="HA153" s="1017"/>
      <c r="HB153" s="1017"/>
      <c r="HC153" s="1017"/>
      <c r="HD153" s="1017"/>
      <c r="HE153" s="1017"/>
      <c r="HF153" s="1017"/>
      <c r="HG153" s="1017"/>
      <c r="HH153" s="1017"/>
      <c r="HI153" s="1017"/>
      <c r="HJ153" s="1017"/>
      <c r="HK153" s="1017"/>
      <c r="HL153" s="1017"/>
      <c r="HM153" s="1017"/>
      <c r="HN153" s="1017"/>
      <c r="HO153" s="1017"/>
      <c r="HP153" s="1017"/>
      <c r="HQ153" s="1017"/>
      <c r="HR153" s="1017"/>
      <c r="HS153" s="1017"/>
      <c r="HT153" s="1017"/>
      <c r="HU153" s="1017"/>
      <c r="HV153" s="1017"/>
      <c r="HW153" s="1017"/>
      <c r="HX153" s="1017"/>
      <c r="HY153" s="1017"/>
      <c r="HZ153" s="1017"/>
      <c r="IA153" s="1017"/>
      <c r="IB153" s="1017"/>
      <c r="IC153" s="1017"/>
      <c r="ID153" s="1017"/>
      <c r="IE153" s="1017"/>
      <c r="IF153" s="1017"/>
      <c r="IG153" s="1017"/>
      <c r="IH153" s="1017"/>
      <c r="II153" s="1017"/>
      <c r="IJ153" s="1017"/>
      <c r="IK153" s="1017"/>
      <c r="IL153" s="1017"/>
      <c r="IM153" s="1017"/>
    </row>
    <row r="154" spans="1:247">
      <c r="A154" s="1052" t="s">
        <v>549</v>
      </c>
      <c r="B154" s="1053"/>
      <c r="C154" s="1050">
        <v>0</v>
      </c>
      <c r="D154" s="1068">
        <v>0</v>
      </c>
      <c r="E154" s="1046">
        <v>32.138272000000001</v>
      </c>
      <c r="F154" s="1046">
        <v>44.781308000000003</v>
      </c>
      <c r="G154" s="1047">
        <v>45.033427000000003</v>
      </c>
      <c r="H154" s="1048">
        <v>0</v>
      </c>
      <c r="I154" s="1048">
        <v>0</v>
      </c>
      <c r="J154" s="1048">
        <v>0</v>
      </c>
      <c r="K154" s="1049">
        <v>0</v>
      </c>
      <c r="L154" s="1028"/>
      <c r="M154" s="1045"/>
      <c r="N154" s="1050">
        <f t="shared" si="102"/>
        <v>0</v>
      </c>
      <c r="O154" s="1045">
        <v>0</v>
      </c>
      <c r="P154" s="1046">
        <v>0</v>
      </c>
      <c r="Q154" s="1046">
        <v>0</v>
      </c>
      <c r="R154" s="1045">
        <f t="shared" si="109"/>
        <v>0</v>
      </c>
      <c r="S154" s="1046">
        <f t="shared" si="109"/>
        <v>0</v>
      </c>
      <c r="T154" s="1046">
        <f t="shared" si="109"/>
        <v>0</v>
      </c>
      <c r="U154" s="1050">
        <f t="shared" si="100"/>
        <v>0</v>
      </c>
      <c r="V154" s="948"/>
      <c r="W154" s="1075">
        <f t="shared" si="111"/>
        <v>0</v>
      </c>
      <c r="X154" s="1048">
        <v>32.138272000000001</v>
      </c>
      <c r="Y154" s="1075">
        <f t="shared" si="78"/>
        <v>32.138272000000001</v>
      </c>
      <c r="Z154" s="1076">
        <f t="shared" si="105"/>
        <v>3.5910556039589155E-2</v>
      </c>
      <c r="AA154" s="1017"/>
      <c r="AB154" s="952"/>
      <c r="AC154" s="1017"/>
      <c r="AD154" s="1017"/>
      <c r="AE154" s="1017"/>
      <c r="AF154" s="1017"/>
      <c r="AG154" s="1017"/>
      <c r="AH154" s="1017"/>
      <c r="AI154" s="1017"/>
      <c r="AJ154" s="1017"/>
      <c r="AK154" s="1017"/>
      <c r="AL154" s="1017"/>
      <c r="AM154" s="1017"/>
      <c r="AN154" s="1017"/>
      <c r="AO154" s="1017"/>
      <c r="AP154" s="1017"/>
      <c r="AQ154" s="1017"/>
      <c r="AR154" s="1017"/>
      <c r="AS154" s="1017"/>
      <c r="AT154" s="1017"/>
      <c r="AU154" s="1017"/>
      <c r="AV154" s="1017"/>
      <c r="AW154" s="1017"/>
      <c r="AX154" s="1017"/>
      <c r="AY154" s="1017"/>
      <c r="AZ154" s="1017"/>
      <c r="BA154" s="1017"/>
      <c r="BB154" s="1017"/>
      <c r="BC154" s="1017"/>
      <c r="BD154" s="1017"/>
      <c r="BE154" s="1017"/>
      <c r="BF154" s="1017"/>
      <c r="BG154" s="1017"/>
      <c r="BH154" s="1017"/>
      <c r="BI154" s="1017"/>
      <c r="BJ154" s="1017"/>
      <c r="BK154" s="1017"/>
      <c r="BL154" s="1017"/>
      <c r="BM154" s="1017"/>
      <c r="BN154" s="1017"/>
      <c r="BO154" s="1017"/>
      <c r="BP154" s="1017"/>
      <c r="BQ154" s="1017"/>
      <c r="BR154" s="1017"/>
      <c r="BS154" s="1017"/>
      <c r="BT154" s="1017"/>
      <c r="BU154" s="1017"/>
      <c r="BV154" s="1017"/>
      <c r="BW154" s="1017"/>
      <c r="BX154" s="1017"/>
      <c r="BY154" s="1017"/>
      <c r="BZ154" s="1017"/>
      <c r="CA154" s="1017"/>
      <c r="CB154" s="1017"/>
      <c r="CC154" s="1017"/>
      <c r="CD154" s="1017"/>
      <c r="CE154" s="1017"/>
      <c r="CF154" s="1017"/>
      <c r="CG154" s="1017"/>
      <c r="CH154" s="1017"/>
      <c r="CI154" s="1017"/>
      <c r="CJ154" s="1017"/>
      <c r="CK154" s="1017"/>
      <c r="CL154" s="1017"/>
      <c r="CM154" s="1017"/>
      <c r="CN154" s="1017"/>
      <c r="CO154" s="1017"/>
      <c r="CP154" s="1017"/>
      <c r="CQ154" s="1017"/>
      <c r="CR154" s="1017"/>
      <c r="CS154" s="1017"/>
      <c r="CT154" s="1017"/>
      <c r="CU154" s="1017"/>
      <c r="CV154" s="1017"/>
      <c r="CW154" s="1017"/>
      <c r="CX154" s="1017"/>
      <c r="CY154" s="1017"/>
      <c r="CZ154" s="1017"/>
      <c r="DA154" s="1017"/>
      <c r="DB154" s="1017"/>
      <c r="DC154" s="1017"/>
      <c r="DD154" s="1017"/>
      <c r="DE154" s="1017"/>
      <c r="DF154" s="1017"/>
      <c r="DG154" s="1017"/>
      <c r="DH154" s="1017"/>
      <c r="DI154" s="1017"/>
      <c r="DJ154" s="1017"/>
      <c r="DK154" s="1017"/>
      <c r="DL154" s="1017"/>
      <c r="DM154" s="1017"/>
      <c r="DN154" s="1017"/>
      <c r="DO154" s="1017"/>
      <c r="DP154" s="1017"/>
      <c r="DQ154" s="1017"/>
      <c r="DR154" s="1017"/>
      <c r="DS154" s="1017"/>
      <c r="DT154" s="1017"/>
      <c r="DU154" s="1017"/>
      <c r="DV154" s="1017"/>
      <c r="DW154" s="1017"/>
      <c r="DX154" s="1017"/>
      <c r="DY154" s="1017"/>
      <c r="DZ154" s="1017"/>
      <c r="EA154" s="1017"/>
      <c r="EB154" s="1017"/>
      <c r="EC154" s="1017"/>
      <c r="ED154" s="1017"/>
      <c r="EE154" s="1017"/>
      <c r="EF154" s="1017"/>
      <c r="EG154" s="1017"/>
      <c r="EH154" s="1017"/>
      <c r="EI154" s="1017"/>
      <c r="EJ154" s="1017"/>
      <c r="EK154" s="1017"/>
      <c r="EL154" s="1017"/>
      <c r="EM154" s="1017"/>
      <c r="EN154" s="1017"/>
      <c r="EO154" s="1017"/>
      <c r="EP154" s="1017"/>
      <c r="EQ154" s="1017"/>
      <c r="ER154" s="1017"/>
      <c r="ES154" s="1017"/>
      <c r="ET154" s="1017"/>
      <c r="EU154" s="1017"/>
      <c r="EV154" s="1017"/>
      <c r="EW154" s="1017"/>
      <c r="EX154" s="1017"/>
      <c r="EY154" s="1017"/>
      <c r="EZ154" s="1017"/>
      <c r="FA154" s="1017"/>
      <c r="FB154" s="1017"/>
      <c r="FC154" s="1017"/>
      <c r="FD154" s="1017"/>
      <c r="FE154" s="1017"/>
      <c r="FF154" s="1017"/>
      <c r="FG154" s="1017"/>
      <c r="FH154" s="1017"/>
      <c r="FI154" s="1017"/>
      <c r="FJ154" s="1017"/>
      <c r="FK154" s="1017"/>
      <c r="FL154" s="1017"/>
      <c r="FM154" s="1017"/>
      <c r="FN154" s="1017"/>
      <c r="FO154" s="1017"/>
      <c r="FP154" s="1017"/>
      <c r="FQ154" s="1017"/>
      <c r="FR154" s="1017"/>
      <c r="FS154" s="1017"/>
      <c r="FT154" s="1017"/>
      <c r="FU154" s="1017"/>
      <c r="FV154" s="1017"/>
      <c r="FW154" s="1017"/>
      <c r="FX154" s="1017"/>
      <c r="FY154" s="1017"/>
      <c r="FZ154" s="1017"/>
      <c r="GA154" s="1017"/>
      <c r="GB154" s="1017"/>
      <c r="GC154" s="1017"/>
      <c r="GD154" s="1017"/>
      <c r="GE154" s="1017"/>
      <c r="GF154" s="1017"/>
      <c r="GG154" s="1017"/>
      <c r="GH154" s="1017"/>
      <c r="GI154" s="1017"/>
      <c r="GJ154" s="1017"/>
      <c r="GK154" s="1017"/>
      <c r="GL154" s="1017"/>
      <c r="GM154" s="1017"/>
      <c r="GN154" s="1017"/>
      <c r="GO154" s="1017"/>
      <c r="GP154" s="1017"/>
      <c r="GQ154" s="1017"/>
      <c r="GR154" s="1017"/>
      <c r="GS154" s="1017"/>
      <c r="GT154" s="1017"/>
      <c r="GU154" s="1017"/>
      <c r="GV154" s="1017"/>
      <c r="GW154" s="1017"/>
      <c r="GX154" s="1017"/>
      <c r="GY154" s="1017"/>
      <c r="GZ154" s="1017"/>
      <c r="HA154" s="1017"/>
      <c r="HB154" s="1017"/>
      <c r="HC154" s="1017"/>
      <c r="HD154" s="1017"/>
      <c r="HE154" s="1017"/>
      <c r="HF154" s="1017"/>
      <c r="HG154" s="1017"/>
      <c r="HH154" s="1017"/>
      <c r="HI154" s="1017"/>
      <c r="HJ154" s="1017"/>
      <c r="HK154" s="1017"/>
      <c r="HL154" s="1017"/>
      <c r="HM154" s="1017"/>
      <c r="HN154" s="1017"/>
      <c r="HO154" s="1017"/>
      <c r="HP154" s="1017"/>
      <c r="HQ154" s="1017"/>
      <c r="HR154" s="1017"/>
      <c r="HS154" s="1017"/>
      <c r="HT154" s="1017"/>
      <c r="HU154" s="1017"/>
      <c r="HV154" s="1017"/>
      <c r="HW154" s="1017"/>
      <c r="HX154" s="1017"/>
      <c r="HY154" s="1017"/>
      <c r="HZ154" s="1017"/>
      <c r="IA154" s="1017"/>
      <c r="IB154" s="1017"/>
      <c r="IC154" s="1017"/>
      <c r="ID154" s="1017"/>
      <c r="IE154" s="1017"/>
      <c r="IF154" s="1017"/>
      <c r="IG154" s="1017"/>
      <c r="IH154" s="1017"/>
      <c r="II154" s="1017"/>
      <c r="IJ154" s="1017"/>
      <c r="IK154" s="1017"/>
      <c r="IL154" s="1017"/>
      <c r="IM154" s="1017"/>
    </row>
    <row r="155" spans="1:247">
      <c r="A155" s="1052" t="s">
        <v>432</v>
      </c>
      <c r="B155" s="1053"/>
      <c r="C155" s="1050">
        <f>C148-SUM(C149:C154)</f>
        <v>129.00590077999999</v>
      </c>
      <c r="D155" s="1045">
        <f t="shared" ref="D155:G155" si="113">D148-SUM(D149:D154)</f>
        <v>153.05844200000007</v>
      </c>
      <c r="E155" s="1046">
        <f t="shared" si="113"/>
        <v>109.26272800000001</v>
      </c>
      <c r="F155" s="1046">
        <f t="shared" si="113"/>
        <v>102.46094599999998</v>
      </c>
      <c r="G155" s="1047">
        <f t="shared" si="113"/>
        <v>98.289113999999984</v>
      </c>
      <c r="H155" s="1048">
        <v>268.62544200000008</v>
      </c>
      <c r="I155" s="1048">
        <v>166.40100000000001</v>
      </c>
      <c r="J155" s="1048">
        <v>172.24225399999997</v>
      </c>
      <c r="K155" s="1049">
        <v>168.322541</v>
      </c>
      <c r="L155" s="1028"/>
      <c r="M155" s="1045">
        <v>-91</v>
      </c>
      <c r="N155" s="1050">
        <f t="shared" si="102"/>
        <v>177.62544200000008</v>
      </c>
      <c r="O155" s="1045">
        <v>188.05873552246743</v>
      </c>
      <c r="P155" s="1046">
        <v>200.40004179378263</v>
      </c>
      <c r="Q155" s="1046">
        <v>212.68748095973919</v>
      </c>
      <c r="R155" s="1045">
        <f t="shared" si="109"/>
        <v>-21.657735522467419</v>
      </c>
      <c r="S155" s="1046">
        <f t="shared" si="109"/>
        <v>-28.15778779378266</v>
      </c>
      <c r="T155" s="1046">
        <f t="shared" si="109"/>
        <v>-44.364939959739189</v>
      </c>
      <c r="U155" s="1050">
        <f t="shared" si="100"/>
        <v>10.433293522467352</v>
      </c>
      <c r="V155" s="948"/>
      <c r="W155" s="1045">
        <f>O155</f>
        <v>188.05873552246743</v>
      </c>
      <c r="X155" s="1046">
        <v>109.26272800000001</v>
      </c>
      <c r="Y155" s="1045">
        <f t="shared" si="78"/>
        <v>-78.79600752246742</v>
      </c>
      <c r="Z155" s="1051">
        <f t="shared" si="105"/>
        <v>-8.8044822193036845E-2</v>
      </c>
      <c r="AA155" s="1017"/>
      <c r="AB155" s="952"/>
      <c r="AC155" s="1017"/>
      <c r="AD155" s="1017"/>
      <c r="AE155" s="1017"/>
      <c r="AF155" s="1017"/>
      <c r="AG155" s="1017"/>
      <c r="AH155" s="1017"/>
      <c r="AI155" s="1017"/>
      <c r="AJ155" s="1017"/>
      <c r="AK155" s="1017"/>
      <c r="AL155" s="1017"/>
      <c r="AM155" s="1017"/>
      <c r="AN155" s="1017"/>
      <c r="AO155" s="1017"/>
      <c r="AP155" s="1017"/>
      <c r="AQ155" s="1017"/>
      <c r="AR155" s="1017"/>
      <c r="AS155" s="1017"/>
      <c r="AT155" s="1017"/>
      <c r="AU155" s="1017"/>
      <c r="AV155" s="1017"/>
      <c r="AW155" s="1017"/>
      <c r="AX155" s="1017"/>
      <c r="AY155" s="1017"/>
      <c r="AZ155" s="1017"/>
      <c r="BA155" s="1017"/>
      <c r="BB155" s="1017"/>
      <c r="BC155" s="1017"/>
      <c r="BD155" s="1017"/>
      <c r="BE155" s="1017"/>
      <c r="BF155" s="1017"/>
      <c r="BG155" s="1017"/>
      <c r="BH155" s="1017"/>
      <c r="BI155" s="1017"/>
      <c r="BJ155" s="1017"/>
      <c r="BK155" s="1017"/>
      <c r="BL155" s="1017"/>
      <c r="BM155" s="1017"/>
      <c r="BN155" s="1017"/>
      <c r="BO155" s="1017"/>
      <c r="BP155" s="1017"/>
      <c r="BQ155" s="1017"/>
      <c r="BR155" s="1017"/>
      <c r="BS155" s="1017"/>
      <c r="BT155" s="1017"/>
      <c r="BU155" s="1017"/>
      <c r="BV155" s="1017"/>
      <c r="BW155" s="1017"/>
      <c r="BX155" s="1017"/>
      <c r="BY155" s="1017"/>
      <c r="BZ155" s="1017"/>
      <c r="CA155" s="1017"/>
      <c r="CB155" s="1017"/>
      <c r="CC155" s="1017"/>
      <c r="CD155" s="1017"/>
      <c r="CE155" s="1017"/>
      <c r="CF155" s="1017"/>
      <c r="CG155" s="1017"/>
      <c r="CH155" s="1017"/>
      <c r="CI155" s="1017"/>
      <c r="CJ155" s="1017"/>
      <c r="CK155" s="1017"/>
      <c r="CL155" s="1017"/>
      <c r="CM155" s="1017"/>
      <c r="CN155" s="1017"/>
      <c r="CO155" s="1017"/>
      <c r="CP155" s="1017"/>
      <c r="CQ155" s="1017"/>
      <c r="CR155" s="1017"/>
      <c r="CS155" s="1017"/>
      <c r="CT155" s="1017"/>
      <c r="CU155" s="1017"/>
      <c r="CV155" s="1017"/>
      <c r="CW155" s="1017"/>
      <c r="CX155" s="1017"/>
      <c r="CY155" s="1017"/>
      <c r="CZ155" s="1017"/>
      <c r="DA155" s="1017"/>
      <c r="DB155" s="1017"/>
      <c r="DC155" s="1017"/>
      <c r="DD155" s="1017"/>
      <c r="DE155" s="1017"/>
      <c r="DF155" s="1017"/>
      <c r="DG155" s="1017"/>
      <c r="DH155" s="1017"/>
      <c r="DI155" s="1017"/>
      <c r="DJ155" s="1017"/>
      <c r="DK155" s="1017"/>
      <c r="DL155" s="1017"/>
      <c r="DM155" s="1017"/>
      <c r="DN155" s="1017"/>
      <c r="DO155" s="1017"/>
      <c r="DP155" s="1017"/>
      <c r="DQ155" s="1017"/>
      <c r="DR155" s="1017"/>
      <c r="DS155" s="1017"/>
      <c r="DT155" s="1017"/>
      <c r="DU155" s="1017"/>
      <c r="DV155" s="1017"/>
      <c r="DW155" s="1017"/>
      <c r="DX155" s="1017"/>
      <c r="DY155" s="1017"/>
      <c r="DZ155" s="1017"/>
      <c r="EA155" s="1017"/>
      <c r="EB155" s="1017"/>
      <c r="EC155" s="1017"/>
      <c r="ED155" s="1017"/>
      <c r="EE155" s="1017"/>
      <c r="EF155" s="1017"/>
      <c r="EG155" s="1017"/>
      <c r="EH155" s="1017"/>
      <c r="EI155" s="1017"/>
      <c r="EJ155" s="1017"/>
      <c r="EK155" s="1017"/>
      <c r="EL155" s="1017"/>
      <c r="EM155" s="1017"/>
      <c r="EN155" s="1017"/>
      <c r="EO155" s="1017"/>
      <c r="EP155" s="1017"/>
      <c r="EQ155" s="1017"/>
      <c r="ER155" s="1017"/>
      <c r="ES155" s="1017"/>
      <c r="ET155" s="1017"/>
      <c r="EU155" s="1017"/>
      <c r="EV155" s="1017"/>
      <c r="EW155" s="1017"/>
      <c r="EX155" s="1017"/>
      <c r="EY155" s="1017"/>
      <c r="EZ155" s="1017"/>
      <c r="FA155" s="1017"/>
      <c r="FB155" s="1017"/>
      <c r="FC155" s="1017"/>
      <c r="FD155" s="1017"/>
      <c r="FE155" s="1017"/>
      <c r="FF155" s="1017"/>
      <c r="FG155" s="1017"/>
      <c r="FH155" s="1017"/>
      <c r="FI155" s="1017"/>
      <c r="FJ155" s="1017"/>
      <c r="FK155" s="1017"/>
      <c r="FL155" s="1017"/>
      <c r="FM155" s="1017"/>
      <c r="FN155" s="1017"/>
      <c r="FO155" s="1017"/>
      <c r="FP155" s="1017"/>
      <c r="FQ155" s="1017"/>
      <c r="FR155" s="1017"/>
      <c r="FS155" s="1017"/>
      <c r="FT155" s="1017"/>
      <c r="FU155" s="1017"/>
      <c r="FV155" s="1017"/>
      <c r="FW155" s="1017"/>
      <c r="FX155" s="1017"/>
      <c r="FY155" s="1017"/>
      <c r="FZ155" s="1017"/>
      <c r="GA155" s="1017"/>
      <c r="GB155" s="1017"/>
      <c r="GC155" s="1017"/>
      <c r="GD155" s="1017"/>
      <c r="GE155" s="1017"/>
      <c r="GF155" s="1017"/>
      <c r="GG155" s="1017"/>
      <c r="GH155" s="1017"/>
      <c r="GI155" s="1017"/>
      <c r="GJ155" s="1017"/>
      <c r="GK155" s="1017"/>
      <c r="GL155" s="1017"/>
      <c r="GM155" s="1017"/>
      <c r="GN155" s="1017"/>
      <c r="GO155" s="1017"/>
      <c r="GP155" s="1017"/>
      <c r="GQ155" s="1017"/>
      <c r="GR155" s="1017"/>
      <c r="GS155" s="1017"/>
      <c r="GT155" s="1017"/>
      <c r="GU155" s="1017"/>
      <c r="GV155" s="1017"/>
      <c r="GW155" s="1017"/>
      <c r="GX155" s="1017"/>
      <c r="GY155" s="1017"/>
      <c r="GZ155" s="1017"/>
      <c r="HA155" s="1017"/>
      <c r="HB155" s="1017"/>
      <c r="HC155" s="1017"/>
      <c r="HD155" s="1017"/>
      <c r="HE155" s="1017"/>
      <c r="HF155" s="1017"/>
      <c r="HG155" s="1017"/>
      <c r="HH155" s="1017"/>
      <c r="HI155" s="1017"/>
      <c r="HJ155" s="1017"/>
      <c r="HK155" s="1017"/>
      <c r="HL155" s="1017"/>
      <c r="HM155" s="1017"/>
      <c r="HN155" s="1017"/>
      <c r="HO155" s="1017"/>
      <c r="HP155" s="1017"/>
      <c r="HQ155" s="1017"/>
      <c r="HR155" s="1017"/>
      <c r="HS155" s="1017"/>
      <c r="HT155" s="1017"/>
      <c r="HU155" s="1017"/>
      <c r="HV155" s="1017"/>
      <c r="HW155" s="1017"/>
      <c r="HX155" s="1017"/>
      <c r="HY155" s="1017"/>
      <c r="HZ155" s="1017"/>
      <c r="IA155" s="1017"/>
      <c r="IB155" s="1017"/>
      <c r="IC155" s="1017"/>
      <c r="ID155" s="1017"/>
      <c r="IE155" s="1017"/>
      <c r="IF155" s="1017"/>
      <c r="IG155" s="1017"/>
      <c r="IH155" s="1017"/>
      <c r="II155" s="1017"/>
      <c r="IJ155" s="1017"/>
      <c r="IK155" s="1017"/>
      <c r="IL155" s="1017"/>
      <c r="IM155" s="1017"/>
    </row>
    <row r="156" spans="1:247" s="957" customFormat="1">
      <c r="A156" s="790" t="s">
        <v>1002</v>
      </c>
      <c r="B156" s="1060" t="s">
        <v>1003</v>
      </c>
      <c r="C156" s="1034">
        <v>1649.6280000000002</v>
      </c>
      <c r="D156" s="1066">
        <v>1603.876</v>
      </c>
      <c r="E156" s="1062">
        <v>1856.7830000000001</v>
      </c>
      <c r="F156" s="1062">
        <v>2280.87</v>
      </c>
      <c r="G156" s="1063">
        <v>2515.386</v>
      </c>
      <c r="H156" s="1064">
        <f>SUM(H157:H175)</f>
        <v>1687.2991019955975</v>
      </c>
      <c r="I156" s="1064">
        <f t="shared" ref="I156:K156" si="114">SUM(I157:I175)</f>
        <v>1897.3405321976575</v>
      </c>
      <c r="J156" s="1064">
        <f t="shared" si="114"/>
        <v>2014.5806873722497</v>
      </c>
      <c r="K156" s="1065">
        <f t="shared" si="114"/>
        <v>2204.5868648825235</v>
      </c>
      <c r="L156" s="1028"/>
      <c r="M156" s="1066">
        <f>SUM(M157:M175)</f>
        <v>0</v>
      </c>
      <c r="N156" s="1034">
        <f t="shared" si="102"/>
        <v>1687.2991019955975</v>
      </c>
      <c r="O156" s="1066">
        <f t="shared" ref="O156:T156" si="115">SUM(O157:O175)</f>
        <v>1740.1810856382272</v>
      </c>
      <c r="P156" s="1062">
        <f t="shared" si="115"/>
        <v>1805.9365004653828</v>
      </c>
      <c r="Q156" s="1062">
        <f t="shared" si="115"/>
        <v>1905.8712536466846</v>
      </c>
      <c r="R156" s="1066">
        <f t="shared" si="115"/>
        <v>157.15944655943011</v>
      </c>
      <c r="S156" s="1062">
        <f t="shared" si="115"/>
        <v>208.64418690686719</v>
      </c>
      <c r="T156" s="1062">
        <f t="shared" si="115"/>
        <v>298.71561123583831</v>
      </c>
      <c r="U156" s="1034">
        <f t="shared" si="100"/>
        <v>52.881983642629621</v>
      </c>
      <c r="V156" s="1100"/>
      <c r="W156" s="1066">
        <f>SUM(W157:W175)</f>
        <v>1740.1810856382272</v>
      </c>
      <c r="X156" s="1062">
        <f>SUM(X157:X175)</f>
        <v>1874.1873280200005</v>
      </c>
      <c r="Y156" s="1066">
        <f>SUM(Y157:Y175)</f>
        <v>134.00624238177338</v>
      </c>
      <c r="Z156" s="1067">
        <f t="shared" si="105"/>
        <v>0.14973545175999006</v>
      </c>
      <c r="AA156" s="1042"/>
      <c r="AB156" s="952"/>
      <c r="AC156" s="1042"/>
      <c r="AD156" s="1042"/>
      <c r="AE156" s="1042"/>
      <c r="AF156" s="1042"/>
      <c r="AG156" s="1042"/>
      <c r="AH156" s="1042"/>
      <c r="AI156" s="1042"/>
      <c r="AJ156" s="1042"/>
      <c r="AK156" s="1042"/>
      <c r="AL156" s="1042"/>
      <c r="AM156" s="1042"/>
      <c r="AN156" s="1042"/>
      <c r="AO156" s="1042"/>
      <c r="AP156" s="1042"/>
      <c r="AQ156" s="1042"/>
      <c r="AR156" s="1042"/>
      <c r="AS156" s="1042"/>
      <c r="AT156" s="1042"/>
      <c r="AU156" s="1042"/>
      <c r="AV156" s="1042"/>
      <c r="AW156" s="1042"/>
      <c r="AX156" s="1042"/>
      <c r="AY156" s="1042"/>
      <c r="AZ156" s="1042"/>
      <c r="BA156" s="1042"/>
      <c r="BB156" s="1042"/>
      <c r="BC156" s="1042"/>
      <c r="BD156" s="1042"/>
      <c r="BE156" s="1042"/>
      <c r="BF156" s="1042"/>
      <c r="BG156" s="1042"/>
      <c r="BH156" s="1042"/>
      <c r="BI156" s="1042"/>
      <c r="BJ156" s="1042"/>
      <c r="BK156" s="1042"/>
      <c r="BL156" s="1042"/>
      <c r="BM156" s="1042"/>
      <c r="BN156" s="1042"/>
      <c r="BO156" s="1042"/>
      <c r="BP156" s="1042"/>
      <c r="BQ156" s="1042"/>
      <c r="BR156" s="1042"/>
      <c r="BS156" s="1042"/>
      <c r="BT156" s="1042"/>
      <c r="BU156" s="1042"/>
      <c r="BV156" s="1042"/>
      <c r="BW156" s="1042"/>
      <c r="BX156" s="1042"/>
      <c r="BY156" s="1042"/>
      <c r="BZ156" s="1042"/>
      <c r="CA156" s="1042"/>
      <c r="CB156" s="1042"/>
      <c r="CC156" s="1042"/>
      <c r="CD156" s="1042"/>
      <c r="CE156" s="1042"/>
      <c r="CF156" s="1042"/>
      <c r="CG156" s="1042"/>
      <c r="CH156" s="1042"/>
      <c r="CI156" s="1042"/>
      <c r="CJ156" s="1042"/>
      <c r="CK156" s="1042"/>
      <c r="CL156" s="1042"/>
      <c r="CM156" s="1042"/>
      <c r="CN156" s="1042"/>
      <c r="CO156" s="1042"/>
      <c r="CP156" s="1042"/>
      <c r="CQ156" s="1042"/>
      <c r="CR156" s="1042"/>
      <c r="CS156" s="1042"/>
      <c r="CT156" s="1042"/>
      <c r="CU156" s="1042"/>
      <c r="CV156" s="1042"/>
      <c r="CW156" s="1042"/>
      <c r="CX156" s="1042"/>
      <c r="CY156" s="1042"/>
      <c r="CZ156" s="1042"/>
      <c r="DA156" s="1042"/>
      <c r="DB156" s="1042"/>
      <c r="DC156" s="1042"/>
      <c r="DD156" s="1042"/>
      <c r="DE156" s="1042"/>
      <c r="DF156" s="1042"/>
      <c r="DG156" s="1042"/>
      <c r="DH156" s="1042"/>
      <c r="DI156" s="1042"/>
      <c r="DJ156" s="1042"/>
      <c r="DK156" s="1042"/>
      <c r="DL156" s="1042"/>
      <c r="DM156" s="1042"/>
      <c r="DN156" s="1042"/>
      <c r="DO156" s="1042"/>
      <c r="DP156" s="1042"/>
      <c r="DQ156" s="1042"/>
      <c r="DR156" s="1042"/>
      <c r="DS156" s="1042"/>
      <c r="DT156" s="1042"/>
      <c r="DU156" s="1042"/>
      <c r="DV156" s="1042"/>
      <c r="DW156" s="1042"/>
      <c r="DX156" s="1042"/>
      <c r="DY156" s="1042"/>
      <c r="DZ156" s="1042"/>
      <c r="EA156" s="1042"/>
      <c r="EB156" s="1042"/>
      <c r="EC156" s="1042"/>
      <c r="ED156" s="1042"/>
      <c r="EE156" s="1042"/>
      <c r="EF156" s="1042"/>
      <c r="EG156" s="1042"/>
      <c r="EH156" s="1042"/>
      <c r="EI156" s="1042"/>
      <c r="EJ156" s="1042"/>
      <c r="EK156" s="1042"/>
      <c r="EL156" s="1042"/>
      <c r="EM156" s="1042"/>
      <c r="EN156" s="1042"/>
      <c r="EO156" s="1042"/>
      <c r="EP156" s="1042"/>
      <c r="EQ156" s="1042"/>
      <c r="ER156" s="1042"/>
      <c r="ES156" s="1042"/>
      <c r="ET156" s="1042"/>
      <c r="EU156" s="1042"/>
      <c r="EV156" s="1042"/>
      <c r="EW156" s="1042"/>
      <c r="EX156" s="1042"/>
      <c r="EY156" s="1042"/>
      <c r="EZ156" s="1042"/>
      <c r="FA156" s="1042"/>
      <c r="FB156" s="1042"/>
      <c r="FC156" s="1042"/>
      <c r="FD156" s="1042"/>
      <c r="FE156" s="1042"/>
      <c r="FF156" s="1042"/>
      <c r="FG156" s="1042"/>
      <c r="FH156" s="1042"/>
      <c r="FI156" s="1042"/>
      <c r="FJ156" s="1042"/>
      <c r="FK156" s="1042"/>
      <c r="FL156" s="1042"/>
      <c r="FM156" s="1042"/>
      <c r="FN156" s="1042"/>
      <c r="FO156" s="1042"/>
      <c r="FP156" s="1042"/>
      <c r="FQ156" s="1042"/>
      <c r="FR156" s="1042"/>
      <c r="FS156" s="1042"/>
      <c r="FT156" s="1042"/>
      <c r="FU156" s="1042"/>
      <c r="FV156" s="1042"/>
      <c r="FW156" s="1042"/>
      <c r="FX156" s="1042"/>
      <c r="FY156" s="1042"/>
      <c r="FZ156" s="1042"/>
      <c r="GA156" s="1042"/>
      <c r="GB156" s="1042"/>
      <c r="GC156" s="1042"/>
      <c r="GD156" s="1042"/>
      <c r="GE156" s="1042"/>
      <c r="GF156" s="1042"/>
      <c r="GG156" s="1042"/>
      <c r="GH156" s="1042"/>
      <c r="GI156" s="1042"/>
      <c r="GJ156" s="1042"/>
      <c r="GK156" s="1042"/>
      <c r="GL156" s="1042"/>
      <c r="GM156" s="1042"/>
      <c r="GN156" s="1042"/>
      <c r="GO156" s="1042"/>
      <c r="GP156" s="1042"/>
      <c r="GQ156" s="1042"/>
      <c r="GR156" s="1042"/>
      <c r="GS156" s="1042"/>
      <c r="GT156" s="1042"/>
      <c r="GU156" s="1042"/>
      <c r="GV156" s="1042"/>
      <c r="GW156" s="1042"/>
      <c r="GX156" s="1042"/>
      <c r="GY156" s="1042"/>
      <c r="GZ156" s="1042"/>
      <c r="HA156" s="1042"/>
      <c r="HB156" s="1042"/>
      <c r="HC156" s="1042"/>
      <c r="HD156" s="1042"/>
      <c r="HE156" s="1042"/>
      <c r="HF156" s="1042"/>
      <c r="HG156" s="1042"/>
      <c r="HH156" s="1042"/>
      <c r="HI156" s="1042"/>
      <c r="HJ156" s="1042"/>
      <c r="HK156" s="1042"/>
      <c r="HL156" s="1042"/>
      <c r="HM156" s="1042"/>
      <c r="HN156" s="1042"/>
      <c r="HO156" s="1042"/>
      <c r="HP156" s="1042"/>
      <c r="HQ156" s="1042"/>
      <c r="HR156" s="1042"/>
      <c r="HS156" s="1042"/>
      <c r="HT156" s="1042"/>
      <c r="HU156" s="1042"/>
      <c r="HV156" s="1042"/>
      <c r="HW156" s="1042"/>
      <c r="HX156" s="1042"/>
      <c r="HY156" s="1042"/>
      <c r="HZ156" s="1042"/>
      <c r="IA156" s="1042"/>
      <c r="IB156" s="1042"/>
      <c r="IC156" s="1042"/>
      <c r="ID156" s="1042"/>
      <c r="IE156" s="1042"/>
      <c r="IF156" s="1042"/>
      <c r="IG156" s="1042"/>
      <c r="IH156" s="1042"/>
      <c r="II156" s="1042"/>
      <c r="IJ156" s="1042"/>
      <c r="IK156" s="1042"/>
      <c r="IL156" s="1042"/>
      <c r="IM156" s="1042"/>
    </row>
    <row r="157" spans="1:247">
      <c r="A157" s="1052" t="s">
        <v>953</v>
      </c>
      <c r="B157" s="1060"/>
      <c r="C157" s="1050">
        <v>1.3884433</v>
      </c>
      <c r="D157" s="1045">
        <v>4.9199999999999875</v>
      </c>
      <c r="E157" s="1046">
        <v>117.743543</v>
      </c>
      <c r="F157" s="1046">
        <v>368.57078200000001</v>
      </c>
      <c r="G157" s="1047">
        <v>391.663028</v>
      </c>
      <c r="H157" s="1048">
        <v>99.772119772753257</v>
      </c>
      <c r="I157" s="1048">
        <v>101.75832926500127</v>
      </c>
      <c r="J157" s="1048">
        <v>103.54470328254394</v>
      </c>
      <c r="K157" s="1049">
        <v>105.68638683748628</v>
      </c>
      <c r="L157" s="1028"/>
      <c r="M157" s="1045"/>
      <c r="N157" s="1050">
        <f t="shared" si="102"/>
        <v>99.772119772753257</v>
      </c>
      <c r="O157" s="1045">
        <f>I157</f>
        <v>101.75832926500127</v>
      </c>
      <c r="P157" s="1046">
        <f t="shared" ref="P157:Q158" si="116">J157</f>
        <v>103.54470328254394</v>
      </c>
      <c r="Q157" s="1046">
        <f t="shared" si="116"/>
        <v>105.68638683748628</v>
      </c>
      <c r="R157" s="1045">
        <f t="shared" ref="R157:T172" si="117">I157-O157</f>
        <v>0</v>
      </c>
      <c r="S157" s="1046">
        <f t="shared" si="117"/>
        <v>0</v>
      </c>
      <c r="T157" s="1046">
        <f t="shared" si="117"/>
        <v>0</v>
      </c>
      <c r="U157" s="1050">
        <f t="shared" si="100"/>
        <v>1.9862094922480082</v>
      </c>
      <c r="V157" s="948"/>
      <c r="W157" s="1045">
        <f>O157</f>
        <v>101.75832926500127</v>
      </c>
      <c r="X157" s="1046">
        <v>117.743543</v>
      </c>
      <c r="Y157" s="1045">
        <f t="shared" si="78"/>
        <v>15.985213734998737</v>
      </c>
      <c r="Z157" s="1051">
        <f t="shared" si="105"/>
        <v>1.7861505236979835E-2</v>
      </c>
      <c r="AA157" s="1017"/>
      <c r="AB157" s="952"/>
      <c r="AC157" s="1017"/>
      <c r="AD157" s="1017"/>
      <c r="AE157" s="1017"/>
      <c r="AF157" s="1017"/>
      <c r="AG157" s="1017"/>
      <c r="AH157" s="1017"/>
      <c r="AI157" s="1017"/>
      <c r="AJ157" s="1017"/>
      <c r="AK157" s="1017"/>
      <c r="AL157" s="1017"/>
      <c r="AM157" s="1017"/>
      <c r="AN157" s="1017"/>
      <c r="AO157" s="1017"/>
      <c r="AP157" s="1017"/>
      <c r="AQ157" s="1017"/>
      <c r="AR157" s="1017"/>
      <c r="AS157" s="1017"/>
      <c r="AT157" s="1017"/>
      <c r="AU157" s="1017"/>
      <c r="AV157" s="1017"/>
      <c r="AW157" s="1017"/>
      <c r="AX157" s="1017"/>
      <c r="AY157" s="1017"/>
      <c r="AZ157" s="1017"/>
      <c r="BA157" s="1017"/>
      <c r="BB157" s="1017"/>
      <c r="BC157" s="1017"/>
      <c r="BD157" s="1017"/>
      <c r="BE157" s="1017"/>
      <c r="BF157" s="1017"/>
      <c r="BG157" s="1017"/>
      <c r="BH157" s="1017"/>
      <c r="BI157" s="1017"/>
      <c r="BJ157" s="1017"/>
      <c r="BK157" s="1017"/>
      <c r="BL157" s="1017"/>
      <c r="BM157" s="1017"/>
      <c r="BN157" s="1017"/>
      <c r="BO157" s="1017"/>
      <c r="BP157" s="1017"/>
      <c r="BQ157" s="1017"/>
      <c r="BR157" s="1017"/>
      <c r="BS157" s="1017"/>
      <c r="BT157" s="1017"/>
      <c r="BU157" s="1017"/>
      <c r="BV157" s="1017"/>
      <c r="BW157" s="1017"/>
      <c r="BX157" s="1017"/>
      <c r="BY157" s="1017"/>
      <c r="BZ157" s="1017"/>
      <c r="CA157" s="1017"/>
      <c r="CB157" s="1017"/>
      <c r="CC157" s="1017"/>
      <c r="CD157" s="1017"/>
      <c r="CE157" s="1017"/>
      <c r="CF157" s="1017"/>
      <c r="CG157" s="1017"/>
      <c r="CH157" s="1017"/>
      <c r="CI157" s="1017"/>
      <c r="CJ157" s="1017"/>
      <c r="CK157" s="1017"/>
      <c r="CL157" s="1017"/>
      <c r="CM157" s="1017"/>
      <c r="CN157" s="1017"/>
      <c r="CO157" s="1017"/>
      <c r="CP157" s="1017"/>
      <c r="CQ157" s="1017"/>
      <c r="CR157" s="1017"/>
      <c r="CS157" s="1017"/>
      <c r="CT157" s="1017"/>
      <c r="CU157" s="1017"/>
      <c r="CV157" s="1017"/>
      <c r="CW157" s="1017"/>
      <c r="CX157" s="1017"/>
      <c r="CY157" s="1017"/>
      <c r="CZ157" s="1017"/>
      <c r="DA157" s="1017"/>
      <c r="DB157" s="1017"/>
      <c r="DC157" s="1017"/>
      <c r="DD157" s="1017"/>
      <c r="DE157" s="1017"/>
      <c r="DF157" s="1017"/>
      <c r="DG157" s="1017"/>
      <c r="DH157" s="1017"/>
      <c r="DI157" s="1017"/>
      <c r="DJ157" s="1017"/>
      <c r="DK157" s="1017"/>
      <c r="DL157" s="1017"/>
      <c r="DM157" s="1017"/>
      <c r="DN157" s="1017"/>
      <c r="DO157" s="1017"/>
      <c r="DP157" s="1017"/>
      <c r="DQ157" s="1017"/>
      <c r="DR157" s="1017"/>
      <c r="DS157" s="1017"/>
      <c r="DT157" s="1017"/>
      <c r="DU157" s="1017"/>
      <c r="DV157" s="1017"/>
      <c r="DW157" s="1017"/>
      <c r="DX157" s="1017"/>
      <c r="DY157" s="1017"/>
      <c r="DZ157" s="1017"/>
      <c r="EA157" s="1017"/>
      <c r="EB157" s="1017"/>
      <c r="EC157" s="1017"/>
      <c r="ED157" s="1017"/>
      <c r="EE157" s="1017"/>
      <c r="EF157" s="1017"/>
      <c r="EG157" s="1017"/>
      <c r="EH157" s="1017"/>
      <c r="EI157" s="1017"/>
      <c r="EJ157" s="1017"/>
      <c r="EK157" s="1017"/>
      <c r="EL157" s="1017"/>
      <c r="EM157" s="1017"/>
      <c r="EN157" s="1017"/>
      <c r="EO157" s="1017"/>
      <c r="EP157" s="1017"/>
      <c r="EQ157" s="1017"/>
      <c r="ER157" s="1017"/>
      <c r="ES157" s="1017"/>
      <c r="ET157" s="1017"/>
      <c r="EU157" s="1017"/>
      <c r="EV157" s="1017"/>
      <c r="EW157" s="1017"/>
      <c r="EX157" s="1017"/>
      <c r="EY157" s="1017"/>
      <c r="EZ157" s="1017"/>
      <c r="FA157" s="1017"/>
      <c r="FB157" s="1017"/>
      <c r="FC157" s="1017"/>
      <c r="FD157" s="1017"/>
      <c r="FE157" s="1017"/>
      <c r="FF157" s="1017"/>
      <c r="FG157" s="1017"/>
      <c r="FH157" s="1017"/>
      <c r="FI157" s="1017"/>
      <c r="FJ157" s="1017"/>
      <c r="FK157" s="1017"/>
      <c r="FL157" s="1017"/>
      <c r="FM157" s="1017"/>
      <c r="FN157" s="1017"/>
      <c r="FO157" s="1017"/>
      <c r="FP157" s="1017"/>
      <c r="FQ157" s="1017"/>
      <c r="FR157" s="1017"/>
      <c r="FS157" s="1017"/>
      <c r="FT157" s="1017"/>
      <c r="FU157" s="1017"/>
      <c r="FV157" s="1017"/>
      <c r="FW157" s="1017"/>
      <c r="FX157" s="1017"/>
      <c r="FY157" s="1017"/>
      <c r="FZ157" s="1017"/>
      <c r="GA157" s="1017"/>
      <c r="GB157" s="1017"/>
      <c r="GC157" s="1017"/>
      <c r="GD157" s="1017"/>
      <c r="GE157" s="1017"/>
      <c r="GF157" s="1017"/>
      <c r="GG157" s="1017"/>
      <c r="GH157" s="1017"/>
      <c r="GI157" s="1017"/>
      <c r="GJ157" s="1017"/>
      <c r="GK157" s="1017"/>
      <c r="GL157" s="1017"/>
      <c r="GM157" s="1017"/>
      <c r="GN157" s="1017"/>
      <c r="GO157" s="1017"/>
      <c r="GP157" s="1017"/>
      <c r="GQ157" s="1017"/>
      <c r="GR157" s="1017"/>
      <c r="GS157" s="1017"/>
      <c r="GT157" s="1017"/>
      <c r="GU157" s="1017"/>
      <c r="GV157" s="1017"/>
      <c r="GW157" s="1017"/>
      <c r="GX157" s="1017"/>
      <c r="GY157" s="1017"/>
      <c r="GZ157" s="1017"/>
      <c r="HA157" s="1017"/>
      <c r="HB157" s="1017"/>
      <c r="HC157" s="1017"/>
      <c r="HD157" s="1017"/>
      <c r="HE157" s="1017"/>
      <c r="HF157" s="1017"/>
      <c r="HG157" s="1017"/>
      <c r="HH157" s="1017"/>
      <c r="HI157" s="1017"/>
      <c r="HJ157" s="1017"/>
      <c r="HK157" s="1017"/>
      <c r="HL157" s="1017"/>
      <c r="HM157" s="1017"/>
      <c r="HN157" s="1017"/>
      <c r="HO157" s="1017"/>
      <c r="HP157" s="1017"/>
      <c r="HQ157" s="1017"/>
      <c r="HR157" s="1017"/>
      <c r="HS157" s="1017"/>
      <c r="HT157" s="1017"/>
      <c r="HU157" s="1017"/>
      <c r="HV157" s="1017"/>
      <c r="HW157" s="1017"/>
      <c r="HX157" s="1017"/>
      <c r="HY157" s="1017"/>
      <c r="HZ157" s="1017"/>
      <c r="IA157" s="1017"/>
      <c r="IB157" s="1017"/>
      <c r="IC157" s="1017"/>
      <c r="ID157" s="1017"/>
      <c r="IE157" s="1017"/>
      <c r="IF157" s="1017"/>
      <c r="IG157" s="1017"/>
      <c r="IH157" s="1017"/>
      <c r="II157" s="1017"/>
      <c r="IJ157" s="1017"/>
      <c r="IK157" s="1017"/>
      <c r="IL157" s="1017"/>
      <c r="IM157" s="1017"/>
    </row>
    <row r="158" spans="1:247">
      <c r="A158" s="1052" t="s">
        <v>960</v>
      </c>
      <c r="B158" s="1060"/>
      <c r="C158" s="1050">
        <f>23.50405827+0.205845</f>
        <v>23.709903270000002</v>
      </c>
      <c r="D158" s="1045">
        <v>3.3970000000000056</v>
      </c>
      <c r="E158" s="1046">
        <f>27.868594</f>
        <v>27.868594000000002</v>
      </c>
      <c r="F158" s="1046">
        <f>92.69845</f>
        <v>92.698449999999994</v>
      </c>
      <c r="G158" s="1047">
        <v>96.661732999999998</v>
      </c>
      <c r="H158" s="1048">
        <v>22.838382851183294</v>
      </c>
      <c r="I158" s="1048">
        <v>23.29303704626237</v>
      </c>
      <c r="J158" s="1048">
        <v>23.701947810321201</v>
      </c>
      <c r="K158" s="1049">
        <v>24.192190867051508</v>
      </c>
      <c r="L158" s="1028"/>
      <c r="M158" s="1045"/>
      <c r="N158" s="1050">
        <f t="shared" si="102"/>
        <v>22.838382851183294</v>
      </c>
      <c r="O158" s="1045">
        <f>I158</f>
        <v>23.29303704626237</v>
      </c>
      <c r="P158" s="1046">
        <f t="shared" si="116"/>
        <v>23.701947810321201</v>
      </c>
      <c r="Q158" s="1046">
        <f t="shared" si="116"/>
        <v>24.192190867051508</v>
      </c>
      <c r="R158" s="1045">
        <f t="shared" si="117"/>
        <v>0</v>
      </c>
      <c r="S158" s="1046">
        <f t="shared" si="117"/>
        <v>0</v>
      </c>
      <c r="T158" s="1046">
        <f t="shared" si="117"/>
        <v>0</v>
      </c>
      <c r="U158" s="1050">
        <f t="shared" si="100"/>
        <v>0.45465419507907612</v>
      </c>
      <c r="V158" s="948"/>
      <c r="W158" s="1045">
        <f>O158</f>
        <v>23.29303704626237</v>
      </c>
      <c r="X158" s="1046">
        <v>27.868594000000002</v>
      </c>
      <c r="Y158" s="1045">
        <f t="shared" si="78"/>
        <v>4.5755569537376317</v>
      </c>
      <c r="Z158" s="1051">
        <f t="shared" si="105"/>
        <v>5.1126206909794976E-3</v>
      </c>
      <c r="AA158" s="1017"/>
      <c r="AB158" s="952"/>
      <c r="AC158" s="1017"/>
      <c r="AD158" s="1017"/>
      <c r="AE158" s="1017"/>
      <c r="AF158" s="1017"/>
      <c r="AG158" s="1017"/>
      <c r="AH158" s="1017"/>
      <c r="AI158" s="1017"/>
      <c r="AJ158" s="1017"/>
      <c r="AK158" s="1017"/>
      <c r="AL158" s="1017"/>
      <c r="AM158" s="1017"/>
      <c r="AN158" s="1017"/>
      <c r="AO158" s="1017"/>
      <c r="AP158" s="1017"/>
      <c r="AQ158" s="1017"/>
      <c r="AR158" s="1017"/>
      <c r="AS158" s="1017"/>
      <c r="AT158" s="1017"/>
      <c r="AU158" s="1017"/>
      <c r="AV158" s="1017"/>
      <c r="AW158" s="1017"/>
      <c r="AX158" s="1017"/>
      <c r="AY158" s="1017"/>
      <c r="AZ158" s="1017"/>
      <c r="BA158" s="1017"/>
      <c r="BB158" s="1017"/>
      <c r="BC158" s="1017"/>
      <c r="BD158" s="1017"/>
      <c r="BE158" s="1017"/>
      <c r="BF158" s="1017"/>
      <c r="BG158" s="1017"/>
      <c r="BH158" s="1017"/>
      <c r="BI158" s="1017"/>
      <c r="BJ158" s="1017"/>
      <c r="BK158" s="1017"/>
      <c r="BL158" s="1017"/>
      <c r="BM158" s="1017"/>
      <c r="BN158" s="1017"/>
      <c r="BO158" s="1017"/>
      <c r="BP158" s="1017"/>
      <c r="BQ158" s="1017"/>
      <c r="BR158" s="1017"/>
      <c r="BS158" s="1017"/>
      <c r="BT158" s="1017"/>
      <c r="BU158" s="1017"/>
      <c r="BV158" s="1017"/>
      <c r="BW158" s="1017"/>
      <c r="BX158" s="1017"/>
      <c r="BY158" s="1017"/>
      <c r="BZ158" s="1017"/>
      <c r="CA158" s="1017"/>
      <c r="CB158" s="1017"/>
      <c r="CC158" s="1017"/>
      <c r="CD158" s="1017"/>
      <c r="CE158" s="1017"/>
      <c r="CF158" s="1017"/>
      <c r="CG158" s="1017"/>
      <c r="CH158" s="1017"/>
      <c r="CI158" s="1017"/>
      <c r="CJ158" s="1017"/>
      <c r="CK158" s="1017"/>
      <c r="CL158" s="1017"/>
      <c r="CM158" s="1017"/>
      <c r="CN158" s="1017"/>
      <c r="CO158" s="1017"/>
      <c r="CP158" s="1017"/>
      <c r="CQ158" s="1017"/>
      <c r="CR158" s="1017"/>
      <c r="CS158" s="1017"/>
      <c r="CT158" s="1017"/>
      <c r="CU158" s="1017"/>
      <c r="CV158" s="1017"/>
      <c r="CW158" s="1017"/>
      <c r="CX158" s="1017"/>
      <c r="CY158" s="1017"/>
      <c r="CZ158" s="1017"/>
      <c r="DA158" s="1017"/>
      <c r="DB158" s="1017"/>
      <c r="DC158" s="1017"/>
      <c r="DD158" s="1017"/>
      <c r="DE158" s="1017"/>
      <c r="DF158" s="1017"/>
      <c r="DG158" s="1017"/>
      <c r="DH158" s="1017"/>
      <c r="DI158" s="1017"/>
      <c r="DJ158" s="1017"/>
      <c r="DK158" s="1017"/>
      <c r="DL158" s="1017"/>
      <c r="DM158" s="1017"/>
      <c r="DN158" s="1017"/>
      <c r="DO158" s="1017"/>
      <c r="DP158" s="1017"/>
      <c r="DQ158" s="1017"/>
      <c r="DR158" s="1017"/>
      <c r="DS158" s="1017"/>
      <c r="DT158" s="1017"/>
      <c r="DU158" s="1017"/>
      <c r="DV158" s="1017"/>
      <c r="DW158" s="1017"/>
      <c r="DX158" s="1017"/>
      <c r="DY158" s="1017"/>
      <c r="DZ158" s="1017"/>
      <c r="EA158" s="1017"/>
      <c r="EB158" s="1017"/>
      <c r="EC158" s="1017"/>
      <c r="ED158" s="1017"/>
      <c r="EE158" s="1017"/>
      <c r="EF158" s="1017"/>
      <c r="EG158" s="1017"/>
      <c r="EH158" s="1017"/>
      <c r="EI158" s="1017"/>
      <c r="EJ158" s="1017"/>
      <c r="EK158" s="1017"/>
      <c r="EL158" s="1017"/>
      <c r="EM158" s="1017"/>
      <c r="EN158" s="1017"/>
      <c r="EO158" s="1017"/>
      <c r="EP158" s="1017"/>
      <c r="EQ158" s="1017"/>
      <c r="ER158" s="1017"/>
      <c r="ES158" s="1017"/>
      <c r="ET158" s="1017"/>
      <c r="EU158" s="1017"/>
      <c r="EV158" s="1017"/>
      <c r="EW158" s="1017"/>
      <c r="EX158" s="1017"/>
      <c r="EY158" s="1017"/>
      <c r="EZ158" s="1017"/>
      <c r="FA158" s="1017"/>
      <c r="FB158" s="1017"/>
      <c r="FC158" s="1017"/>
      <c r="FD158" s="1017"/>
      <c r="FE158" s="1017"/>
      <c r="FF158" s="1017"/>
      <c r="FG158" s="1017"/>
      <c r="FH158" s="1017"/>
      <c r="FI158" s="1017"/>
      <c r="FJ158" s="1017"/>
      <c r="FK158" s="1017"/>
      <c r="FL158" s="1017"/>
      <c r="FM158" s="1017"/>
      <c r="FN158" s="1017"/>
      <c r="FO158" s="1017"/>
      <c r="FP158" s="1017"/>
      <c r="FQ158" s="1017"/>
      <c r="FR158" s="1017"/>
      <c r="FS158" s="1017"/>
      <c r="FT158" s="1017"/>
      <c r="FU158" s="1017"/>
      <c r="FV158" s="1017"/>
      <c r="FW158" s="1017"/>
      <c r="FX158" s="1017"/>
      <c r="FY158" s="1017"/>
      <c r="FZ158" s="1017"/>
      <c r="GA158" s="1017"/>
      <c r="GB158" s="1017"/>
      <c r="GC158" s="1017"/>
      <c r="GD158" s="1017"/>
      <c r="GE158" s="1017"/>
      <c r="GF158" s="1017"/>
      <c r="GG158" s="1017"/>
      <c r="GH158" s="1017"/>
      <c r="GI158" s="1017"/>
      <c r="GJ158" s="1017"/>
      <c r="GK158" s="1017"/>
      <c r="GL158" s="1017"/>
      <c r="GM158" s="1017"/>
      <c r="GN158" s="1017"/>
      <c r="GO158" s="1017"/>
      <c r="GP158" s="1017"/>
      <c r="GQ158" s="1017"/>
      <c r="GR158" s="1017"/>
      <c r="GS158" s="1017"/>
      <c r="GT158" s="1017"/>
      <c r="GU158" s="1017"/>
      <c r="GV158" s="1017"/>
      <c r="GW158" s="1017"/>
      <c r="GX158" s="1017"/>
      <c r="GY158" s="1017"/>
      <c r="GZ158" s="1017"/>
      <c r="HA158" s="1017"/>
      <c r="HB158" s="1017"/>
      <c r="HC158" s="1017"/>
      <c r="HD158" s="1017"/>
      <c r="HE158" s="1017"/>
      <c r="HF158" s="1017"/>
      <c r="HG158" s="1017"/>
      <c r="HH158" s="1017"/>
      <c r="HI158" s="1017"/>
      <c r="HJ158" s="1017"/>
      <c r="HK158" s="1017"/>
      <c r="HL158" s="1017"/>
      <c r="HM158" s="1017"/>
      <c r="HN158" s="1017"/>
      <c r="HO158" s="1017"/>
      <c r="HP158" s="1017"/>
      <c r="HQ158" s="1017"/>
      <c r="HR158" s="1017"/>
      <c r="HS158" s="1017"/>
      <c r="HT158" s="1017"/>
      <c r="HU158" s="1017"/>
      <c r="HV158" s="1017"/>
      <c r="HW158" s="1017"/>
      <c r="HX158" s="1017"/>
      <c r="HY158" s="1017"/>
      <c r="HZ158" s="1017"/>
      <c r="IA158" s="1017"/>
      <c r="IB158" s="1017"/>
      <c r="IC158" s="1017"/>
      <c r="ID158" s="1017"/>
      <c r="IE158" s="1017"/>
      <c r="IF158" s="1017"/>
      <c r="IG158" s="1017"/>
      <c r="IH158" s="1017"/>
      <c r="II158" s="1017"/>
      <c r="IJ158" s="1017"/>
      <c r="IK158" s="1017"/>
      <c r="IL158" s="1017"/>
      <c r="IM158" s="1017"/>
    </row>
    <row r="159" spans="1:247">
      <c r="A159" s="1052" t="s">
        <v>1004</v>
      </c>
      <c r="B159" s="1053"/>
      <c r="C159" s="1050">
        <v>684.19600000000003</v>
      </c>
      <c r="D159" s="1045">
        <v>661.14699999999993</v>
      </c>
      <c r="E159" s="1046">
        <v>768.12199999999996</v>
      </c>
      <c r="F159" s="1046">
        <v>845.14</v>
      </c>
      <c r="G159" s="1047">
        <v>875.06200000000001</v>
      </c>
      <c r="H159" s="1048">
        <v>597.86599999999999</v>
      </c>
      <c r="I159" s="1048">
        <v>768.12199999999996</v>
      </c>
      <c r="J159" s="1048">
        <v>845.14</v>
      </c>
      <c r="K159" s="1049">
        <v>875.06200000000001</v>
      </c>
      <c r="L159" s="1028"/>
      <c r="M159" s="1108"/>
      <c r="N159" s="1050">
        <f t="shared" si="102"/>
        <v>597.86599999999999</v>
      </c>
      <c r="O159" s="1045">
        <v>632.98321854070571</v>
      </c>
      <c r="P159" s="1046">
        <v>674.52257986263908</v>
      </c>
      <c r="Q159" s="1046">
        <v>715.88063094855158</v>
      </c>
      <c r="R159" s="1045">
        <f t="shared" si="117"/>
        <v>135.13878145929425</v>
      </c>
      <c r="S159" s="1046">
        <f t="shared" si="117"/>
        <v>170.61742013736091</v>
      </c>
      <c r="T159" s="1046">
        <f t="shared" si="117"/>
        <v>159.18136905144843</v>
      </c>
      <c r="U159" s="1050">
        <f t="shared" si="100"/>
        <v>35.117218540705721</v>
      </c>
      <c r="V159" s="948"/>
      <c r="W159" s="1045">
        <f t="shared" ref="W159:W168" si="118">O159</f>
        <v>632.98321854070571</v>
      </c>
      <c r="X159" s="1046">
        <v>768.12199999999996</v>
      </c>
      <c r="Y159" s="1045">
        <f t="shared" si="78"/>
        <v>135.13878145929425</v>
      </c>
      <c r="Z159" s="1051">
        <f t="shared" si="105"/>
        <v>0.15100092452748479</v>
      </c>
      <c r="AA159" s="1017"/>
      <c r="AB159" s="952"/>
      <c r="AC159" s="1017"/>
      <c r="AD159" s="1017"/>
      <c r="AE159" s="1017"/>
      <c r="AF159" s="1017"/>
      <c r="AG159" s="1017"/>
      <c r="AH159" s="1017"/>
      <c r="AI159" s="1017"/>
      <c r="AJ159" s="1017"/>
      <c r="AK159" s="1017"/>
      <c r="AL159" s="1017"/>
      <c r="AM159" s="1017"/>
      <c r="AN159" s="1017"/>
      <c r="AO159" s="1017"/>
      <c r="AP159" s="1017"/>
      <c r="AQ159" s="1017"/>
      <c r="AR159" s="1017"/>
      <c r="AS159" s="1017"/>
      <c r="AT159" s="1017"/>
      <c r="AU159" s="1017"/>
      <c r="AV159" s="1017"/>
      <c r="AW159" s="1017"/>
      <c r="AX159" s="1017"/>
      <c r="AY159" s="1017"/>
      <c r="AZ159" s="1017"/>
      <c r="BA159" s="1017"/>
      <c r="BB159" s="1017"/>
      <c r="BC159" s="1017"/>
      <c r="BD159" s="1017"/>
      <c r="BE159" s="1017"/>
      <c r="BF159" s="1017"/>
      <c r="BG159" s="1017"/>
      <c r="BH159" s="1017"/>
      <c r="BI159" s="1017"/>
      <c r="BJ159" s="1017"/>
      <c r="BK159" s="1017"/>
      <c r="BL159" s="1017"/>
      <c r="BM159" s="1017"/>
      <c r="BN159" s="1017"/>
      <c r="BO159" s="1017"/>
      <c r="BP159" s="1017"/>
      <c r="BQ159" s="1017"/>
      <c r="BR159" s="1017"/>
      <c r="BS159" s="1017"/>
      <c r="BT159" s="1017"/>
      <c r="BU159" s="1017"/>
      <c r="BV159" s="1017"/>
      <c r="BW159" s="1017"/>
      <c r="BX159" s="1017"/>
      <c r="BY159" s="1017"/>
      <c r="BZ159" s="1017"/>
      <c r="CA159" s="1017"/>
      <c r="CB159" s="1017"/>
      <c r="CC159" s="1017"/>
      <c r="CD159" s="1017"/>
      <c r="CE159" s="1017"/>
      <c r="CF159" s="1017"/>
      <c r="CG159" s="1017"/>
      <c r="CH159" s="1017"/>
      <c r="CI159" s="1017"/>
      <c r="CJ159" s="1017"/>
      <c r="CK159" s="1017"/>
      <c r="CL159" s="1017"/>
      <c r="CM159" s="1017"/>
      <c r="CN159" s="1017"/>
      <c r="CO159" s="1017"/>
      <c r="CP159" s="1017"/>
      <c r="CQ159" s="1017"/>
      <c r="CR159" s="1017"/>
      <c r="CS159" s="1017"/>
      <c r="CT159" s="1017"/>
      <c r="CU159" s="1017"/>
      <c r="CV159" s="1017"/>
      <c r="CW159" s="1017"/>
      <c r="CX159" s="1017"/>
      <c r="CY159" s="1017"/>
      <c r="CZ159" s="1017"/>
      <c r="DA159" s="1017"/>
      <c r="DB159" s="1017"/>
      <c r="DC159" s="1017"/>
      <c r="DD159" s="1017"/>
      <c r="DE159" s="1017"/>
      <c r="DF159" s="1017"/>
      <c r="DG159" s="1017"/>
      <c r="DH159" s="1017"/>
      <c r="DI159" s="1017"/>
      <c r="DJ159" s="1017"/>
      <c r="DK159" s="1017"/>
      <c r="DL159" s="1017"/>
      <c r="DM159" s="1017"/>
      <c r="DN159" s="1017"/>
      <c r="DO159" s="1017"/>
      <c r="DP159" s="1017"/>
      <c r="DQ159" s="1017"/>
      <c r="DR159" s="1017"/>
      <c r="DS159" s="1017"/>
      <c r="DT159" s="1017"/>
      <c r="DU159" s="1017"/>
      <c r="DV159" s="1017"/>
      <c r="DW159" s="1017"/>
      <c r="DX159" s="1017"/>
      <c r="DY159" s="1017"/>
      <c r="DZ159" s="1017"/>
      <c r="EA159" s="1017"/>
      <c r="EB159" s="1017"/>
      <c r="EC159" s="1017"/>
      <c r="ED159" s="1017"/>
      <c r="EE159" s="1017"/>
      <c r="EF159" s="1017"/>
      <c r="EG159" s="1017"/>
      <c r="EH159" s="1017"/>
      <c r="EI159" s="1017"/>
      <c r="EJ159" s="1017"/>
      <c r="EK159" s="1017"/>
      <c r="EL159" s="1017"/>
      <c r="EM159" s="1017"/>
      <c r="EN159" s="1017"/>
      <c r="EO159" s="1017"/>
      <c r="EP159" s="1017"/>
      <c r="EQ159" s="1017"/>
      <c r="ER159" s="1017"/>
      <c r="ES159" s="1017"/>
      <c r="ET159" s="1017"/>
      <c r="EU159" s="1017"/>
      <c r="EV159" s="1017"/>
      <c r="EW159" s="1017"/>
      <c r="EX159" s="1017"/>
      <c r="EY159" s="1017"/>
      <c r="EZ159" s="1017"/>
      <c r="FA159" s="1017"/>
      <c r="FB159" s="1017"/>
      <c r="FC159" s="1017"/>
      <c r="FD159" s="1017"/>
      <c r="FE159" s="1017"/>
      <c r="FF159" s="1017"/>
      <c r="FG159" s="1017"/>
      <c r="FH159" s="1017"/>
      <c r="FI159" s="1017"/>
      <c r="FJ159" s="1017"/>
      <c r="FK159" s="1017"/>
      <c r="FL159" s="1017"/>
      <c r="FM159" s="1017"/>
      <c r="FN159" s="1017"/>
      <c r="FO159" s="1017"/>
      <c r="FP159" s="1017"/>
      <c r="FQ159" s="1017"/>
      <c r="FR159" s="1017"/>
      <c r="FS159" s="1017"/>
      <c r="FT159" s="1017"/>
      <c r="FU159" s="1017"/>
      <c r="FV159" s="1017"/>
      <c r="FW159" s="1017"/>
      <c r="FX159" s="1017"/>
      <c r="FY159" s="1017"/>
      <c r="FZ159" s="1017"/>
      <c r="GA159" s="1017"/>
      <c r="GB159" s="1017"/>
      <c r="GC159" s="1017"/>
      <c r="GD159" s="1017"/>
      <c r="GE159" s="1017"/>
      <c r="GF159" s="1017"/>
      <c r="GG159" s="1017"/>
      <c r="GH159" s="1017"/>
      <c r="GI159" s="1017"/>
      <c r="GJ159" s="1017"/>
      <c r="GK159" s="1017"/>
      <c r="GL159" s="1017"/>
      <c r="GM159" s="1017"/>
      <c r="GN159" s="1017"/>
      <c r="GO159" s="1017"/>
      <c r="GP159" s="1017"/>
      <c r="GQ159" s="1017"/>
      <c r="GR159" s="1017"/>
      <c r="GS159" s="1017"/>
      <c r="GT159" s="1017"/>
      <c r="GU159" s="1017"/>
      <c r="GV159" s="1017"/>
      <c r="GW159" s="1017"/>
      <c r="GX159" s="1017"/>
      <c r="GY159" s="1017"/>
      <c r="GZ159" s="1017"/>
      <c r="HA159" s="1017"/>
      <c r="HB159" s="1017"/>
      <c r="HC159" s="1017"/>
      <c r="HD159" s="1017"/>
      <c r="HE159" s="1017"/>
      <c r="HF159" s="1017"/>
      <c r="HG159" s="1017"/>
      <c r="HH159" s="1017"/>
      <c r="HI159" s="1017"/>
      <c r="HJ159" s="1017"/>
      <c r="HK159" s="1017"/>
      <c r="HL159" s="1017"/>
      <c r="HM159" s="1017"/>
      <c r="HN159" s="1017"/>
      <c r="HO159" s="1017"/>
      <c r="HP159" s="1017"/>
      <c r="HQ159" s="1017"/>
      <c r="HR159" s="1017"/>
      <c r="HS159" s="1017"/>
      <c r="HT159" s="1017"/>
      <c r="HU159" s="1017"/>
      <c r="HV159" s="1017"/>
      <c r="HW159" s="1017"/>
      <c r="HX159" s="1017"/>
      <c r="HY159" s="1017"/>
      <c r="HZ159" s="1017"/>
      <c r="IA159" s="1017"/>
      <c r="IB159" s="1017"/>
      <c r="IC159" s="1017"/>
      <c r="ID159" s="1017"/>
      <c r="IE159" s="1017"/>
      <c r="IF159" s="1017"/>
      <c r="IG159" s="1017"/>
      <c r="IH159" s="1017"/>
      <c r="II159" s="1017"/>
      <c r="IJ159" s="1017"/>
      <c r="IK159" s="1017"/>
      <c r="IL159" s="1017"/>
      <c r="IM159" s="1017"/>
    </row>
    <row r="160" spans="1:247">
      <c r="A160" s="1052" t="s">
        <v>1005</v>
      </c>
      <c r="B160" s="1053"/>
      <c r="C160" s="1050">
        <v>61.631</v>
      </c>
      <c r="D160" s="1045">
        <v>63.235999999999997</v>
      </c>
      <c r="E160" s="1046">
        <v>64.584999999999994</v>
      </c>
      <c r="F160" s="1046">
        <v>68.424999999999997</v>
      </c>
      <c r="G160" s="1047">
        <v>74.221999999999994</v>
      </c>
      <c r="H160" s="1048">
        <v>63.235999999999997</v>
      </c>
      <c r="I160" s="1048">
        <v>64.584999999999994</v>
      </c>
      <c r="J160" s="1048">
        <v>68.424999999999997</v>
      </c>
      <c r="K160" s="1049">
        <v>74.221999999999994</v>
      </c>
      <c r="L160" s="1028"/>
      <c r="M160" s="1074"/>
      <c r="N160" s="1050">
        <f t="shared" si="102"/>
        <v>63.235999999999997</v>
      </c>
      <c r="O160" s="1045">
        <f>I160</f>
        <v>64.584999999999994</v>
      </c>
      <c r="P160" s="1046">
        <f t="shared" ref="P160:Q160" si="119">J160</f>
        <v>68.424999999999997</v>
      </c>
      <c r="Q160" s="1046">
        <f t="shared" si="119"/>
        <v>74.221999999999994</v>
      </c>
      <c r="R160" s="1045">
        <f t="shared" si="117"/>
        <v>0</v>
      </c>
      <c r="S160" s="1046">
        <f t="shared" si="117"/>
        <v>0</v>
      </c>
      <c r="T160" s="1046">
        <f t="shared" si="117"/>
        <v>0</v>
      </c>
      <c r="U160" s="1050">
        <f t="shared" si="100"/>
        <v>1.3489999999999966</v>
      </c>
      <c r="V160" s="948"/>
      <c r="W160" s="1045">
        <f t="shared" si="118"/>
        <v>64.584999999999994</v>
      </c>
      <c r="X160" s="1046">
        <v>64.584999999999994</v>
      </c>
      <c r="Y160" s="1045">
        <f t="shared" si="78"/>
        <v>0</v>
      </c>
      <c r="Z160" s="1051">
        <f t="shared" si="105"/>
        <v>0</v>
      </c>
      <c r="AA160" s="1017"/>
      <c r="AB160" s="952"/>
      <c r="AC160" s="1017"/>
      <c r="AD160" s="1017"/>
      <c r="AE160" s="1017"/>
      <c r="AF160" s="1017"/>
      <c r="AG160" s="1017"/>
      <c r="AH160" s="1017"/>
      <c r="AI160" s="1017"/>
      <c r="AJ160" s="1017"/>
      <c r="AK160" s="1017"/>
      <c r="AL160" s="1017"/>
      <c r="AM160" s="1017"/>
      <c r="AN160" s="1017"/>
      <c r="AO160" s="1017"/>
      <c r="AP160" s="1017"/>
      <c r="AQ160" s="1017"/>
      <c r="AR160" s="1017"/>
      <c r="AS160" s="1017"/>
      <c r="AT160" s="1017"/>
      <c r="AU160" s="1017"/>
      <c r="AV160" s="1017"/>
      <c r="AW160" s="1017"/>
      <c r="AX160" s="1017"/>
      <c r="AY160" s="1017"/>
      <c r="AZ160" s="1017"/>
      <c r="BA160" s="1017"/>
      <c r="BB160" s="1017"/>
      <c r="BC160" s="1017"/>
      <c r="BD160" s="1017"/>
      <c r="BE160" s="1017"/>
      <c r="BF160" s="1017"/>
      <c r="BG160" s="1017"/>
      <c r="BH160" s="1017"/>
      <c r="BI160" s="1017"/>
      <c r="BJ160" s="1017"/>
      <c r="BK160" s="1017"/>
      <c r="BL160" s="1017"/>
      <c r="BM160" s="1017"/>
      <c r="BN160" s="1017"/>
      <c r="BO160" s="1017"/>
      <c r="BP160" s="1017"/>
      <c r="BQ160" s="1017"/>
      <c r="BR160" s="1017"/>
      <c r="BS160" s="1017"/>
      <c r="BT160" s="1017"/>
      <c r="BU160" s="1017"/>
      <c r="BV160" s="1017"/>
      <c r="BW160" s="1017"/>
      <c r="BX160" s="1017"/>
      <c r="BY160" s="1017"/>
      <c r="BZ160" s="1017"/>
      <c r="CA160" s="1017"/>
      <c r="CB160" s="1017"/>
      <c r="CC160" s="1017"/>
      <c r="CD160" s="1017"/>
      <c r="CE160" s="1017"/>
      <c r="CF160" s="1017"/>
      <c r="CG160" s="1017"/>
      <c r="CH160" s="1017"/>
      <c r="CI160" s="1017"/>
      <c r="CJ160" s="1017"/>
      <c r="CK160" s="1017"/>
      <c r="CL160" s="1017"/>
      <c r="CM160" s="1017"/>
      <c r="CN160" s="1017"/>
      <c r="CO160" s="1017"/>
      <c r="CP160" s="1017"/>
      <c r="CQ160" s="1017"/>
      <c r="CR160" s="1017"/>
      <c r="CS160" s="1017"/>
      <c r="CT160" s="1017"/>
      <c r="CU160" s="1017"/>
      <c r="CV160" s="1017"/>
      <c r="CW160" s="1017"/>
      <c r="CX160" s="1017"/>
      <c r="CY160" s="1017"/>
      <c r="CZ160" s="1017"/>
      <c r="DA160" s="1017"/>
      <c r="DB160" s="1017"/>
      <c r="DC160" s="1017"/>
      <c r="DD160" s="1017"/>
      <c r="DE160" s="1017"/>
      <c r="DF160" s="1017"/>
      <c r="DG160" s="1017"/>
      <c r="DH160" s="1017"/>
      <c r="DI160" s="1017"/>
      <c r="DJ160" s="1017"/>
      <c r="DK160" s="1017"/>
      <c r="DL160" s="1017"/>
      <c r="DM160" s="1017"/>
      <c r="DN160" s="1017"/>
      <c r="DO160" s="1017"/>
      <c r="DP160" s="1017"/>
      <c r="DQ160" s="1017"/>
      <c r="DR160" s="1017"/>
      <c r="DS160" s="1017"/>
      <c r="DT160" s="1017"/>
      <c r="DU160" s="1017"/>
      <c r="DV160" s="1017"/>
      <c r="DW160" s="1017"/>
      <c r="DX160" s="1017"/>
      <c r="DY160" s="1017"/>
      <c r="DZ160" s="1017"/>
      <c r="EA160" s="1017"/>
      <c r="EB160" s="1017"/>
      <c r="EC160" s="1017"/>
      <c r="ED160" s="1017"/>
      <c r="EE160" s="1017"/>
      <c r="EF160" s="1017"/>
      <c r="EG160" s="1017"/>
      <c r="EH160" s="1017"/>
      <c r="EI160" s="1017"/>
      <c r="EJ160" s="1017"/>
      <c r="EK160" s="1017"/>
      <c r="EL160" s="1017"/>
      <c r="EM160" s="1017"/>
      <c r="EN160" s="1017"/>
      <c r="EO160" s="1017"/>
      <c r="EP160" s="1017"/>
      <c r="EQ160" s="1017"/>
      <c r="ER160" s="1017"/>
      <c r="ES160" s="1017"/>
      <c r="ET160" s="1017"/>
      <c r="EU160" s="1017"/>
      <c r="EV160" s="1017"/>
      <c r="EW160" s="1017"/>
      <c r="EX160" s="1017"/>
      <c r="EY160" s="1017"/>
      <c r="EZ160" s="1017"/>
      <c r="FA160" s="1017"/>
      <c r="FB160" s="1017"/>
      <c r="FC160" s="1017"/>
      <c r="FD160" s="1017"/>
      <c r="FE160" s="1017"/>
      <c r="FF160" s="1017"/>
      <c r="FG160" s="1017"/>
      <c r="FH160" s="1017"/>
      <c r="FI160" s="1017"/>
      <c r="FJ160" s="1017"/>
      <c r="FK160" s="1017"/>
      <c r="FL160" s="1017"/>
      <c r="FM160" s="1017"/>
      <c r="FN160" s="1017"/>
      <c r="FO160" s="1017"/>
      <c r="FP160" s="1017"/>
      <c r="FQ160" s="1017"/>
      <c r="FR160" s="1017"/>
      <c r="FS160" s="1017"/>
      <c r="FT160" s="1017"/>
      <c r="FU160" s="1017"/>
      <c r="FV160" s="1017"/>
      <c r="FW160" s="1017"/>
      <c r="FX160" s="1017"/>
      <c r="FY160" s="1017"/>
      <c r="FZ160" s="1017"/>
      <c r="GA160" s="1017"/>
      <c r="GB160" s="1017"/>
      <c r="GC160" s="1017"/>
      <c r="GD160" s="1017"/>
      <c r="GE160" s="1017"/>
      <c r="GF160" s="1017"/>
      <c r="GG160" s="1017"/>
      <c r="GH160" s="1017"/>
      <c r="GI160" s="1017"/>
      <c r="GJ160" s="1017"/>
      <c r="GK160" s="1017"/>
      <c r="GL160" s="1017"/>
      <c r="GM160" s="1017"/>
      <c r="GN160" s="1017"/>
      <c r="GO160" s="1017"/>
      <c r="GP160" s="1017"/>
      <c r="GQ160" s="1017"/>
      <c r="GR160" s="1017"/>
      <c r="GS160" s="1017"/>
      <c r="GT160" s="1017"/>
      <c r="GU160" s="1017"/>
      <c r="GV160" s="1017"/>
      <c r="GW160" s="1017"/>
      <c r="GX160" s="1017"/>
      <c r="GY160" s="1017"/>
      <c r="GZ160" s="1017"/>
      <c r="HA160" s="1017"/>
      <c r="HB160" s="1017"/>
      <c r="HC160" s="1017"/>
      <c r="HD160" s="1017"/>
      <c r="HE160" s="1017"/>
      <c r="HF160" s="1017"/>
      <c r="HG160" s="1017"/>
      <c r="HH160" s="1017"/>
      <c r="HI160" s="1017"/>
      <c r="HJ160" s="1017"/>
      <c r="HK160" s="1017"/>
      <c r="HL160" s="1017"/>
      <c r="HM160" s="1017"/>
      <c r="HN160" s="1017"/>
      <c r="HO160" s="1017"/>
      <c r="HP160" s="1017"/>
      <c r="HQ160" s="1017"/>
      <c r="HR160" s="1017"/>
      <c r="HS160" s="1017"/>
      <c r="HT160" s="1017"/>
      <c r="HU160" s="1017"/>
      <c r="HV160" s="1017"/>
      <c r="HW160" s="1017"/>
      <c r="HX160" s="1017"/>
      <c r="HY160" s="1017"/>
      <c r="HZ160" s="1017"/>
      <c r="IA160" s="1017"/>
      <c r="IB160" s="1017"/>
      <c r="IC160" s="1017"/>
      <c r="ID160" s="1017"/>
      <c r="IE160" s="1017"/>
      <c r="IF160" s="1017"/>
      <c r="IG160" s="1017"/>
      <c r="IH160" s="1017"/>
      <c r="II160" s="1017"/>
      <c r="IJ160" s="1017"/>
      <c r="IK160" s="1017"/>
      <c r="IL160" s="1017"/>
      <c r="IM160" s="1017"/>
    </row>
    <row r="161" spans="1:247">
      <c r="A161" s="1052" t="s">
        <v>1006</v>
      </c>
      <c r="B161" s="1053"/>
      <c r="C161" s="1050">
        <v>68.679000000000002</v>
      </c>
      <c r="D161" s="1045">
        <v>49.786000000000001</v>
      </c>
      <c r="E161" s="1046">
        <v>90.833896999999993</v>
      </c>
      <c r="F161" s="1046">
        <v>92.888718999999995</v>
      </c>
      <c r="G161" s="1047">
        <v>99.093412999999998</v>
      </c>
      <c r="H161" s="1048">
        <v>55.219000000000001</v>
      </c>
      <c r="I161" s="1048">
        <v>90.833896999999993</v>
      </c>
      <c r="J161" s="1048">
        <v>92.888718999999995</v>
      </c>
      <c r="K161" s="1049">
        <v>99.093412999999998</v>
      </c>
      <c r="L161" s="1028"/>
      <c r="M161" s="1074"/>
      <c r="N161" s="1050">
        <f t="shared" si="102"/>
        <v>55.219000000000001</v>
      </c>
      <c r="O161" s="1045">
        <v>56.318270038586412</v>
      </c>
      <c r="P161" s="1046">
        <v>57.30694089272243</v>
      </c>
      <c r="Q161" s="1046">
        <v>58.492258238787841</v>
      </c>
      <c r="R161" s="1045">
        <f t="shared" si="117"/>
        <v>34.515626961413581</v>
      </c>
      <c r="S161" s="1046">
        <f t="shared" si="117"/>
        <v>35.581778107277565</v>
      </c>
      <c r="T161" s="1046">
        <f t="shared" si="117"/>
        <v>40.601154761212157</v>
      </c>
      <c r="U161" s="1050">
        <f t="shared" si="100"/>
        <v>1.0992700385864111</v>
      </c>
      <c r="V161" s="948"/>
      <c r="W161" s="1045">
        <f t="shared" si="118"/>
        <v>56.318270038586412</v>
      </c>
      <c r="X161" s="1046">
        <v>90.833896999999993</v>
      </c>
      <c r="Y161" s="1045">
        <f t="shared" si="78"/>
        <v>34.515626961413581</v>
      </c>
      <c r="Z161" s="1051">
        <f t="shared" si="105"/>
        <v>3.8566957061020472E-2</v>
      </c>
      <c r="AA161" s="1017"/>
      <c r="AB161" s="952"/>
      <c r="AC161" s="1017"/>
      <c r="AD161" s="1017"/>
      <c r="AE161" s="1017"/>
      <c r="AF161" s="1017"/>
      <c r="AG161" s="1017"/>
      <c r="AH161" s="1017"/>
      <c r="AI161" s="1017"/>
      <c r="AJ161" s="1017"/>
      <c r="AK161" s="1017"/>
      <c r="AL161" s="1017"/>
      <c r="AM161" s="1017"/>
      <c r="AN161" s="1017"/>
      <c r="AO161" s="1017"/>
      <c r="AP161" s="1017"/>
      <c r="AQ161" s="1017"/>
      <c r="AR161" s="1017"/>
      <c r="AS161" s="1017"/>
      <c r="AT161" s="1017"/>
      <c r="AU161" s="1017"/>
      <c r="AV161" s="1017"/>
      <c r="AW161" s="1017"/>
      <c r="AX161" s="1017"/>
      <c r="AY161" s="1017"/>
      <c r="AZ161" s="1017"/>
      <c r="BA161" s="1017"/>
      <c r="BB161" s="1017"/>
      <c r="BC161" s="1017"/>
      <c r="BD161" s="1017"/>
      <c r="BE161" s="1017"/>
      <c r="BF161" s="1017"/>
      <c r="BG161" s="1017"/>
      <c r="BH161" s="1017"/>
      <c r="BI161" s="1017"/>
      <c r="BJ161" s="1017"/>
      <c r="BK161" s="1017"/>
      <c r="BL161" s="1017"/>
      <c r="BM161" s="1017"/>
      <c r="BN161" s="1017"/>
      <c r="BO161" s="1017"/>
      <c r="BP161" s="1017"/>
      <c r="BQ161" s="1017"/>
      <c r="BR161" s="1017"/>
      <c r="BS161" s="1017"/>
      <c r="BT161" s="1017"/>
      <c r="BU161" s="1017"/>
      <c r="BV161" s="1017"/>
      <c r="BW161" s="1017"/>
      <c r="BX161" s="1017"/>
      <c r="BY161" s="1017"/>
      <c r="BZ161" s="1017"/>
      <c r="CA161" s="1017"/>
      <c r="CB161" s="1017"/>
      <c r="CC161" s="1017"/>
      <c r="CD161" s="1017"/>
      <c r="CE161" s="1017"/>
      <c r="CF161" s="1017"/>
      <c r="CG161" s="1017"/>
      <c r="CH161" s="1017"/>
      <c r="CI161" s="1017"/>
      <c r="CJ161" s="1017"/>
      <c r="CK161" s="1017"/>
      <c r="CL161" s="1017"/>
      <c r="CM161" s="1017"/>
      <c r="CN161" s="1017"/>
      <c r="CO161" s="1017"/>
      <c r="CP161" s="1017"/>
      <c r="CQ161" s="1017"/>
      <c r="CR161" s="1017"/>
      <c r="CS161" s="1017"/>
      <c r="CT161" s="1017"/>
      <c r="CU161" s="1017"/>
      <c r="CV161" s="1017"/>
      <c r="CW161" s="1017"/>
      <c r="CX161" s="1017"/>
      <c r="CY161" s="1017"/>
      <c r="CZ161" s="1017"/>
      <c r="DA161" s="1017"/>
      <c r="DB161" s="1017"/>
      <c r="DC161" s="1017"/>
      <c r="DD161" s="1017"/>
      <c r="DE161" s="1017"/>
      <c r="DF161" s="1017"/>
      <c r="DG161" s="1017"/>
      <c r="DH161" s="1017"/>
      <c r="DI161" s="1017"/>
      <c r="DJ161" s="1017"/>
      <c r="DK161" s="1017"/>
      <c r="DL161" s="1017"/>
      <c r="DM161" s="1017"/>
      <c r="DN161" s="1017"/>
      <c r="DO161" s="1017"/>
      <c r="DP161" s="1017"/>
      <c r="DQ161" s="1017"/>
      <c r="DR161" s="1017"/>
      <c r="DS161" s="1017"/>
      <c r="DT161" s="1017"/>
      <c r="DU161" s="1017"/>
      <c r="DV161" s="1017"/>
      <c r="DW161" s="1017"/>
      <c r="DX161" s="1017"/>
      <c r="DY161" s="1017"/>
      <c r="DZ161" s="1017"/>
      <c r="EA161" s="1017"/>
      <c r="EB161" s="1017"/>
      <c r="EC161" s="1017"/>
      <c r="ED161" s="1017"/>
      <c r="EE161" s="1017"/>
      <c r="EF161" s="1017"/>
      <c r="EG161" s="1017"/>
      <c r="EH161" s="1017"/>
      <c r="EI161" s="1017"/>
      <c r="EJ161" s="1017"/>
      <c r="EK161" s="1017"/>
      <c r="EL161" s="1017"/>
      <c r="EM161" s="1017"/>
      <c r="EN161" s="1017"/>
      <c r="EO161" s="1017"/>
      <c r="EP161" s="1017"/>
      <c r="EQ161" s="1017"/>
      <c r="ER161" s="1017"/>
      <c r="ES161" s="1017"/>
      <c r="ET161" s="1017"/>
      <c r="EU161" s="1017"/>
      <c r="EV161" s="1017"/>
      <c r="EW161" s="1017"/>
      <c r="EX161" s="1017"/>
      <c r="EY161" s="1017"/>
      <c r="EZ161" s="1017"/>
      <c r="FA161" s="1017"/>
      <c r="FB161" s="1017"/>
      <c r="FC161" s="1017"/>
      <c r="FD161" s="1017"/>
      <c r="FE161" s="1017"/>
      <c r="FF161" s="1017"/>
      <c r="FG161" s="1017"/>
      <c r="FH161" s="1017"/>
      <c r="FI161" s="1017"/>
      <c r="FJ161" s="1017"/>
      <c r="FK161" s="1017"/>
      <c r="FL161" s="1017"/>
      <c r="FM161" s="1017"/>
      <c r="FN161" s="1017"/>
      <c r="FO161" s="1017"/>
      <c r="FP161" s="1017"/>
      <c r="FQ161" s="1017"/>
      <c r="FR161" s="1017"/>
      <c r="FS161" s="1017"/>
      <c r="FT161" s="1017"/>
      <c r="FU161" s="1017"/>
      <c r="FV161" s="1017"/>
      <c r="FW161" s="1017"/>
      <c r="FX161" s="1017"/>
      <c r="FY161" s="1017"/>
      <c r="FZ161" s="1017"/>
      <c r="GA161" s="1017"/>
      <c r="GB161" s="1017"/>
      <c r="GC161" s="1017"/>
      <c r="GD161" s="1017"/>
      <c r="GE161" s="1017"/>
      <c r="GF161" s="1017"/>
      <c r="GG161" s="1017"/>
      <c r="GH161" s="1017"/>
      <c r="GI161" s="1017"/>
      <c r="GJ161" s="1017"/>
      <c r="GK161" s="1017"/>
      <c r="GL161" s="1017"/>
      <c r="GM161" s="1017"/>
      <c r="GN161" s="1017"/>
      <c r="GO161" s="1017"/>
      <c r="GP161" s="1017"/>
      <c r="GQ161" s="1017"/>
      <c r="GR161" s="1017"/>
      <c r="GS161" s="1017"/>
      <c r="GT161" s="1017"/>
      <c r="GU161" s="1017"/>
      <c r="GV161" s="1017"/>
      <c r="GW161" s="1017"/>
      <c r="GX161" s="1017"/>
      <c r="GY161" s="1017"/>
      <c r="GZ161" s="1017"/>
      <c r="HA161" s="1017"/>
      <c r="HB161" s="1017"/>
      <c r="HC161" s="1017"/>
      <c r="HD161" s="1017"/>
      <c r="HE161" s="1017"/>
      <c r="HF161" s="1017"/>
      <c r="HG161" s="1017"/>
      <c r="HH161" s="1017"/>
      <c r="HI161" s="1017"/>
      <c r="HJ161" s="1017"/>
      <c r="HK161" s="1017"/>
      <c r="HL161" s="1017"/>
      <c r="HM161" s="1017"/>
      <c r="HN161" s="1017"/>
      <c r="HO161" s="1017"/>
      <c r="HP161" s="1017"/>
      <c r="HQ161" s="1017"/>
      <c r="HR161" s="1017"/>
      <c r="HS161" s="1017"/>
      <c r="HT161" s="1017"/>
      <c r="HU161" s="1017"/>
      <c r="HV161" s="1017"/>
      <c r="HW161" s="1017"/>
      <c r="HX161" s="1017"/>
      <c r="HY161" s="1017"/>
      <c r="HZ161" s="1017"/>
      <c r="IA161" s="1017"/>
      <c r="IB161" s="1017"/>
      <c r="IC161" s="1017"/>
      <c r="ID161" s="1017"/>
      <c r="IE161" s="1017"/>
      <c r="IF161" s="1017"/>
      <c r="IG161" s="1017"/>
      <c r="IH161" s="1017"/>
      <c r="II161" s="1017"/>
      <c r="IJ161" s="1017"/>
      <c r="IK161" s="1017"/>
      <c r="IL161" s="1017"/>
      <c r="IM161" s="1017"/>
    </row>
    <row r="162" spans="1:247">
      <c r="A162" s="1052" t="s">
        <v>1007</v>
      </c>
      <c r="B162" s="1053"/>
      <c r="C162" s="1050">
        <v>21.318999999999999</v>
      </c>
      <c r="D162" s="1045">
        <v>14.242000000000001</v>
      </c>
      <c r="E162" s="1046">
        <v>13.821999999999999</v>
      </c>
      <c r="F162" s="1046">
        <v>31.001000000000001</v>
      </c>
      <c r="G162" s="1047">
        <v>163.602</v>
      </c>
      <c r="H162" s="1048">
        <v>29.242000000000001</v>
      </c>
      <c r="I162" s="1048">
        <v>28.821999999999999</v>
      </c>
      <c r="J162" s="1048">
        <v>31.001000000000001</v>
      </c>
      <c r="K162" s="1049">
        <v>163.602</v>
      </c>
      <c r="L162" s="1028"/>
      <c r="M162" s="1074"/>
      <c r="N162" s="1050">
        <f t="shared" si="102"/>
        <v>29.242000000000001</v>
      </c>
      <c r="O162" s="1045">
        <v>30.959605123166927</v>
      </c>
      <c r="P162" s="1046">
        <v>32.991321266543494</v>
      </c>
      <c r="Q162" s="1046">
        <v>35.014169412874367</v>
      </c>
      <c r="R162" s="1045">
        <f t="shared" si="117"/>
        <v>-2.137605123166928</v>
      </c>
      <c r="S162" s="1046">
        <f t="shared" si="117"/>
        <v>-1.9903212665434928</v>
      </c>
      <c r="T162" s="1046">
        <f t="shared" si="117"/>
        <v>128.58783058712564</v>
      </c>
      <c r="U162" s="1050">
        <f t="shared" si="100"/>
        <v>1.7176051231669263</v>
      </c>
      <c r="V162" s="948"/>
      <c r="W162" s="1045">
        <f t="shared" si="118"/>
        <v>30.959605123166927</v>
      </c>
      <c r="X162" s="1046">
        <v>13.821999999999999</v>
      </c>
      <c r="Y162" s="1045">
        <f t="shared" si="78"/>
        <v>-17.137605123166928</v>
      </c>
      <c r="Z162" s="1051">
        <f t="shared" si="105"/>
        <v>-1.9149160513665331E-2</v>
      </c>
      <c r="AA162" s="1017"/>
      <c r="AB162" s="952"/>
      <c r="AC162" s="1017"/>
      <c r="AD162" s="1017"/>
      <c r="AE162" s="1017"/>
      <c r="AF162" s="1017"/>
      <c r="AG162" s="1017"/>
      <c r="AH162" s="1017"/>
      <c r="AI162" s="1017"/>
      <c r="AJ162" s="1017"/>
      <c r="AK162" s="1017"/>
      <c r="AL162" s="1017"/>
      <c r="AM162" s="1017"/>
      <c r="AN162" s="1017"/>
      <c r="AO162" s="1017"/>
      <c r="AP162" s="1017"/>
      <c r="AQ162" s="1017"/>
      <c r="AR162" s="1017"/>
      <c r="AS162" s="1017"/>
      <c r="AT162" s="1017"/>
      <c r="AU162" s="1017"/>
      <c r="AV162" s="1017"/>
      <c r="AW162" s="1017"/>
      <c r="AX162" s="1017"/>
      <c r="AY162" s="1017"/>
      <c r="AZ162" s="1017"/>
      <c r="BA162" s="1017"/>
      <c r="BB162" s="1017"/>
      <c r="BC162" s="1017"/>
      <c r="BD162" s="1017"/>
      <c r="BE162" s="1017"/>
      <c r="BF162" s="1017"/>
      <c r="BG162" s="1017"/>
      <c r="BH162" s="1017"/>
      <c r="BI162" s="1017"/>
      <c r="BJ162" s="1017"/>
      <c r="BK162" s="1017"/>
      <c r="BL162" s="1017"/>
      <c r="BM162" s="1017"/>
      <c r="BN162" s="1017"/>
      <c r="BO162" s="1017"/>
      <c r="BP162" s="1017"/>
      <c r="BQ162" s="1017"/>
      <c r="BR162" s="1017"/>
      <c r="BS162" s="1017"/>
      <c r="BT162" s="1017"/>
      <c r="BU162" s="1017"/>
      <c r="BV162" s="1017"/>
      <c r="BW162" s="1017"/>
      <c r="BX162" s="1017"/>
      <c r="BY162" s="1017"/>
      <c r="BZ162" s="1017"/>
      <c r="CA162" s="1017"/>
      <c r="CB162" s="1017"/>
      <c r="CC162" s="1017"/>
      <c r="CD162" s="1017"/>
      <c r="CE162" s="1017"/>
      <c r="CF162" s="1017"/>
      <c r="CG162" s="1017"/>
      <c r="CH162" s="1017"/>
      <c r="CI162" s="1017"/>
      <c r="CJ162" s="1017"/>
      <c r="CK162" s="1017"/>
      <c r="CL162" s="1017"/>
      <c r="CM162" s="1017"/>
      <c r="CN162" s="1017"/>
      <c r="CO162" s="1017"/>
      <c r="CP162" s="1017"/>
      <c r="CQ162" s="1017"/>
      <c r="CR162" s="1017"/>
      <c r="CS162" s="1017"/>
      <c r="CT162" s="1017"/>
      <c r="CU162" s="1017"/>
      <c r="CV162" s="1017"/>
      <c r="CW162" s="1017"/>
      <c r="CX162" s="1017"/>
      <c r="CY162" s="1017"/>
      <c r="CZ162" s="1017"/>
      <c r="DA162" s="1017"/>
      <c r="DB162" s="1017"/>
      <c r="DC162" s="1017"/>
      <c r="DD162" s="1017"/>
      <c r="DE162" s="1017"/>
      <c r="DF162" s="1017"/>
      <c r="DG162" s="1017"/>
      <c r="DH162" s="1017"/>
      <c r="DI162" s="1017"/>
      <c r="DJ162" s="1017"/>
      <c r="DK162" s="1017"/>
      <c r="DL162" s="1017"/>
      <c r="DM162" s="1017"/>
      <c r="DN162" s="1017"/>
      <c r="DO162" s="1017"/>
      <c r="DP162" s="1017"/>
      <c r="DQ162" s="1017"/>
      <c r="DR162" s="1017"/>
      <c r="DS162" s="1017"/>
      <c r="DT162" s="1017"/>
      <c r="DU162" s="1017"/>
      <c r="DV162" s="1017"/>
      <c r="DW162" s="1017"/>
      <c r="DX162" s="1017"/>
      <c r="DY162" s="1017"/>
      <c r="DZ162" s="1017"/>
      <c r="EA162" s="1017"/>
      <c r="EB162" s="1017"/>
      <c r="EC162" s="1017"/>
      <c r="ED162" s="1017"/>
      <c r="EE162" s="1017"/>
      <c r="EF162" s="1017"/>
      <c r="EG162" s="1017"/>
      <c r="EH162" s="1017"/>
      <c r="EI162" s="1017"/>
      <c r="EJ162" s="1017"/>
      <c r="EK162" s="1017"/>
      <c r="EL162" s="1017"/>
      <c r="EM162" s="1017"/>
      <c r="EN162" s="1017"/>
      <c r="EO162" s="1017"/>
      <c r="EP162" s="1017"/>
      <c r="EQ162" s="1017"/>
      <c r="ER162" s="1017"/>
      <c r="ES162" s="1017"/>
      <c r="ET162" s="1017"/>
      <c r="EU162" s="1017"/>
      <c r="EV162" s="1017"/>
      <c r="EW162" s="1017"/>
      <c r="EX162" s="1017"/>
      <c r="EY162" s="1017"/>
      <c r="EZ162" s="1017"/>
      <c r="FA162" s="1017"/>
      <c r="FB162" s="1017"/>
      <c r="FC162" s="1017"/>
      <c r="FD162" s="1017"/>
      <c r="FE162" s="1017"/>
      <c r="FF162" s="1017"/>
      <c r="FG162" s="1017"/>
      <c r="FH162" s="1017"/>
      <c r="FI162" s="1017"/>
      <c r="FJ162" s="1017"/>
      <c r="FK162" s="1017"/>
      <c r="FL162" s="1017"/>
      <c r="FM162" s="1017"/>
      <c r="FN162" s="1017"/>
      <c r="FO162" s="1017"/>
      <c r="FP162" s="1017"/>
      <c r="FQ162" s="1017"/>
      <c r="FR162" s="1017"/>
      <c r="FS162" s="1017"/>
      <c r="FT162" s="1017"/>
      <c r="FU162" s="1017"/>
      <c r="FV162" s="1017"/>
      <c r="FW162" s="1017"/>
      <c r="FX162" s="1017"/>
      <c r="FY162" s="1017"/>
      <c r="FZ162" s="1017"/>
      <c r="GA162" s="1017"/>
      <c r="GB162" s="1017"/>
      <c r="GC162" s="1017"/>
      <c r="GD162" s="1017"/>
      <c r="GE162" s="1017"/>
      <c r="GF162" s="1017"/>
      <c r="GG162" s="1017"/>
      <c r="GH162" s="1017"/>
      <c r="GI162" s="1017"/>
      <c r="GJ162" s="1017"/>
      <c r="GK162" s="1017"/>
      <c r="GL162" s="1017"/>
      <c r="GM162" s="1017"/>
      <c r="GN162" s="1017"/>
      <c r="GO162" s="1017"/>
      <c r="GP162" s="1017"/>
      <c r="GQ162" s="1017"/>
      <c r="GR162" s="1017"/>
      <c r="GS162" s="1017"/>
      <c r="GT162" s="1017"/>
      <c r="GU162" s="1017"/>
      <c r="GV162" s="1017"/>
      <c r="GW162" s="1017"/>
      <c r="GX162" s="1017"/>
      <c r="GY162" s="1017"/>
      <c r="GZ162" s="1017"/>
      <c r="HA162" s="1017"/>
      <c r="HB162" s="1017"/>
      <c r="HC162" s="1017"/>
      <c r="HD162" s="1017"/>
      <c r="HE162" s="1017"/>
      <c r="HF162" s="1017"/>
      <c r="HG162" s="1017"/>
      <c r="HH162" s="1017"/>
      <c r="HI162" s="1017"/>
      <c r="HJ162" s="1017"/>
      <c r="HK162" s="1017"/>
      <c r="HL162" s="1017"/>
      <c r="HM162" s="1017"/>
      <c r="HN162" s="1017"/>
      <c r="HO162" s="1017"/>
      <c r="HP162" s="1017"/>
      <c r="HQ162" s="1017"/>
      <c r="HR162" s="1017"/>
      <c r="HS162" s="1017"/>
      <c r="HT162" s="1017"/>
      <c r="HU162" s="1017"/>
      <c r="HV162" s="1017"/>
      <c r="HW162" s="1017"/>
      <c r="HX162" s="1017"/>
      <c r="HY162" s="1017"/>
      <c r="HZ162" s="1017"/>
      <c r="IA162" s="1017"/>
      <c r="IB162" s="1017"/>
      <c r="IC162" s="1017"/>
      <c r="ID162" s="1017"/>
      <c r="IE162" s="1017"/>
      <c r="IF162" s="1017"/>
      <c r="IG162" s="1017"/>
      <c r="IH162" s="1017"/>
      <c r="II162" s="1017"/>
      <c r="IJ162" s="1017"/>
      <c r="IK162" s="1017"/>
      <c r="IL162" s="1017"/>
      <c r="IM162" s="1017"/>
    </row>
    <row r="163" spans="1:247">
      <c r="A163" s="1052" t="s">
        <v>1008</v>
      </c>
      <c r="B163" s="1053"/>
      <c r="C163" s="1050">
        <v>30.410900000000002</v>
      </c>
      <c r="D163" s="1045">
        <v>9.3000000000000007</v>
      </c>
      <c r="E163" s="1046">
        <v>9.3000000000000007</v>
      </c>
      <c r="F163" s="1046">
        <v>9.3000000000000007</v>
      </c>
      <c r="G163" s="1047">
        <v>38.200000000000003</v>
      </c>
      <c r="H163" s="1048">
        <v>9.3000000000000007</v>
      </c>
      <c r="I163" s="1048">
        <v>9.3000000000000007</v>
      </c>
      <c r="J163" s="1048">
        <v>9.3000000000000007</v>
      </c>
      <c r="K163" s="1049">
        <v>38.200000000000003</v>
      </c>
      <c r="L163" s="1028"/>
      <c r="M163" s="1074"/>
      <c r="N163" s="1050">
        <f t="shared" si="102"/>
        <v>9.3000000000000007</v>
      </c>
      <c r="O163" s="1045">
        <f>I163</f>
        <v>9.3000000000000007</v>
      </c>
      <c r="P163" s="1046">
        <f t="shared" ref="P163:Q163" si="120">J163</f>
        <v>9.3000000000000007</v>
      </c>
      <c r="Q163" s="1046">
        <f t="shared" si="120"/>
        <v>38.200000000000003</v>
      </c>
      <c r="R163" s="1045">
        <f t="shared" si="117"/>
        <v>0</v>
      </c>
      <c r="S163" s="1046">
        <f t="shared" si="117"/>
        <v>0</v>
      </c>
      <c r="T163" s="1046">
        <f t="shared" si="117"/>
        <v>0</v>
      </c>
      <c r="U163" s="1050">
        <f t="shared" si="100"/>
        <v>0</v>
      </c>
      <c r="V163" s="948"/>
      <c r="W163" s="1045">
        <f t="shared" si="118"/>
        <v>9.3000000000000007</v>
      </c>
      <c r="X163" s="1046">
        <v>9.3000000000000007</v>
      </c>
      <c r="Y163" s="1045">
        <f t="shared" si="78"/>
        <v>0</v>
      </c>
      <c r="Z163" s="1051">
        <f t="shared" si="105"/>
        <v>0</v>
      </c>
      <c r="AA163" s="1017"/>
      <c r="AB163" s="952"/>
      <c r="AC163" s="1017"/>
      <c r="AD163" s="1017"/>
      <c r="AE163" s="1017"/>
      <c r="AF163" s="1017"/>
      <c r="AG163" s="1017"/>
      <c r="AH163" s="1017"/>
      <c r="AI163" s="1017"/>
      <c r="AJ163" s="1017"/>
      <c r="AK163" s="1017"/>
      <c r="AL163" s="1017"/>
      <c r="AM163" s="1017"/>
      <c r="AN163" s="1017"/>
      <c r="AO163" s="1017"/>
      <c r="AP163" s="1017"/>
      <c r="AQ163" s="1017"/>
      <c r="AR163" s="1017"/>
      <c r="AS163" s="1017"/>
      <c r="AT163" s="1017"/>
      <c r="AU163" s="1017"/>
      <c r="AV163" s="1017"/>
      <c r="AW163" s="1017"/>
      <c r="AX163" s="1017"/>
      <c r="AY163" s="1017"/>
      <c r="AZ163" s="1017"/>
      <c r="BA163" s="1017"/>
      <c r="BB163" s="1017"/>
      <c r="BC163" s="1017"/>
      <c r="BD163" s="1017"/>
      <c r="BE163" s="1017"/>
      <c r="BF163" s="1017"/>
      <c r="BG163" s="1017"/>
      <c r="BH163" s="1017"/>
      <c r="BI163" s="1017"/>
      <c r="BJ163" s="1017"/>
      <c r="BK163" s="1017"/>
      <c r="BL163" s="1017"/>
      <c r="BM163" s="1017"/>
      <c r="BN163" s="1017"/>
      <c r="BO163" s="1017"/>
      <c r="BP163" s="1017"/>
      <c r="BQ163" s="1017"/>
      <c r="BR163" s="1017"/>
      <c r="BS163" s="1017"/>
      <c r="BT163" s="1017"/>
      <c r="BU163" s="1017"/>
      <c r="BV163" s="1017"/>
      <c r="BW163" s="1017"/>
      <c r="BX163" s="1017"/>
      <c r="BY163" s="1017"/>
      <c r="BZ163" s="1017"/>
      <c r="CA163" s="1017"/>
      <c r="CB163" s="1017"/>
      <c r="CC163" s="1017"/>
      <c r="CD163" s="1017"/>
      <c r="CE163" s="1017"/>
      <c r="CF163" s="1017"/>
      <c r="CG163" s="1017"/>
      <c r="CH163" s="1017"/>
      <c r="CI163" s="1017"/>
      <c r="CJ163" s="1017"/>
      <c r="CK163" s="1017"/>
      <c r="CL163" s="1017"/>
      <c r="CM163" s="1017"/>
      <c r="CN163" s="1017"/>
      <c r="CO163" s="1017"/>
      <c r="CP163" s="1017"/>
      <c r="CQ163" s="1017"/>
      <c r="CR163" s="1017"/>
      <c r="CS163" s="1017"/>
      <c r="CT163" s="1017"/>
      <c r="CU163" s="1017"/>
      <c r="CV163" s="1017"/>
      <c r="CW163" s="1017"/>
      <c r="CX163" s="1017"/>
      <c r="CY163" s="1017"/>
      <c r="CZ163" s="1017"/>
      <c r="DA163" s="1017"/>
      <c r="DB163" s="1017"/>
      <c r="DC163" s="1017"/>
      <c r="DD163" s="1017"/>
      <c r="DE163" s="1017"/>
      <c r="DF163" s="1017"/>
      <c r="DG163" s="1017"/>
      <c r="DH163" s="1017"/>
      <c r="DI163" s="1017"/>
      <c r="DJ163" s="1017"/>
      <c r="DK163" s="1017"/>
      <c r="DL163" s="1017"/>
      <c r="DM163" s="1017"/>
      <c r="DN163" s="1017"/>
      <c r="DO163" s="1017"/>
      <c r="DP163" s="1017"/>
      <c r="DQ163" s="1017"/>
      <c r="DR163" s="1017"/>
      <c r="DS163" s="1017"/>
      <c r="DT163" s="1017"/>
      <c r="DU163" s="1017"/>
      <c r="DV163" s="1017"/>
      <c r="DW163" s="1017"/>
      <c r="DX163" s="1017"/>
      <c r="DY163" s="1017"/>
      <c r="DZ163" s="1017"/>
      <c r="EA163" s="1017"/>
      <c r="EB163" s="1017"/>
      <c r="EC163" s="1017"/>
      <c r="ED163" s="1017"/>
      <c r="EE163" s="1017"/>
      <c r="EF163" s="1017"/>
      <c r="EG163" s="1017"/>
      <c r="EH163" s="1017"/>
      <c r="EI163" s="1017"/>
      <c r="EJ163" s="1017"/>
      <c r="EK163" s="1017"/>
      <c r="EL163" s="1017"/>
      <c r="EM163" s="1017"/>
      <c r="EN163" s="1017"/>
      <c r="EO163" s="1017"/>
      <c r="EP163" s="1017"/>
      <c r="EQ163" s="1017"/>
      <c r="ER163" s="1017"/>
      <c r="ES163" s="1017"/>
      <c r="ET163" s="1017"/>
      <c r="EU163" s="1017"/>
      <c r="EV163" s="1017"/>
      <c r="EW163" s="1017"/>
      <c r="EX163" s="1017"/>
      <c r="EY163" s="1017"/>
      <c r="EZ163" s="1017"/>
      <c r="FA163" s="1017"/>
      <c r="FB163" s="1017"/>
      <c r="FC163" s="1017"/>
      <c r="FD163" s="1017"/>
      <c r="FE163" s="1017"/>
      <c r="FF163" s="1017"/>
      <c r="FG163" s="1017"/>
      <c r="FH163" s="1017"/>
      <c r="FI163" s="1017"/>
      <c r="FJ163" s="1017"/>
      <c r="FK163" s="1017"/>
      <c r="FL163" s="1017"/>
      <c r="FM163" s="1017"/>
      <c r="FN163" s="1017"/>
      <c r="FO163" s="1017"/>
      <c r="FP163" s="1017"/>
      <c r="FQ163" s="1017"/>
      <c r="FR163" s="1017"/>
      <c r="FS163" s="1017"/>
      <c r="FT163" s="1017"/>
      <c r="FU163" s="1017"/>
      <c r="FV163" s="1017"/>
      <c r="FW163" s="1017"/>
      <c r="FX163" s="1017"/>
      <c r="FY163" s="1017"/>
      <c r="FZ163" s="1017"/>
      <c r="GA163" s="1017"/>
      <c r="GB163" s="1017"/>
      <c r="GC163" s="1017"/>
      <c r="GD163" s="1017"/>
      <c r="GE163" s="1017"/>
      <c r="GF163" s="1017"/>
      <c r="GG163" s="1017"/>
      <c r="GH163" s="1017"/>
      <c r="GI163" s="1017"/>
      <c r="GJ163" s="1017"/>
      <c r="GK163" s="1017"/>
      <c r="GL163" s="1017"/>
      <c r="GM163" s="1017"/>
      <c r="GN163" s="1017"/>
      <c r="GO163" s="1017"/>
      <c r="GP163" s="1017"/>
      <c r="GQ163" s="1017"/>
      <c r="GR163" s="1017"/>
      <c r="GS163" s="1017"/>
      <c r="GT163" s="1017"/>
      <c r="GU163" s="1017"/>
      <c r="GV163" s="1017"/>
      <c r="GW163" s="1017"/>
      <c r="GX163" s="1017"/>
      <c r="GY163" s="1017"/>
      <c r="GZ163" s="1017"/>
      <c r="HA163" s="1017"/>
      <c r="HB163" s="1017"/>
      <c r="HC163" s="1017"/>
      <c r="HD163" s="1017"/>
      <c r="HE163" s="1017"/>
      <c r="HF163" s="1017"/>
      <c r="HG163" s="1017"/>
      <c r="HH163" s="1017"/>
      <c r="HI163" s="1017"/>
      <c r="HJ163" s="1017"/>
      <c r="HK163" s="1017"/>
      <c r="HL163" s="1017"/>
      <c r="HM163" s="1017"/>
      <c r="HN163" s="1017"/>
      <c r="HO163" s="1017"/>
      <c r="HP163" s="1017"/>
      <c r="HQ163" s="1017"/>
      <c r="HR163" s="1017"/>
      <c r="HS163" s="1017"/>
      <c r="HT163" s="1017"/>
      <c r="HU163" s="1017"/>
      <c r="HV163" s="1017"/>
      <c r="HW163" s="1017"/>
      <c r="HX163" s="1017"/>
      <c r="HY163" s="1017"/>
      <c r="HZ163" s="1017"/>
      <c r="IA163" s="1017"/>
      <c r="IB163" s="1017"/>
      <c r="IC163" s="1017"/>
      <c r="ID163" s="1017"/>
      <c r="IE163" s="1017"/>
      <c r="IF163" s="1017"/>
      <c r="IG163" s="1017"/>
      <c r="IH163" s="1017"/>
      <c r="II163" s="1017"/>
      <c r="IJ163" s="1017"/>
      <c r="IK163" s="1017"/>
      <c r="IL163" s="1017"/>
      <c r="IM163" s="1017"/>
    </row>
    <row r="164" spans="1:247">
      <c r="A164" s="1052" t="s">
        <v>547</v>
      </c>
      <c r="B164" s="1053"/>
      <c r="C164" s="1050">
        <v>0</v>
      </c>
      <c r="D164" s="1045">
        <v>0</v>
      </c>
      <c r="E164" s="1046">
        <v>39.550913000000001</v>
      </c>
      <c r="F164" s="1046">
        <v>128.30685</v>
      </c>
      <c r="G164" s="1047">
        <v>224.47739999999999</v>
      </c>
      <c r="H164" s="1048">
        <v>0</v>
      </c>
      <c r="I164" s="1048">
        <v>0</v>
      </c>
      <c r="J164" s="1048">
        <v>0</v>
      </c>
      <c r="K164" s="1049">
        <v>0</v>
      </c>
      <c r="L164" s="1028"/>
      <c r="M164" s="1074"/>
      <c r="N164" s="1050">
        <f t="shared" si="102"/>
        <v>0</v>
      </c>
      <c r="O164" s="1045">
        <v>0</v>
      </c>
      <c r="P164" s="1046">
        <v>0</v>
      </c>
      <c r="Q164" s="1046">
        <v>0</v>
      </c>
      <c r="R164" s="1045">
        <f t="shared" si="117"/>
        <v>0</v>
      </c>
      <c r="S164" s="1046">
        <f t="shared" si="117"/>
        <v>0</v>
      </c>
      <c r="T164" s="1046">
        <f t="shared" si="117"/>
        <v>0</v>
      </c>
      <c r="U164" s="1050">
        <f t="shared" si="100"/>
        <v>0</v>
      </c>
      <c r="V164" s="948"/>
      <c r="W164" s="1045">
        <f t="shared" si="118"/>
        <v>0</v>
      </c>
      <c r="X164" s="1046">
        <v>39.550913000000001</v>
      </c>
      <c r="Y164" s="1045">
        <f t="shared" si="78"/>
        <v>39.550913000000001</v>
      </c>
      <c r="Z164" s="1051">
        <f t="shared" si="105"/>
        <v>4.4193268315838988E-2</v>
      </c>
      <c r="AA164" s="1017"/>
      <c r="AB164" s="952"/>
      <c r="AC164" s="1017"/>
      <c r="AD164" s="1017"/>
      <c r="AE164" s="1017"/>
      <c r="AF164" s="1017"/>
      <c r="AG164" s="1017"/>
      <c r="AH164" s="1017"/>
      <c r="AI164" s="1017"/>
      <c r="AJ164" s="1017"/>
      <c r="AK164" s="1017"/>
      <c r="AL164" s="1017"/>
      <c r="AM164" s="1017"/>
      <c r="AN164" s="1017"/>
      <c r="AO164" s="1017"/>
      <c r="AP164" s="1017"/>
      <c r="AQ164" s="1017"/>
      <c r="AR164" s="1017"/>
      <c r="AS164" s="1017"/>
      <c r="AT164" s="1017"/>
      <c r="AU164" s="1017"/>
      <c r="AV164" s="1017"/>
      <c r="AW164" s="1017"/>
      <c r="AX164" s="1017"/>
      <c r="AY164" s="1017"/>
      <c r="AZ164" s="1017"/>
      <c r="BA164" s="1017"/>
      <c r="BB164" s="1017"/>
      <c r="BC164" s="1017"/>
      <c r="BD164" s="1017"/>
      <c r="BE164" s="1017"/>
      <c r="BF164" s="1017"/>
      <c r="BG164" s="1017"/>
      <c r="BH164" s="1017"/>
      <c r="BI164" s="1017"/>
      <c r="BJ164" s="1017"/>
      <c r="BK164" s="1017"/>
      <c r="BL164" s="1017"/>
      <c r="BM164" s="1017"/>
      <c r="BN164" s="1017"/>
      <c r="BO164" s="1017"/>
      <c r="BP164" s="1017"/>
      <c r="BQ164" s="1017"/>
      <c r="BR164" s="1017"/>
      <c r="BS164" s="1017"/>
      <c r="BT164" s="1017"/>
      <c r="BU164" s="1017"/>
      <c r="BV164" s="1017"/>
      <c r="BW164" s="1017"/>
      <c r="BX164" s="1017"/>
      <c r="BY164" s="1017"/>
      <c r="BZ164" s="1017"/>
      <c r="CA164" s="1017"/>
      <c r="CB164" s="1017"/>
      <c r="CC164" s="1017"/>
      <c r="CD164" s="1017"/>
      <c r="CE164" s="1017"/>
      <c r="CF164" s="1017"/>
      <c r="CG164" s="1017"/>
      <c r="CH164" s="1017"/>
      <c r="CI164" s="1017"/>
      <c r="CJ164" s="1017"/>
      <c r="CK164" s="1017"/>
      <c r="CL164" s="1017"/>
      <c r="CM164" s="1017"/>
      <c r="CN164" s="1017"/>
      <c r="CO164" s="1017"/>
      <c r="CP164" s="1017"/>
      <c r="CQ164" s="1017"/>
      <c r="CR164" s="1017"/>
      <c r="CS164" s="1017"/>
      <c r="CT164" s="1017"/>
      <c r="CU164" s="1017"/>
      <c r="CV164" s="1017"/>
      <c r="CW164" s="1017"/>
      <c r="CX164" s="1017"/>
      <c r="CY164" s="1017"/>
      <c r="CZ164" s="1017"/>
      <c r="DA164" s="1017"/>
      <c r="DB164" s="1017"/>
      <c r="DC164" s="1017"/>
      <c r="DD164" s="1017"/>
      <c r="DE164" s="1017"/>
      <c r="DF164" s="1017"/>
      <c r="DG164" s="1017"/>
      <c r="DH164" s="1017"/>
      <c r="DI164" s="1017"/>
      <c r="DJ164" s="1017"/>
      <c r="DK164" s="1017"/>
      <c r="DL164" s="1017"/>
      <c r="DM164" s="1017"/>
      <c r="DN164" s="1017"/>
      <c r="DO164" s="1017"/>
      <c r="DP164" s="1017"/>
      <c r="DQ164" s="1017"/>
      <c r="DR164" s="1017"/>
      <c r="DS164" s="1017"/>
      <c r="DT164" s="1017"/>
      <c r="DU164" s="1017"/>
      <c r="DV164" s="1017"/>
      <c r="DW164" s="1017"/>
      <c r="DX164" s="1017"/>
      <c r="DY164" s="1017"/>
      <c r="DZ164" s="1017"/>
      <c r="EA164" s="1017"/>
      <c r="EB164" s="1017"/>
      <c r="EC164" s="1017"/>
      <c r="ED164" s="1017"/>
      <c r="EE164" s="1017"/>
      <c r="EF164" s="1017"/>
      <c r="EG164" s="1017"/>
      <c r="EH164" s="1017"/>
      <c r="EI164" s="1017"/>
      <c r="EJ164" s="1017"/>
      <c r="EK164" s="1017"/>
      <c r="EL164" s="1017"/>
      <c r="EM164" s="1017"/>
      <c r="EN164" s="1017"/>
      <c r="EO164" s="1017"/>
      <c r="EP164" s="1017"/>
      <c r="EQ164" s="1017"/>
      <c r="ER164" s="1017"/>
      <c r="ES164" s="1017"/>
      <c r="ET164" s="1017"/>
      <c r="EU164" s="1017"/>
      <c r="EV164" s="1017"/>
      <c r="EW164" s="1017"/>
      <c r="EX164" s="1017"/>
      <c r="EY164" s="1017"/>
      <c r="EZ164" s="1017"/>
      <c r="FA164" s="1017"/>
      <c r="FB164" s="1017"/>
      <c r="FC164" s="1017"/>
      <c r="FD164" s="1017"/>
      <c r="FE164" s="1017"/>
      <c r="FF164" s="1017"/>
      <c r="FG164" s="1017"/>
      <c r="FH164" s="1017"/>
      <c r="FI164" s="1017"/>
      <c r="FJ164" s="1017"/>
      <c r="FK164" s="1017"/>
      <c r="FL164" s="1017"/>
      <c r="FM164" s="1017"/>
      <c r="FN164" s="1017"/>
      <c r="FO164" s="1017"/>
      <c r="FP164" s="1017"/>
      <c r="FQ164" s="1017"/>
      <c r="FR164" s="1017"/>
      <c r="FS164" s="1017"/>
      <c r="FT164" s="1017"/>
      <c r="FU164" s="1017"/>
      <c r="FV164" s="1017"/>
      <c r="FW164" s="1017"/>
      <c r="FX164" s="1017"/>
      <c r="FY164" s="1017"/>
      <c r="FZ164" s="1017"/>
      <c r="GA164" s="1017"/>
      <c r="GB164" s="1017"/>
      <c r="GC164" s="1017"/>
      <c r="GD164" s="1017"/>
      <c r="GE164" s="1017"/>
      <c r="GF164" s="1017"/>
      <c r="GG164" s="1017"/>
      <c r="GH164" s="1017"/>
      <c r="GI164" s="1017"/>
      <c r="GJ164" s="1017"/>
      <c r="GK164" s="1017"/>
      <c r="GL164" s="1017"/>
      <c r="GM164" s="1017"/>
      <c r="GN164" s="1017"/>
      <c r="GO164" s="1017"/>
      <c r="GP164" s="1017"/>
      <c r="GQ164" s="1017"/>
      <c r="GR164" s="1017"/>
      <c r="GS164" s="1017"/>
      <c r="GT164" s="1017"/>
      <c r="GU164" s="1017"/>
      <c r="GV164" s="1017"/>
      <c r="GW164" s="1017"/>
      <c r="GX164" s="1017"/>
      <c r="GY164" s="1017"/>
      <c r="GZ164" s="1017"/>
      <c r="HA164" s="1017"/>
      <c r="HB164" s="1017"/>
      <c r="HC164" s="1017"/>
      <c r="HD164" s="1017"/>
      <c r="HE164" s="1017"/>
      <c r="HF164" s="1017"/>
      <c r="HG164" s="1017"/>
      <c r="HH164" s="1017"/>
      <c r="HI164" s="1017"/>
      <c r="HJ164" s="1017"/>
      <c r="HK164" s="1017"/>
      <c r="HL164" s="1017"/>
      <c r="HM164" s="1017"/>
      <c r="HN164" s="1017"/>
      <c r="HO164" s="1017"/>
      <c r="HP164" s="1017"/>
      <c r="HQ164" s="1017"/>
      <c r="HR164" s="1017"/>
      <c r="HS164" s="1017"/>
      <c r="HT164" s="1017"/>
      <c r="HU164" s="1017"/>
      <c r="HV164" s="1017"/>
      <c r="HW164" s="1017"/>
      <c r="HX164" s="1017"/>
      <c r="HY164" s="1017"/>
      <c r="HZ164" s="1017"/>
      <c r="IA164" s="1017"/>
      <c r="IB164" s="1017"/>
      <c r="IC164" s="1017"/>
      <c r="ID164" s="1017"/>
      <c r="IE164" s="1017"/>
      <c r="IF164" s="1017"/>
      <c r="IG164" s="1017"/>
      <c r="IH164" s="1017"/>
      <c r="II164" s="1017"/>
      <c r="IJ164" s="1017"/>
      <c r="IK164" s="1017"/>
      <c r="IL164" s="1017"/>
      <c r="IM164" s="1017"/>
    </row>
    <row r="165" spans="1:247">
      <c r="A165" s="1052" t="s">
        <v>971</v>
      </c>
      <c r="B165" s="1053"/>
      <c r="C165" s="1050">
        <v>0</v>
      </c>
      <c r="D165" s="1045">
        <v>14.201000000000001</v>
      </c>
      <c r="E165" s="1046">
        <v>52.970033999999998</v>
      </c>
      <c r="F165" s="1046">
        <v>120.673213</v>
      </c>
      <c r="G165" s="1047">
        <v>120.673213</v>
      </c>
      <c r="H165" s="1048">
        <v>0</v>
      </c>
      <c r="I165" s="1048">
        <v>0</v>
      </c>
      <c r="J165" s="1048">
        <v>0</v>
      </c>
      <c r="K165" s="1049">
        <v>0</v>
      </c>
      <c r="L165" s="1028"/>
      <c r="M165" s="1074"/>
      <c r="N165" s="1050">
        <f t="shared" si="102"/>
        <v>0</v>
      </c>
      <c r="O165" s="1045">
        <v>0</v>
      </c>
      <c r="P165" s="1046">
        <v>0</v>
      </c>
      <c r="Q165" s="1046">
        <v>0</v>
      </c>
      <c r="R165" s="1045">
        <f t="shared" si="117"/>
        <v>0</v>
      </c>
      <c r="S165" s="1046">
        <f t="shared" si="117"/>
        <v>0</v>
      </c>
      <c r="T165" s="1046">
        <f t="shared" si="117"/>
        <v>0</v>
      </c>
      <c r="U165" s="1050">
        <f t="shared" si="100"/>
        <v>0</v>
      </c>
      <c r="V165" s="948"/>
      <c r="W165" s="1045">
        <f t="shared" si="118"/>
        <v>0</v>
      </c>
      <c r="X165" s="1046">
        <v>52.970033999999998</v>
      </c>
      <c r="Y165" s="1045">
        <f t="shared" si="78"/>
        <v>52.970033999999998</v>
      </c>
      <c r="Z165" s="1051">
        <f t="shared" si="105"/>
        <v>5.9187481342367843E-2</v>
      </c>
      <c r="AA165" s="1017"/>
      <c r="AB165" s="952"/>
      <c r="AC165" s="1017"/>
      <c r="AD165" s="1017"/>
      <c r="AE165" s="1017"/>
      <c r="AF165" s="1017"/>
      <c r="AG165" s="1017"/>
      <c r="AH165" s="1017"/>
      <c r="AI165" s="1017"/>
      <c r="AJ165" s="1017"/>
      <c r="AK165" s="1017"/>
      <c r="AL165" s="1017"/>
      <c r="AM165" s="1017"/>
      <c r="AN165" s="1017"/>
      <c r="AO165" s="1017"/>
      <c r="AP165" s="1017"/>
      <c r="AQ165" s="1017"/>
      <c r="AR165" s="1017"/>
      <c r="AS165" s="1017"/>
      <c r="AT165" s="1017"/>
      <c r="AU165" s="1017"/>
      <c r="AV165" s="1017"/>
      <c r="AW165" s="1017"/>
      <c r="AX165" s="1017"/>
      <c r="AY165" s="1017"/>
      <c r="AZ165" s="1017"/>
      <c r="BA165" s="1017"/>
      <c r="BB165" s="1017"/>
      <c r="BC165" s="1017"/>
      <c r="BD165" s="1017"/>
      <c r="BE165" s="1017"/>
      <c r="BF165" s="1017"/>
      <c r="BG165" s="1017"/>
      <c r="BH165" s="1017"/>
      <c r="BI165" s="1017"/>
      <c r="BJ165" s="1017"/>
      <c r="BK165" s="1017"/>
      <c r="BL165" s="1017"/>
      <c r="BM165" s="1017"/>
      <c r="BN165" s="1017"/>
      <c r="BO165" s="1017"/>
      <c r="BP165" s="1017"/>
      <c r="BQ165" s="1017"/>
      <c r="BR165" s="1017"/>
      <c r="BS165" s="1017"/>
      <c r="BT165" s="1017"/>
      <c r="BU165" s="1017"/>
      <c r="BV165" s="1017"/>
      <c r="BW165" s="1017"/>
      <c r="BX165" s="1017"/>
      <c r="BY165" s="1017"/>
      <c r="BZ165" s="1017"/>
      <c r="CA165" s="1017"/>
      <c r="CB165" s="1017"/>
      <c r="CC165" s="1017"/>
      <c r="CD165" s="1017"/>
      <c r="CE165" s="1017"/>
      <c r="CF165" s="1017"/>
      <c r="CG165" s="1017"/>
      <c r="CH165" s="1017"/>
      <c r="CI165" s="1017"/>
      <c r="CJ165" s="1017"/>
      <c r="CK165" s="1017"/>
      <c r="CL165" s="1017"/>
      <c r="CM165" s="1017"/>
      <c r="CN165" s="1017"/>
      <c r="CO165" s="1017"/>
      <c r="CP165" s="1017"/>
      <c r="CQ165" s="1017"/>
      <c r="CR165" s="1017"/>
      <c r="CS165" s="1017"/>
      <c r="CT165" s="1017"/>
      <c r="CU165" s="1017"/>
      <c r="CV165" s="1017"/>
      <c r="CW165" s="1017"/>
      <c r="CX165" s="1017"/>
      <c r="CY165" s="1017"/>
      <c r="CZ165" s="1017"/>
      <c r="DA165" s="1017"/>
      <c r="DB165" s="1017"/>
      <c r="DC165" s="1017"/>
      <c r="DD165" s="1017"/>
      <c r="DE165" s="1017"/>
      <c r="DF165" s="1017"/>
      <c r="DG165" s="1017"/>
      <c r="DH165" s="1017"/>
      <c r="DI165" s="1017"/>
      <c r="DJ165" s="1017"/>
      <c r="DK165" s="1017"/>
      <c r="DL165" s="1017"/>
      <c r="DM165" s="1017"/>
      <c r="DN165" s="1017"/>
      <c r="DO165" s="1017"/>
      <c r="DP165" s="1017"/>
      <c r="DQ165" s="1017"/>
      <c r="DR165" s="1017"/>
      <c r="DS165" s="1017"/>
      <c r="DT165" s="1017"/>
      <c r="DU165" s="1017"/>
      <c r="DV165" s="1017"/>
      <c r="DW165" s="1017"/>
      <c r="DX165" s="1017"/>
      <c r="DY165" s="1017"/>
      <c r="DZ165" s="1017"/>
      <c r="EA165" s="1017"/>
      <c r="EB165" s="1017"/>
      <c r="EC165" s="1017"/>
      <c r="ED165" s="1017"/>
      <c r="EE165" s="1017"/>
      <c r="EF165" s="1017"/>
      <c r="EG165" s="1017"/>
      <c r="EH165" s="1017"/>
      <c r="EI165" s="1017"/>
      <c r="EJ165" s="1017"/>
      <c r="EK165" s="1017"/>
      <c r="EL165" s="1017"/>
      <c r="EM165" s="1017"/>
      <c r="EN165" s="1017"/>
      <c r="EO165" s="1017"/>
      <c r="EP165" s="1017"/>
      <c r="EQ165" s="1017"/>
      <c r="ER165" s="1017"/>
      <c r="ES165" s="1017"/>
      <c r="ET165" s="1017"/>
      <c r="EU165" s="1017"/>
      <c r="EV165" s="1017"/>
      <c r="EW165" s="1017"/>
      <c r="EX165" s="1017"/>
      <c r="EY165" s="1017"/>
      <c r="EZ165" s="1017"/>
      <c r="FA165" s="1017"/>
      <c r="FB165" s="1017"/>
      <c r="FC165" s="1017"/>
      <c r="FD165" s="1017"/>
      <c r="FE165" s="1017"/>
      <c r="FF165" s="1017"/>
      <c r="FG165" s="1017"/>
      <c r="FH165" s="1017"/>
      <c r="FI165" s="1017"/>
      <c r="FJ165" s="1017"/>
      <c r="FK165" s="1017"/>
      <c r="FL165" s="1017"/>
      <c r="FM165" s="1017"/>
      <c r="FN165" s="1017"/>
      <c r="FO165" s="1017"/>
      <c r="FP165" s="1017"/>
      <c r="FQ165" s="1017"/>
      <c r="FR165" s="1017"/>
      <c r="FS165" s="1017"/>
      <c r="FT165" s="1017"/>
      <c r="FU165" s="1017"/>
      <c r="FV165" s="1017"/>
      <c r="FW165" s="1017"/>
      <c r="FX165" s="1017"/>
      <c r="FY165" s="1017"/>
      <c r="FZ165" s="1017"/>
      <c r="GA165" s="1017"/>
      <c r="GB165" s="1017"/>
      <c r="GC165" s="1017"/>
      <c r="GD165" s="1017"/>
      <c r="GE165" s="1017"/>
      <c r="GF165" s="1017"/>
      <c r="GG165" s="1017"/>
      <c r="GH165" s="1017"/>
      <c r="GI165" s="1017"/>
      <c r="GJ165" s="1017"/>
      <c r="GK165" s="1017"/>
      <c r="GL165" s="1017"/>
      <c r="GM165" s="1017"/>
      <c r="GN165" s="1017"/>
      <c r="GO165" s="1017"/>
      <c r="GP165" s="1017"/>
      <c r="GQ165" s="1017"/>
      <c r="GR165" s="1017"/>
      <c r="GS165" s="1017"/>
      <c r="GT165" s="1017"/>
      <c r="GU165" s="1017"/>
      <c r="GV165" s="1017"/>
      <c r="GW165" s="1017"/>
      <c r="GX165" s="1017"/>
      <c r="GY165" s="1017"/>
      <c r="GZ165" s="1017"/>
      <c r="HA165" s="1017"/>
      <c r="HB165" s="1017"/>
      <c r="HC165" s="1017"/>
      <c r="HD165" s="1017"/>
      <c r="HE165" s="1017"/>
      <c r="HF165" s="1017"/>
      <c r="HG165" s="1017"/>
      <c r="HH165" s="1017"/>
      <c r="HI165" s="1017"/>
      <c r="HJ165" s="1017"/>
      <c r="HK165" s="1017"/>
      <c r="HL165" s="1017"/>
      <c r="HM165" s="1017"/>
      <c r="HN165" s="1017"/>
      <c r="HO165" s="1017"/>
      <c r="HP165" s="1017"/>
      <c r="HQ165" s="1017"/>
      <c r="HR165" s="1017"/>
      <c r="HS165" s="1017"/>
      <c r="HT165" s="1017"/>
      <c r="HU165" s="1017"/>
      <c r="HV165" s="1017"/>
      <c r="HW165" s="1017"/>
      <c r="HX165" s="1017"/>
      <c r="HY165" s="1017"/>
      <c r="HZ165" s="1017"/>
      <c r="IA165" s="1017"/>
      <c r="IB165" s="1017"/>
      <c r="IC165" s="1017"/>
      <c r="ID165" s="1017"/>
      <c r="IE165" s="1017"/>
      <c r="IF165" s="1017"/>
      <c r="IG165" s="1017"/>
      <c r="IH165" s="1017"/>
      <c r="II165" s="1017"/>
      <c r="IJ165" s="1017"/>
      <c r="IK165" s="1017"/>
      <c r="IL165" s="1017"/>
      <c r="IM165" s="1017"/>
    </row>
    <row r="166" spans="1:247">
      <c r="A166" s="1052" t="s">
        <v>961</v>
      </c>
      <c r="B166" s="1053"/>
      <c r="C166" s="1050">
        <v>0</v>
      </c>
      <c r="D166" s="1045">
        <v>0</v>
      </c>
      <c r="E166" s="1046">
        <v>-83.786000000000001</v>
      </c>
      <c r="F166" s="1046">
        <v>-236.41399999999999</v>
      </c>
      <c r="G166" s="1047">
        <v>-332.58499999999998</v>
      </c>
      <c r="H166" s="1048">
        <v>0</v>
      </c>
      <c r="I166" s="1048">
        <v>0</v>
      </c>
      <c r="J166" s="1048">
        <v>0</v>
      </c>
      <c r="K166" s="1049">
        <v>0</v>
      </c>
      <c r="L166" s="1028"/>
      <c r="M166" s="1074"/>
      <c r="N166" s="1050">
        <f t="shared" si="102"/>
        <v>0</v>
      </c>
      <c r="O166" s="1045">
        <v>0</v>
      </c>
      <c r="P166" s="1046">
        <v>0</v>
      </c>
      <c r="Q166" s="1046">
        <v>0</v>
      </c>
      <c r="R166" s="1045">
        <f t="shared" si="117"/>
        <v>0</v>
      </c>
      <c r="S166" s="1046">
        <f t="shared" si="117"/>
        <v>0</v>
      </c>
      <c r="T166" s="1046">
        <f t="shared" si="117"/>
        <v>0</v>
      </c>
      <c r="U166" s="1050">
        <f t="shared" si="100"/>
        <v>0</v>
      </c>
      <c r="V166" s="948"/>
      <c r="W166" s="1045">
        <f t="shared" si="118"/>
        <v>0</v>
      </c>
      <c r="X166" s="1046">
        <v>-83.786000000000001</v>
      </c>
      <c r="Y166" s="1045">
        <f t="shared" si="78"/>
        <v>-83.786000000000001</v>
      </c>
      <c r="Z166" s="1051">
        <f t="shared" si="105"/>
        <v>-9.3620523478456355E-2</v>
      </c>
      <c r="AA166" s="1017"/>
      <c r="AB166" s="952"/>
      <c r="AC166" s="1017"/>
      <c r="AD166" s="1017"/>
      <c r="AE166" s="1017"/>
      <c r="AF166" s="1017"/>
      <c r="AG166" s="1017"/>
      <c r="AH166" s="1017"/>
      <c r="AI166" s="1017"/>
      <c r="AJ166" s="1017"/>
      <c r="AK166" s="1017"/>
      <c r="AL166" s="1017"/>
      <c r="AM166" s="1017"/>
      <c r="AN166" s="1017"/>
      <c r="AO166" s="1017"/>
      <c r="AP166" s="1017"/>
      <c r="AQ166" s="1017"/>
      <c r="AR166" s="1017"/>
      <c r="AS166" s="1017"/>
      <c r="AT166" s="1017"/>
      <c r="AU166" s="1017"/>
      <c r="AV166" s="1017"/>
      <c r="AW166" s="1017"/>
      <c r="AX166" s="1017"/>
      <c r="AY166" s="1017"/>
      <c r="AZ166" s="1017"/>
      <c r="BA166" s="1017"/>
      <c r="BB166" s="1017"/>
      <c r="BC166" s="1017"/>
      <c r="BD166" s="1017"/>
      <c r="BE166" s="1017"/>
      <c r="BF166" s="1017"/>
      <c r="BG166" s="1017"/>
      <c r="BH166" s="1017"/>
      <c r="BI166" s="1017"/>
      <c r="BJ166" s="1017"/>
      <c r="BK166" s="1017"/>
      <c r="BL166" s="1017"/>
      <c r="BM166" s="1017"/>
      <c r="BN166" s="1017"/>
      <c r="BO166" s="1017"/>
      <c r="BP166" s="1017"/>
      <c r="BQ166" s="1017"/>
      <c r="BR166" s="1017"/>
      <c r="BS166" s="1017"/>
      <c r="BT166" s="1017"/>
      <c r="BU166" s="1017"/>
      <c r="BV166" s="1017"/>
      <c r="BW166" s="1017"/>
      <c r="BX166" s="1017"/>
      <c r="BY166" s="1017"/>
      <c r="BZ166" s="1017"/>
      <c r="CA166" s="1017"/>
      <c r="CB166" s="1017"/>
      <c r="CC166" s="1017"/>
      <c r="CD166" s="1017"/>
      <c r="CE166" s="1017"/>
      <c r="CF166" s="1017"/>
      <c r="CG166" s="1017"/>
      <c r="CH166" s="1017"/>
      <c r="CI166" s="1017"/>
      <c r="CJ166" s="1017"/>
      <c r="CK166" s="1017"/>
      <c r="CL166" s="1017"/>
      <c r="CM166" s="1017"/>
      <c r="CN166" s="1017"/>
      <c r="CO166" s="1017"/>
      <c r="CP166" s="1017"/>
      <c r="CQ166" s="1017"/>
      <c r="CR166" s="1017"/>
      <c r="CS166" s="1017"/>
      <c r="CT166" s="1017"/>
      <c r="CU166" s="1017"/>
      <c r="CV166" s="1017"/>
      <c r="CW166" s="1017"/>
      <c r="CX166" s="1017"/>
      <c r="CY166" s="1017"/>
      <c r="CZ166" s="1017"/>
      <c r="DA166" s="1017"/>
      <c r="DB166" s="1017"/>
      <c r="DC166" s="1017"/>
      <c r="DD166" s="1017"/>
      <c r="DE166" s="1017"/>
      <c r="DF166" s="1017"/>
      <c r="DG166" s="1017"/>
      <c r="DH166" s="1017"/>
      <c r="DI166" s="1017"/>
      <c r="DJ166" s="1017"/>
      <c r="DK166" s="1017"/>
      <c r="DL166" s="1017"/>
      <c r="DM166" s="1017"/>
      <c r="DN166" s="1017"/>
      <c r="DO166" s="1017"/>
      <c r="DP166" s="1017"/>
      <c r="DQ166" s="1017"/>
      <c r="DR166" s="1017"/>
      <c r="DS166" s="1017"/>
      <c r="DT166" s="1017"/>
      <c r="DU166" s="1017"/>
      <c r="DV166" s="1017"/>
      <c r="DW166" s="1017"/>
      <c r="DX166" s="1017"/>
      <c r="DY166" s="1017"/>
      <c r="DZ166" s="1017"/>
      <c r="EA166" s="1017"/>
      <c r="EB166" s="1017"/>
      <c r="EC166" s="1017"/>
      <c r="ED166" s="1017"/>
      <c r="EE166" s="1017"/>
      <c r="EF166" s="1017"/>
      <c r="EG166" s="1017"/>
      <c r="EH166" s="1017"/>
      <c r="EI166" s="1017"/>
      <c r="EJ166" s="1017"/>
      <c r="EK166" s="1017"/>
      <c r="EL166" s="1017"/>
      <c r="EM166" s="1017"/>
      <c r="EN166" s="1017"/>
      <c r="EO166" s="1017"/>
      <c r="EP166" s="1017"/>
      <c r="EQ166" s="1017"/>
      <c r="ER166" s="1017"/>
      <c r="ES166" s="1017"/>
      <c r="ET166" s="1017"/>
      <c r="EU166" s="1017"/>
      <c r="EV166" s="1017"/>
      <c r="EW166" s="1017"/>
      <c r="EX166" s="1017"/>
      <c r="EY166" s="1017"/>
      <c r="EZ166" s="1017"/>
      <c r="FA166" s="1017"/>
      <c r="FB166" s="1017"/>
      <c r="FC166" s="1017"/>
      <c r="FD166" s="1017"/>
      <c r="FE166" s="1017"/>
      <c r="FF166" s="1017"/>
      <c r="FG166" s="1017"/>
      <c r="FH166" s="1017"/>
      <c r="FI166" s="1017"/>
      <c r="FJ166" s="1017"/>
      <c r="FK166" s="1017"/>
      <c r="FL166" s="1017"/>
      <c r="FM166" s="1017"/>
      <c r="FN166" s="1017"/>
      <c r="FO166" s="1017"/>
      <c r="FP166" s="1017"/>
      <c r="FQ166" s="1017"/>
      <c r="FR166" s="1017"/>
      <c r="FS166" s="1017"/>
      <c r="FT166" s="1017"/>
      <c r="FU166" s="1017"/>
      <c r="FV166" s="1017"/>
      <c r="FW166" s="1017"/>
      <c r="FX166" s="1017"/>
      <c r="FY166" s="1017"/>
      <c r="FZ166" s="1017"/>
      <c r="GA166" s="1017"/>
      <c r="GB166" s="1017"/>
      <c r="GC166" s="1017"/>
      <c r="GD166" s="1017"/>
      <c r="GE166" s="1017"/>
      <c r="GF166" s="1017"/>
      <c r="GG166" s="1017"/>
      <c r="GH166" s="1017"/>
      <c r="GI166" s="1017"/>
      <c r="GJ166" s="1017"/>
      <c r="GK166" s="1017"/>
      <c r="GL166" s="1017"/>
      <c r="GM166" s="1017"/>
      <c r="GN166" s="1017"/>
      <c r="GO166" s="1017"/>
      <c r="GP166" s="1017"/>
      <c r="GQ166" s="1017"/>
      <c r="GR166" s="1017"/>
      <c r="GS166" s="1017"/>
      <c r="GT166" s="1017"/>
      <c r="GU166" s="1017"/>
      <c r="GV166" s="1017"/>
      <c r="GW166" s="1017"/>
      <c r="GX166" s="1017"/>
      <c r="GY166" s="1017"/>
      <c r="GZ166" s="1017"/>
      <c r="HA166" s="1017"/>
      <c r="HB166" s="1017"/>
      <c r="HC166" s="1017"/>
      <c r="HD166" s="1017"/>
      <c r="HE166" s="1017"/>
      <c r="HF166" s="1017"/>
      <c r="HG166" s="1017"/>
      <c r="HH166" s="1017"/>
      <c r="HI166" s="1017"/>
      <c r="HJ166" s="1017"/>
      <c r="HK166" s="1017"/>
      <c r="HL166" s="1017"/>
      <c r="HM166" s="1017"/>
      <c r="HN166" s="1017"/>
      <c r="HO166" s="1017"/>
      <c r="HP166" s="1017"/>
      <c r="HQ166" s="1017"/>
      <c r="HR166" s="1017"/>
      <c r="HS166" s="1017"/>
      <c r="HT166" s="1017"/>
      <c r="HU166" s="1017"/>
      <c r="HV166" s="1017"/>
      <c r="HW166" s="1017"/>
      <c r="HX166" s="1017"/>
      <c r="HY166" s="1017"/>
      <c r="HZ166" s="1017"/>
      <c r="IA166" s="1017"/>
      <c r="IB166" s="1017"/>
      <c r="IC166" s="1017"/>
      <c r="ID166" s="1017"/>
      <c r="IE166" s="1017"/>
      <c r="IF166" s="1017"/>
      <c r="IG166" s="1017"/>
      <c r="IH166" s="1017"/>
      <c r="II166" s="1017"/>
      <c r="IJ166" s="1017"/>
      <c r="IK166" s="1017"/>
      <c r="IL166" s="1017"/>
      <c r="IM166" s="1017"/>
    </row>
    <row r="167" spans="1:247">
      <c r="A167" s="1052" t="s">
        <v>1009</v>
      </c>
      <c r="B167" s="1053"/>
      <c r="C167" s="1050">
        <v>21.5487</v>
      </c>
      <c r="D167" s="1045">
        <v>0</v>
      </c>
      <c r="E167" s="1046">
        <v>0</v>
      </c>
      <c r="F167" s="1046">
        <v>0</v>
      </c>
      <c r="G167" s="1047">
        <v>0</v>
      </c>
      <c r="H167" s="1048">
        <v>0</v>
      </c>
      <c r="I167" s="1048">
        <v>0</v>
      </c>
      <c r="J167" s="1048">
        <v>0</v>
      </c>
      <c r="K167" s="1049">
        <v>0</v>
      </c>
      <c r="L167" s="1028"/>
      <c r="M167" s="1074"/>
      <c r="N167" s="1050">
        <f t="shared" si="102"/>
        <v>0</v>
      </c>
      <c r="O167" s="1045">
        <v>0</v>
      </c>
      <c r="P167" s="1046">
        <v>0</v>
      </c>
      <c r="Q167" s="1046">
        <v>0</v>
      </c>
      <c r="R167" s="1045">
        <f t="shared" si="117"/>
        <v>0</v>
      </c>
      <c r="S167" s="1046">
        <f t="shared" si="117"/>
        <v>0</v>
      </c>
      <c r="T167" s="1046">
        <f t="shared" si="117"/>
        <v>0</v>
      </c>
      <c r="U167" s="1050">
        <f t="shared" si="100"/>
        <v>0</v>
      </c>
      <c r="V167" s="948"/>
      <c r="W167" s="1045">
        <f t="shared" si="118"/>
        <v>0</v>
      </c>
      <c r="X167" s="1046">
        <v>0</v>
      </c>
      <c r="Y167" s="1045">
        <f t="shared" si="78"/>
        <v>0</v>
      </c>
      <c r="Z167" s="1051">
        <f>Y167/$X$179*100</f>
        <v>0</v>
      </c>
      <c r="AA167" s="1017"/>
      <c r="AB167" s="952"/>
      <c r="AC167" s="1017"/>
      <c r="AD167" s="1017"/>
      <c r="AE167" s="1017"/>
      <c r="AF167" s="1017"/>
      <c r="AG167" s="1017"/>
      <c r="AH167" s="1017"/>
      <c r="AI167" s="1017"/>
      <c r="AJ167" s="1017"/>
      <c r="AK167" s="1017"/>
      <c r="AL167" s="1017"/>
      <c r="AM167" s="1017"/>
      <c r="AN167" s="1017"/>
      <c r="AO167" s="1017"/>
      <c r="AP167" s="1017"/>
      <c r="AQ167" s="1017"/>
      <c r="AR167" s="1017"/>
      <c r="AS167" s="1017"/>
      <c r="AT167" s="1017"/>
      <c r="AU167" s="1017"/>
      <c r="AV167" s="1017"/>
      <c r="AW167" s="1017"/>
      <c r="AX167" s="1017"/>
      <c r="AY167" s="1017"/>
      <c r="AZ167" s="1017"/>
      <c r="BA167" s="1017"/>
      <c r="BB167" s="1017"/>
      <c r="BC167" s="1017"/>
      <c r="BD167" s="1017"/>
      <c r="BE167" s="1017"/>
      <c r="BF167" s="1017"/>
      <c r="BG167" s="1017"/>
      <c r="BH167" s="1017"/>
      <c r="BI167" s="1017"/>
      <c r="BJ167" s="1017"/>
      <c r="BK167" s="1017"/>
      <c r="BL167" s="1017"/>
      <c r="BM167" s="1017"/>
      <c r="BN167" s="1017"/>
      <c r="BO167" s="1017"/>
      <c r="BP167" s="1017"/>
      <c r="BQ167" s="1017"/>
      <c r="BR167" s="1017"/>
      <c r="BS167" s="1017"/>
      <c r="BT167" s="1017"/>
      <c r="BU167" s="1017"/>
      <c r="BV167" s="1017"/>
      <c r="BW167" s="1017"/>
      <c r="BX167" s="1017"/>
      <c r="BY167" s="1017"/>
      <c r="BZ167" s="1017"/>
      <c r="CA167" s="1017"/>
      <c r="CB167" s="1017"/>
      <c r="CC167" s="1017"/>
      <c r="CD167" s="1017"/>
      <c r="CE167" s="1017"/>
      <c r="CF167" s="1017"/>
      <c r="CG167" s="1017"/>
      <c r="CH167" s="1017"/>
      <c r="CI167" s="1017"/>
      <c r="CJ167" s="1017"/>
      <c r="CK167" s="1017"/>
      <c r="CL167" s="1017"/>
      <c r="CM167" s="1017"/>
      <c r="CN167" s="1017"/>
      <c r="CO167" s="1017"/>
      <c r="CP167" s="1017"/>
      <c r="CQ167" s="1017"/>
      <c r="CR167" s="1017"/>
      <c r="CS167" s="1017"/>
      <c r="CT167" s="1017"/>
      <c r="CU167" s="1017"/>
      <c r="CV167" s="1017"/>
      <c r="CW167" s="1017"/>
      <c r="CX167" s="1017"/>
      <c r="CY167" s="1017"/>
      <c r="CZ167" s="1017"/>
      <c r="DA167" s="1017"/>
      <c r="DB167" s="1017"/>
      <c r="DC167" s="1017"/>
      <c r="DD167" s="1017"/>
      <c r="DE167" s="1017"/>
      <c r="DF167" s="1017"/>
      <c r="DG167" s="1017"/>
      <c r="DH167" s="1017"/>
      <c r="DI167" s="1017"/>
      <c r="DJ167" s="1017"/>
      <c r="DK167" s="1017"/>
      <c r="DL167" s="1017"/>
      <c r="DM167" s="1017"/>
      <c r="DN167" s="1017"/>
      <c r="DO167" s="1017"/>
      <c r="DP167" s="1017"/>
      <c r="DQ167" s="1017"/>
      <c r="DR167" s="1017"/>
      <c r="DS167" s="1017"/>
      <c r="DT167" s="1017"/>
      <c r="DU167" s="1017"/>
      <c r="DV167" s="1017"/>
      <c r="DW167" s="1017"/>
      <c r="DX167" s="1017"/>
      <c r="DY167" s="1017"/>
      <c r="DZ167" s="1017"/>
      <c r="EA167" s="1017"/>
      <c r="EB167" s="1017"/>
      <c r="EC167" s="1017"/>
      <c r="ED167" s="1017"/>
      <c r="EE167" s="1017"/>
      <c r="EF167" s="1017"/>
      <c r="EG167" s="1017"/>
      <c r="EH167" s="1017"/>
      <c r="EI167" s="1017"/>
      <c r="EJ167" s="1017"/>
      <c r="EK167" s="1017"/>
      <c r="EL167" s="1017"/>
      <c r="EM167" s="1017"/>
      <c r="EN167" s="1017"/>
      <c r="EO167" s="1017"/>
      <c r="EP167" s="1017"/>
      <c r="EQ167" s="1017"/>
      <c r="ER167" s="1017"/>
      <c r="ES167" s="1017"/>
      <c r="ET167" s="1017"/>
      <c r="EU167" s="1017"/>
      <c r="EV167" s="1017"/>
      <c r="EW167" s="1017"/>
      <c r="EX167" s="1017"/>
      <c r="EY167" s="1017"/>
      <c r="EZ167" s="1017"/>
      <c r="FA167" s="1017"/>
      <c r="FB167" s="1017"/>
      <c r="FC167" s="1017"/>
      <c r="FD167" s="1017"/>
      <c r="FE167" s="1017"/>
      <c r="FF167" s="1017"/>
      <c r="FG167" s="1017"/>
      <c r="FH167" s="1017"/>
      <c r="FI167" s="1017"/>
      <c r="FJ167" s="1017"/>
      <c r="FK167" s="1017"/>
      <c r="FL167" s="1017"/>
      <c r="FM167" s="1017"/>
      <c r="FN167" s="1017"/>
      <c r="FO167" s="1017"/>
      <c r="FP167" s="1017"/>
      <c r="FQ167" s="1017"/>
      <c r="FR167" s="1017"/>
      <c r="FS167" s="1017"/>
      <c r="FT167" s="1017"/>
      <c r="FU167" s="1017"/>
      <c r="FV167" s="1017"/>
      <c r="FW167" s="1017"/>
      <c r="FX167" s="1017"/>
      <c r="FY167" s="1017"/>
      <c r="FZ167" s="1017"/>
      <c r="GA167" s="1017"/>
      <c r="GB167" s="1017"/>
      <c r="GC167" s="1017"/>
      <c r="GD167" s="1017"/>
      <c r="GE167" s="1017"/>
      <c r="GF167" s="1017"/>
      <c r="GG167" s="1017"/>
      <c r="GH167" s="1017"/>
      <c r="GI167" s="1017"/>
      <c r="GJ167" s="1017"/>
      <c r="GK167" s="1017"/>
      <c r="GL167" s="1017"/>
      <c r="GM167" s="1017"/>
      <c r="GN167" s="1017"/>
      <c r="GO167" s="1017"/>
      <c r="GP167" s="1017"/>
      <c r="GQ167" s="1017"/>
      <c r="GR167" s="1017"/>
      <c r="GS167" s="1017"/>
      <c r="GT167" s="1017"/>
      <c r="GU167" s="1017"/>
      <c r="GV167" s="1017"/>
      <c r="GW167" s="1017"/>
      <c r="GX167" s="1017"/>
      <c r="GY167" s="1017"/>
      <c r="GZ167" s="1017"/>
      <c r="HA167" s="1017"/>
      <c r="HB167" s="1017"/>
      <c r="HC167" s="1017"/>
      <c r="HD167" s="1017"/>
      <c r="HE167" s="1017"/>
      <c r="HF167" s="1017"/>
      <c r="HG167" s="1017"/>
      <c r="HH167" s="1017"/>
      <c r="HI167" s="1017"/>
      <c r="HJ167" s="1017"/>
      <c r="HK167" s="1017"/>
      <c r="HL167" s="1017"/>
      <c r="HM167" s="1017"/>
      <c r="HN167" s="1017"/>
      <c r="HO167" s="1017"/>
      <c r="HP167" s="1017"/>
      <c r="HQ167" s="1017"/>
      <c r="HR167" s="1017"/>
      <c r="HS167" s="1017"/>
      <c r="HT167" s="1017"/>
      <c r="HU167" s="1017"/>
      <c r="HV167" s="1017"/>
      <c r="HW167" s="1017"/>
      <c r="HX167" s="1017"/>
      <c r="HY167" s="1017"/>
      <c r="HZ167" s="1017"/>
      <c r="IA167" s="1017"/>
      <c r="IB167" s="1017"/>
      <c r="IC167" s="1017"/>
      <c r="ID167" s="1017"/>
      <c r="IE167" s="1017"/>
      <c r="IF167" s="1017"/>
      <c r="IG167" s="1017"/>
      <c r="IH167" s="1017"/>
      <c r="II167" s="1017"/>
      <c r="IJ167" s="1017"/>
      <c r="IK167" s="1017"/>
      <c r="IL167" s="1017"/>
      <c r="IM167" s="1017"/>
    </row>
    <row r="168" spans="1:247">
      <c r="A168" s="1052" t="s">
        <v>1010</v>
      </c>
      <c r="B168" s="1053"/>
      <c r="C168" s="1050">
        <v>0</v>
      </c>
      <c r="D168" s="1045">
        <v>0</v>
      </c>
      <c r="E168" s="1046">
        <v>0</v>
      </c>
      <c r="F168" s="1046">
        <v>0</v>
      </c>
      <c r="G168" s="1047">
        <v>0</v>
      </c>
      <c r="H168" s="1048">
        <v>8.8000000000000007</v>
      </c>
      <c r="I168" s="1048">
        <v>3.0550000000000002</v>
      </c>
      <c r="J168" s="1048">
        <v>3.1467000000000001</v>
      </c>
      <c r="K168" s="1049">
        <v>3.2410999999999999</v>
      </c>
      <c r="L168" s="1028"/>
      <c r="M168" s="1074"/>
      <c r="N168" s="1050">
        <f t="shared" si="102"/>
        <v>8.8000000000000007</v>
      </c>
      <c r="O168" s="1045">
        <f>O15</f>
        <v>3.0550000000000002</v>
      </c>
      <c r="P168" s="1046">
        <f>P15</f>
        <v>3.1467000000000001</v>
      </c>
      <c r="Q168" s="1046">
        <f>Q15</f>
        <v>3.2410999999999999</v>
      </c>
      <c r="R168" s="1045">
        <f t="shared" si="117"/>
        <v>0</v>
      </c>
      <c r="S168" s="1046">
        <f t="shared" si="117"/>
        <v>0</v>
      </c>
      <c r="T168" s="1046">
        <f t="shared" si="117"/>
        <v>0</v>
      </c>
      <c r="U168" s="1050">
        <f t="shared" si="100"/>
        <v>-5.745000000000001</v>
      </c>
      <c r="V168" s="948"/>
      <c r="W168" s="1045">
        <f t="shared" si="118"/>
        <v>3.0550000000000002</v>
      </c>
      <c r="X168" s="1046">
        <v>3.0550000000000002</v>
      </c>
      <c r="Y168" s="1045">
        <f t="shared" si="78"/>
        <v>0</v>
      </c>
      <c r="Z168" s="1051">
        <f>Y168/$X$179*100</f>
        <v>0</v>
      </c>
      <c r="AA168" s="1017"/>
      <c r="AB168" s="952"/>
      <c r="AC168" s="1017"/>
      <c r="AD168" s="1017"/>
      <c r="AE168" s="1017"/>
      <c r="AF168" s="1017"/>
      <c r="AG168" s="1017"/>
      <c r="AH168" s="1017"/>
      <c r="AI168" s="1017"/>
      <c r="AJ168" s="1017"/>
      <c r="AK168" s="1017"/>
      <c r="AL168" s="1017"/>
      <c r="AM168" s="1017"/>
      <c r="AN168" s="1017"/>
      <c r="AO168" s="1017"/>
      <c r="AP168" s="1017"/>
      <c r="AQ168" s="1017"/>
      <c r="AR168" s="1017"/>
      <c r="AS168" s="1017"/>
      <c r="AT168" s="1017"/>
      <c r="AU168" s="1017"/>
      <c r="AV168" s="1017"/>
      <c r="AW168" s="1017"/>
      <c r="AX168" s="1017"/>
      <c r="AY168" s="1017"/>
      <c r="AZ168" s="1017"/>
      <c r="BA168" s="1017"/>
      <c r="BB168" s="1017"/>
      <c r="BC168" s="1017"/>
      <c r="BD168" s="1017"/>
      <c r="BE168" s="1017"/>
      <c r="BF168" s="1017"/>
      <c r="BG168" s="1017"/>
      <c r="BH168" s="1017"/>
      <c r="BI168" s="1017"/>
      <c r="BJ168" s="1017"/>
      <c r="BK168" s="1017"/>
      <c r="BL168" s="1017"/>
      <c r="BM168" s="1017"/>
      <c r="BN168" s="1017"/>
      <c r="BO168" s="1017"/>
      <c r="BP168" s="1017"/>
      <c r="BQ168" s="1017"/>
      <c r="BR168" s="1017"/>
      <c r="BS168" s="1017"/>
      <c r="BT168" s="1017"/>
      <c r="BU168" s="1017"/>
      <c r="BV168" s="1017"/>
      <c r="BW168" s="1017"/>
      <c r="BX168" s="1017"/>
      <c r="BY168" s="1017"/>
      <c r="BZ168" s="1017"/>
      <c r="CA168" s="1017"/>
      <c r="CB168" s="1017"/>
      <c r="CC168" s="1017"/>
      <c r="CD168" s="1017"/>
      <c r="CE168" s="1017"/>
      <c r="CF168" s="1017"/>
      <c r="CG168" s="1017"/>
      <c r="CH168" s="1017"/>
      <c r="CI168" s="1017"/>
      <c r="CJ168" s="1017"/>
      <c r="CK168" s="1017"/>
      <c r="CL168" s="1017"/>
      <c r="CM168" s="1017"/>
      <c r="CN168" s="1017"/>
      <c r="CO168" s="1017"/>
      <c r="CP168" s="1017"/>
      <c r="CQ168" s="1017"/>
      <c r="CR168" s="1017"/>
      <c r="CS168" s="1017"/>
      <c r="CT168" s="1017"/>
      <c r="CU168" s="1017"/>
      <c r="CV168" s="1017"/>
      <c r="CW168" s="1017"/>
      <c r="CX168" s="1017"/>
      <c r="CY168" s="1017"/>
      <c r="CZ168" s="1017"/>
      <c r="DA168" s="1017"/>
      <c r="DB168" s="1017"/>
      <c r="DC168" s="1017"/>
      <c r="DD168" s="1017"/>
      <c r="DE168" s="1017"/>
      <c r="DF168" s="1017"/>
      <c r="DG168" s="1017"/>
      <c r="DH168" s="1017"/>
      <c r="DI168" s="1017"/>
      <c r="DJ168" s="1017"/>
      <c r="DK168" s="1017"/>
      <c r="DL168" s="1017"/>
      <c r="DM168" s="1017"/>
      <c r="DN168" s="1017"/>
      <c r="DO168" s="1017"/>
      <c r="DP168" s="1017"/>
      <c r="DQ168" s="1017"/>
      <c r="DR168" s="1017"/>
      <c r="DS168" s="1017"/>
      <c r="DT168" s="1017"/>
      <c r="DU168" s="1017"/>
      <c r="DV168" s="1017"/>
      <c r="DW168" s="1017"/>
      <c r="DX168" s="1017"/>
      <c r="DY168" s="1017"/>
      <c r="DZ168" s="1017"/>
      <c r="EA168" s="1017"/>
      <c r="EB168" s="1017"/>
      <c r="EC168" s="1017"/>
      <c r="ED168" s="1017"/>
      <c r="EE168" s="1017"/>
      <c r="EF168" s="1017"/>
      <c r="EG168" s="1017"/>
      <c r="EH168" s="1017"/>
      <c r="EI168" s="1017"/>
      <c r="EJ168" s="1017"/>
      <c r="EK168" s="1017"/>
      <c r="EL168" s="1017"/>
      <c r="EM168" s="1017"/>
      <c r="EN168" s="1017"/>
      <c r="EO168" s="1017"/>
      <c r="EP168" s="1017"/>
      <c r="EQ168" s="1017"/>
      <c r="ER168" s="1017"/>
      <c r="ES168" s="1017"/>
      <c r="ET168" s="1017"/>
      <c r="EU168" s="1017"/>
      <c r="EV168" s="1017"/>
      <c r="EW168" s="1017"/>
      <c r="EX168" s="1017"/>
      <c r="EY168" s="1017"/>
      <c r="EZ168" s="1017"/>
      <c r="FA168" s="1017"/>
      <c r="FB168" s="1017"/>
      <c r="FC168" s="1017"/>
      <c r="FD168" s="1017"/>
      <c r="FE168" s="1017"/>
      <c r="FF168" s="1017"/>
      <c r="FG168" s="1017"/>
      <c r="FH168" s="1017"/>
      <c r="FI168" s="1017"/>
      <c r="FJ168" s="1017"/>
      <c r="FK168" s="1017"/>
      <c r="FL168" s="1017"/>
      <c r="FM168" s="1017"/>
      <c r="FN168" s="1017"/>
      <c r="FO168" s="1017"/>
      <c r="FP168" s="1017"/>
      <c r="FQ168" s="1017"/>
      <c r="FR168" s="1017"/>
      <c r="FS168" s="1017"/>
      <c r="FT168" s="1017"/>
      <c r="FU168" s="1017"/>
      <c r="FV168" s="1017"/>
      <c r="FW168" s="1017"/>
      <c r="FX168" s="1017"/>
      <c r="FY168" s="1017"/>
      <c r="FZ168" s="1017"/>
      <c r="GA168" s="1017"/>
      <c r="GB168" s="1017"/>
      <c r="GC168" s="1017"/>
      <c r="GD168" s="1017"/>
      <c r="GE168" s="1017"/>
      <c r="GF168" s="1017"/>
      <c r="GG168" s="1017"/>
      <c r="GH168" s="1017"/>
      <c r="GI168" s="1017"/>
      <c r="GJ168" s="1017"/>
      <c r="GK168" s="1017"/>
      <c r="GL168" s="1017"/>
      <c r="GM168" s="1017"/>
      <c r="GN168" s="1017"/>
      <c r="GO168" s="1017"/>
      <c r="GP168" s="1017"/>
      <c r="GQ168" s="1017"/>
      <c r="GR168" s="1017"/>
      <c r="GS168" s="1017"/>
      <c r="GT168" s="1017"/>
      <c r="GU168" s="1017"/>
      <c r="GV168" s="1017"/>
      <c r="GW168" s="1017"/>
      <c r="GX168" s="1017"/>
      <c r="GY168" s="1017"/>
      <c r="GZ168" s="1017"/>
      <c r="HA168" s="1017"/>
      <c r="HB168" s="1017"/>
      <c r="HC168" s="1017"/>
      <c r="HD168" s="1017"/>
      <c r="HE168" s="1017"/>
      <c r="HF168" s="1017"/>
      <c r="HG168" s="1017"/>
      <c r="HH168" s="1017"/>
      <c r="HI168" s="1017"/>
      <c r="HJ168" s="1017"/>
      <c r="HK168" s="1017"/>
      <c r="HL168" s="1017"/>
      <c r="HM168" s="1017"/>
      <c r="HN168" s="1017"/>
      <c r="HO168" s="1017"/>
      <c r="HP168" s="1017"/>
      <c r="HQ168" s="1017"/>
      <c r="HR168" s="1017"/>
      <c r="HS168" s="1017"/>
      <c r="HT168" s="1017"/>
      <c r="HU168" s="1017"/>
      <c r="HV168" s="1017"/>
      <c r="HW168" s="1017"/>
      <c r="HX168" s="1017"/>
      <c r="HY168" s="1017"/>
      <c r="HZ168" s="1017"/>
      <c r="IA168" s="1017"/>
      <c r="IB168" s="1017"/>
      <c r="IC168" s="1017"/>
      <c r="ID168" s="1017"/>
      <c r="IE168" s="1017"/>
      <c r="IF168" s="1017"/>
      <c r="IG168" s="1017"/>
      <c r="IH168" s="1017"/>
      <c r="II168" s="1017"/>
      <c r="IJ168" s="1017"/>
      <c r="IK168" s="1017"/>
      <c r="IL168" s="1017"/>
      <c r="IM168" s="1017"/>
    </row>
    <row r="169" spans="1:247">
      <c r="A169" s="1052" t="s">
        <v>940</v>
      </c>
      <c r="B169" s="1053"/>
      <c r="C169" s="1050">
        <v>30.547851999999999</v>
      </c>
      <c r="D169" s="1045">
        <f>8.414+5.192+0.103</f>
        <v>13.709</v>
      </c>
      <c r="E169" s="1046">
        <f>2.6798+3.184316+11.751+0.073465</f>
        <v>17.688580999999999</v>
      </c>
      <c r="F169" s="1046">
        <f>11.766+5.895+0.074</f>
        <v>17.735000000000003</v>
      </c>
      <c r="G169" s="1047">
        <f>11.6285+5.924+0.074</f>
        <v>17.626500000000004</v>
      </c>
      <c r="H169" s="1048">
        <v>13.709</v>
      </c>
      <c r="I169" s="1048">
        <v>17.688580999999999</v>
      </c>
      <c r="J169" s="1048">
        <v>17.735000000000003</v>
      </c>
      <c r="K169" s="1049">
        <v>17.626500000000004</v>
      </c>
      <c r="L169" s="1028"/>
      <c r="M169" s="1045"/>
      <c r="N169" s="1050">
        <f t="shared" si="102"/>
        <v>13.709</v>
      </c>
      <c r="O169" s="1045">
        <v>14.530748422559848</v>
      </c>
      <c r="P169" s="1046">
        <v>15.495728722468204</v>
      </c>
      <c r="Q169" s="1046">
        <v>16.532013084731965</v>
      </c>
      <c r="R169" s="1045">
        <f t="shared" si="117"/>
        <v>3.1578325774401517</v>
      </c>
      <c r="S169" s="1046">
        <f t="shared" si="117"/>
        <v>2.2392712775317989</v>
      </c>
      <c r="T169" s="1046">
        <f t="shared" si="117"/>
        <v>1.094486915268039</v>
      </c>
      <c r="U169" s="1050">
        <f t="shared" si="100"/>
        <v>0.82174842255984792</v>
      </c>
      <c r="V169" s="948"/>
      <c r="W169" s="1045">
        <f>O169</f>
        <v>14.530748422559848</v>
      </c>
      <c r="X169" s="1046">
        <v>17.688580999999999</v>
      </c>
      <c r="Y169" s="1045">
        <f t="shared" si="78"/>
        <v>3.1578325774401517</v>
      </c>
      <c r="Z169" s="1051">
        <f>Y169/$X$179*100</f>
        <v>3.5284885178582352E-3</v>
      </c>
      <c r="AA169" s="1017"/>
      <c r="AB169" s="952"/>
      <c r="AC169" s="1017"/>
      <c r="AD169" s="1017"/>
      <c r="AE169" s="1017"/>
      <c r="AF169" s="1017"/>
      <c r="AG169" s="1017"/>
      <c r="AH169" s="1017"/>
      <c r="AI169" s="1017"/>
      <c r="AJ169" s="1017"/>
      <c r="AK169" s="1017"/>
      <c r="AL169" s="1017"/>
      <c r="AM169" s="1017"/>
      <c r="AN169" s="1017"/>
      <c r="AO169" s="1017"/>
      <c r="AP169" s="1017"/>
      <c r="AQ169" s="1017"/>
      <c r="AR169" s="1017"/>
      <c r="AS169" s="1017"/>
      <c r="AT169" s="1017"/>
      <c r="AU169" s="1017"/>
      <c r="AV169" s="1017"/>
      <c r="AW169" s="1017"/>
      <c r="AX169" s="1017"/>
      <c r="AY169" s="1017"/>
      <c r="AZ169" s="1017"/>
      <c r="BA169" s="1017"/>
      <c r="BB169" s="1017"/>
      <c r="BC169" s="1017"/>
      <c r="BD169" s="1017"/>
      <c r="BE169" s="1017"/>
      <c r="BF169" s="1017"/>
      <c r="BG169" s="1017"/>
      <c r="BH169" s="1017"/>
      <c r="BI169" s="1017"/>
      <c r="BJ169" s="1017"/>
      <c r="BK169" s="1017"/>
      <c r="BL169" s="1017"/>
      <c r="BM169" s="1017"/>
      <c r="BN169" s="1017"/>
      <c r="BO169" s="1017"/>
      <c r="BP169" s="1017"/>
      <c r="BQ169" s="1017"/>
      <c r="BR169" s="1017"/>
      <c r="BS169" s="1017"/>
      <c r="BT169" s="1017"/>
      <c r="BU169" s="1017"/>
      <c r="BV169" s="1017"/>
      <c r="BW169" s="1017"/>
      <c r="BX169" s="1017"/>
      <c r="BY169" s="1017"/>
      <c r="BZ169" s="1017"/>
      <c r="CA169" s="1017"/>
      <c r="CB169" s="1017"/>
      <c r="CC169" s="1017"/>
      <c r="CD169" s="1017"/>
      <c r="CE169" s="1017"/>
      <c r="CF169" s="1017"/>
      <c r="CG169" s="1017"/>
      <c r="CH169" s="1017"/>
      <c r="CI169" s="1017"/>
      <c r="CJ169" s="1017"/>
      <c r="CK169" s="1017"/>
      <c r="CL169" s="1017"/>
      <c r="CM169" s="1017"/>
      <c r="CN169" s="1017"/>
      <c r="CO169" s="1017"/>
      <c r="CP169" s="1017"/>
      <c r="CQ169" s="1017"/>
      <c r="CR169" s="1017"/>
      <c r="CS169" s="1017"/>
      <c r="CT169" s="1017"/>
      <c r="CU169" s="1017"/>
      <c r="CV169" s="1017"/>
      <c r="CW169" s="1017"/>
      <c r="CX169" s="1017"/>
      <c r="CY169" s="1017"/>
      <c r="CZ169" s="1017"/>
      <c r="DA169" s="1017"/>
      <c r="DB169" s="1017"/>
      <c r="DC169" s="1017"/>
      <c r="DD169" s="1017"/>
      <c r="DE169" s="1017"/>
      <c r="DF169" s="1017"/>
      <c r="DG169" s="1017"/>
      <c r="DH169" s="1017"/>
      <c r="DI169" s="1017"/>
      <c r="DJ169" s="1017"/>
      <c r="DK169" s="1017"/>
      <c r="DL169" s="1017"/>
      <c r="DM169" s="1017"/>
      <c r="DN169" s="1017"/>
      <c r="DO169" s="1017"/>
      <c r="DP169" s="1017"/>
      <c r="DQ169" s="1017"/>
      <c r="DR169" s="1017"/>
      <c r="DS169" s="1017"/>
      <c r="DT169" s="1017"/>
      <c r="DU169" s="1017"/>
      <c r="DV169" s="1017"/>
      <c r="DW169" s="1017"/>
      <c r="DX169" s="1017"/>
      <c r="DY169" s="1017"/>
      <c r="DZ169" s="1017"/>
      <c r="EA169" s="1017"/>
      <c r="EB169" s="1017"/>
      <c r="EC169" s="1017"/>
      <c r="ED169" s="1017"/>
      <c r="EE169" s="1017"/>
      <c r="EF169" s="1017"/>
      <c r="EG169" s="1017"/>
      <c r="EH169" s="1017"/>
      <c r="EI169" s="1017"/>
      <c r="EJ169" s="1017"/>
      <c r="EK169" s="1017"/>
      <c r="EL169" s="1017"/>
      <c r="EM169" s="1017"/>
      <c r="EN169" s="1017"/>
      <c r="EO169" s="1017"/>
      <c r="EP169" s="1017"/>
      <c r="EQ169" s="1017"/>
      <c r="ER169" s="1017"/>
      <c r="ES169" s="1017"/>
      <c r="ET169" s="1017"/>
      <c r="EU169" s="1017"/>
      <c r="EV169" s="1017"/>
      <c r="EW169" s="1017"/>
      <c r="EX169" s="1017"/>
      <c r="EY169" s="1017"/>
      <c r="EZ169" s="1017"/>
      <c r="FA169" s="1017"/>
      <c r="FB169" s="1017"/>
      <c r="FC169" s="1017"/>
      <c r="FD169" s="1017"/>
      <c r="FE169" s="1017"/>
      <c r="FF169" s="1017"/>
      <c r="FG169" s="1017"/>
      <c r="FH169" s="1017"/>
      <c r="FI169" s="1017"/>
      <c r="FJ169" s="1017"/>
      <c r="FK169" s="1017"/>
      <c r="FL169" s="1017"/>
      <c r="FM169" s="1017"/>
      <c r="FN169" s="1017"/>
      <c r="FO169" s="1017"/>
      <c r="FP169" s="1017"/>
      <c r="FQ169" s="1017"/>
      <c r="FR169" s="1017"/>
      <c r="FS169" s="1017"/>
      <c r="FT169" s="1017"/>
      <c r="FU169" s="1017"/>
      <c r="FV169" s="1017"/>
      <c r="FW169" s="1017"/>
      <c r="FX169" s="1017"/>
      <c r="FY169" s="1017"/>
      <c r="FZ169" s="1017"/>
      <c r="GA169" s="1017"/>
      <c r="GB169" s="1017"/>
      <c r="GC169" s="1017"/>
      <c r="GD169" s="1017"/>
      <c r="GE169" s="1017"/>
      <c r="GF169" s="1017"/>
      <c r="GG169" s="1017"/>
      <c r="GH169" s="1017"/>
      <c r="GI169" s="1017"/>
      <c r="GJ169" s="1017"/>
      <c r="GK169" s="1017"/>
      <c r="GL169" s="1017"/>
      <c r="GM169" s="1017"/>
      <c r="GN169" s="1017"/>
      <c r="GO169" s="1017"/>
      <c r="GP169" s="1017"/>
      <c r="GQ169" s="1017"/>
      <c r="GR169" s="1017"/>
      <c r="GS169" s="1017"/>
      <c r="GT169" s="1017"/>
      <c r="GU169" s="1017"/>
      <c r="GV169" s="1017"/>
      <c r="GW169" s="1017"/>
      <c r="GX169" s="1017"/>
      <c r="GY169" s="1017"/>
      <c r="GZ169" s="1017"/>
      <c r="HA169" s="1017"/>
      <c r="HB169" s="1017"/>
      <c r="HC169" s="1017"/>
      <c r="HD169" s="1017"/>
      <c r="HE169" s="1017"/>
      <c r="HF169" s="1017"/>
      <c r="HG169" s="1017"/>
      <c r="HH169" s="1017"/>
      <c r="HI169" s="1017"/>
      <c r="HJ169" s="1017"/>
      <c r="HK169" s="1017"/>
      <c r="HL169" s="1017"/>
      <c r="HM169" s="1017"/>
      <c r="HN169" s="1017"/>
      <c r="HO169" s="1017"/>
      <c r="HP169" s="1017"/>
      <c r="HQ169" s="1017"/>
      <c r="HR169" s="1017"/>
      <c r="HS169" s="1017"/>
      <c r="HT169" s="1017"/>
      <c r="HU169" s="1017"/>
      <c r="HV169" s="1017"/>
      <c r="HW169" s="1017"/>
      <c r="HX169" s="1017"/>
      <c r="HY169" s="1017"/>
      <c r="HZ169" s="1017"/>
      <c r="IA169" s="1017"/>
      <c r="IB169" s="1017"/>
      <c r="IC169" s="1017"/>
      <c r="ID169" s="1017"/>
      <c r="IE169" s="1017"/>
      <c r="IF169" s="1017"/>
      <c r="IG169" s="1017"/>
      <c r="IH169" s="1017"/>
      <c r="II169" s="1017"/>
      <c r="IJ169" s="1017"/>
      <c r="IK169" s="1017"/>
      <c r="IL169" s="1017"/>
      <c r="IM169" s="1017"/>
    </row>
    <row r="170" spans="1:247">
      <c r="A170" s="1052" t="s">
        <v>1011</v>
      </c>
      <c r="B170" s="1053"/>
      <c r="C170" s="1050">
        <v>0</v>
      </c>
      <c r="D170" s="1045">
        <v>0</v>
      </c>
      <c r="E170" s="1046">
        <f>6.877</f>
        <v>6.8769999999999998</v>
      </c>
      <c r="F170" s="1046">
        <f>6.877</f>
        <v>6.8769999999999998</v>
      </c>
      <c r="G170" s="1047">
        <f>6.877</f>
        <v>6.8769999999999998</v>
      </c>
      <c r="H170" s="1048">
        <v>0</v>
      </c>
      <c r="I170" s="1048">
        <v>6.8769999999999998</v>
      </c>
      <c r="J170" s="1048">
        <v>6.8769999999999998</v>
      </c>
      <c r="K170" s="1049">
        <v>6.8769999999999998</v>
      </c>
      <c r="L170" s="1028"/>
      <c r="M170" s="1045"/>
      <c r="N170" s="1050">
        <f t="shared" si="102"/>
        <v>0</v>
      </c>
      <c r="O170" s="1045">
        <v>0</v>
      </c>
      <c r="P170" s="1046">
        <v>0</v>
      </c>
      <c r="Q170" s="1046">
        <v>0</v>
      </c>
      <c r="R170" s="1045">
        <f t="shared" si="117"/>
        <v>6.8769999999999998</v>
      </c>
      <c r="S170" s="1046">
        <f t="shared" si="117"/>
        <v>6.8769999999999998</v>
      </c>
      <c r="T170" s="1046">
        <f t="shared" si="117"/>
        <v>6.8769999999999998</v>
      </c>
      <c r="U170" s="1050">
        <f t="shared" si="100"/>
        <v>0</v>
      </c>
      <c r="V170" s="948"/>
      <c r="W170" s="1045">
        <f>O170</f>
        <v>0</v>
      </c>
      <c r="X170" s="1046">
        <v>6.8769999999999998</v>
      </c>
      <c r="Y170" s="1045">
        <f t="shared" si="78"/>
        <v>6.8769999999999998</v>
      </c>
      <c r="Z170" s="1051">
        <f>Y170/$X$179*100</f>
        <v>7.6841995078097101E-3</v>
      </c>
      <c r="AA170" s="1017"/>
      <c r="AB170" s="952"/>
      <c r="AC170" s="1017"/>
      <c r="AD170" s="1017"/>
      <c r="AE170" s="1017"/>
      <c r="AF170" s="1017"/>
      <c r="AG170" s="1017"/>
      <c r="AH170" s="1017"/>
      <c r="AI170" s="1017"/>
      <c r="AJ170" s="1017"/>
      <c r="AK170" s="1017"/>
      <c r="AL170" s="1017"/>
      <c r="AM170" s="1017"/>
      <c r="AN170" s="1017"/>
      <c r="AO170" s="1017"/>
      <c r="AP170" s="1017"/>
      <c r="AQ170" s="1017"/>
      <c r="AR170" s="1017"/>
      <c r="AS170" s="1017"/>
      <c r="AT170" s="1017"/>
      <c r="AU170" s="1017"/>
      <c r="AV170" s="1017"/>
      <c r="AW170" s="1017"/>
      <c r="AX170" s="1017"/>
      <c r="AY170" s="1017"/>
      <c r="AZ170" s="1017"/>
      <c r="BA170" s="1017"/>
      <c r="BB170" s="1017"/>
      <c r="BC170" s="1017"/>
      <c r="BD170" s="1017"/>
      <c r="BE170" s="1017"/>
      <c r="BF170" s="1017"/>
      <c r="BG170" s="1017"/>
      <c r="BH170" s="1017"/>
      <c r="BI170" s="1017"/>
      <c r="BJ170" s="1017"/>
      <c r="BK170" s="1017"/>
      <c r="BL170" s="1017"/>
      <c r="BM170" s="1017"/>
      <c r="BN170" s="1017"/>
      <c r="BO170" s="1017"/>
      <c r="BP170" s="1017"/>
      <c r="BQ170" s="1017"/>
      <c r="BR170" s="1017"/>
      <c r="BS170" s="1017"/>
      <c r="BT170" s="1017"/>
      <c r="BU170" s="1017"/>
      <c r="BV170" s="1017"/>
      <c r="BW170" s="1017"/>
      <c r="BX170" s="1017"/>
      <c r="BY170" s="1017"/>
      <c r="BZ170" s="1017"/>
      <c r="CA170" s="1017"/>
      <c r="CB170" s="1017"/>
      <c r="CC170" s="1017"/>
      <c r="CD170" s="1017"/>
      <c r="CE170" s="1017"/>
      <c r="CF170" s="1017"/>
      <c r="CG170" s="1017"/>
      <c r="CH170" s="1017"/>
      <c r="CI170" s="1017"/>
      <c r="CJ170" s="1017"/>
      <c r="CK170" s="1017"/>
      <c r="CL170" s="1017"/>
      <c r="CM170" s="1017"/>
      <c r="CN170" s="1017"/>
      <c r="CO170" s="1017"/>
      <c r="CP170" s="1017"/>
      <c r="CQ170" s="1017"/>
      <c r="CR170" s="1017"/>
      <c r="CS170" s="1017"/>
      <c r="CT170" s="1017"/>
      <c r="CU170" s="1017"/>
      <c r="CV170" s="1017"/>
      <c r="CW170" s="1017"/>
      <c r="CX170" s="1017"/>
      <c r="CY170" s="1017"/>
      <c r="CZ170" s="1017"/>
      <c r="DA170" s="1017"/>
      <c r="DB170" s="1017"/>
      <c r="DC170" s="1017"/>
      <c r="DD170" s="1017"/>
      <c r="DE170" s="1017"/>
      <c r="DF170" s="1017"/>
      <c r="DG170" s="1017"/>
      <c r="DH170" s="1017"/>
      <c r="DI170" s="1017"/>
      <c r="DJ170" s="1017"/>
      <c r="DK170" s="1017"/>
      <c r="DL170" s="1017"/>
      <c r="DM170" s="1017"/>
      <c r="DN170" s="1017"/>
      <c r="DO170" s="1017"/>
      <c r="DP170" s="1017"/>
      <c r="DQ170" s="1017"/>
      <c r="DR170" s="1017"/>
      <c r="DS170" s="1017"/>
      <c r="DT170" s="1017"/>
      <c r="DU170" s="1017"/>
      <c r="DV170" s="1017"/>
      <c r="DW170" s="1017"/>
      <c r="DX170" s="1017"/>
      <c r="DY170" s="1017"/>
      <c r="DZ170" s="1017"/>
      <c r="EA170" s="1017"/>
      <c r="EB170" s="1017"/>
      <c r="EC170" s="1017"/>
      <c r="ED170" s="1017"/>
      <c r="EE170" s="1017"/>
      <c r="EF170" s="1017"/>
      <c r="EG170" s="1017"/>
      <c r="EH170" s="1017"/>
      <c r="EI170" s="1017"/>
      <c r="EJ170" s="1017"/>
      <c r="EK170" s="1017"/>
      <c r="EL170" s="1017"/>
      <c r="EM170" s="1017"/>
      <c r="EN170" s="1017"/>
      <c r="EO170" s="1017"/>
      <c r="EP170" s="1017"/>
      <c r="EQ170" s="1017"/>
      <c r="ER170" s="1017"/>
      <c r="ES170" s="1017"/>
      <c r="ET170" s="1017"/>
      <c r="EU170" s="1017"/>
      <c r="EV170" s="1017"/>
      <c r="EW170" s="1017"/>
      <c r="EX170" s="1017"/>
      <c r="EY170" s="1017"/>
      <c r="EZ170" s="1017"/>
      <c r="FA170" s="1017"/>
      <c r="FB170" s="1017"/>
      <c r="FC170" s="1017"/>
      <c r="FD170" s="1017"/>
      <c r="FE170" s="1017"/>
      <c r="FF170" s="1017"/>
      <c r="FG170" s="1017"/>
      <c r="FH170" s="1017"/>
      <c r="FI170" s="1017"/>
      <c r="FJ170" s="1017"/>
      <c r="FK170" s="1017"/>
      <c r="FL170" s="1017"/>
      <c r="FM170" s="1017"/>
      <c r="FN170" s="1017"/>
      <c r="FO170" s="1017"/>
      <c r="FP170" s="1017"/>
      <c r="FQ170" s="1017"/>
      <c r="FR170" s="1017"/>
      <c r="FS170" s="1017"/>
      <c r="FT170" s="1017"/>
      <c r="FU170" s="1017"/>
      <c r="FV170" s="1017"/>
      <c r="FW170" s="1017"/>
      <c r="FX170" s="1017"/>
      <c r="FY170" s="1017"/>
      <c r="FZ170" s="1017"/>
      <c r="GA170" s="1017"/>
      <c r="GB170" s="1017"/>
      <c r="GC170" s="1017"/>
      <c r="GD170" s="1017"/>
      <c r="GE170" s="1017"/>
      <c r="GF170" s="1017"/>
      <c r="GG170" s="1017"/>
      <c r="GH170" s="1017"/>
      <c r="GI170" s="1017"/>
      <c r="GJ170" s="1017"/>
      <c r="GK170" s="1017"/>
      <c r="GL170" s="1017"/>
      <c r="GM170" s="1017"/>
      <c r="GN170" s="1017"/>
      <c r="GO170" s="1017"/>
      <c r="GP170" s="1017"/>
      <c r="GQ170" s="1017"/>
      <c r="GR170" s="1017"/>
      <c r="GS170" s="1017"/>
      <c r="GT170" s="1017"/>
      <c r="GU170" s="1017"/>
      <c r="GV170" s="1017"/>
      <c r="GW170" s="1017"/>
      <c r="GX170" s="1017"/>
      <c r="GY170" s="1017"/>
      <c r="GZ170" s="1017"/>
      <c r="HA170" s="1017"/>
      <c r="HB170" s="1017"/>
      <c r="HC170" s="1017"/>
      <c r="HD170" s="1017"/>
      <c r="HE170" s="1017"/>
      <c r="HF170" s="1017"/>
      <c r="HG170" s="1017"/>
      <c r="HH170" s="1017"/>
      <c r="HI170" s="1017"/>
      <c r="HJ170" s="1017"/>
      <c r="HK170" s="1017"/>
      <c r="HL170" s="1017"/>
      <c r="HM170" s="1017"/>
      <c r="HN170" s="1017"/>
      <c r="HO170" s="1017"/>
      <c r="HP170" s="1017"/>
      <c r="HQ170" s="1017"/>
      <c r="HR170" s="1017"/>
      <c r="HS170" s="1017"/>
      <c r="HT170" s="1017"/>
      <c r="HU170" s="1017"/>
      <c r="HV170" s="1017"/>
      <c r="HW170" s="1017"/>
      <c r="HX170" s="1017"/>
      <c r="HY170" s="1017"/>
      <c r="HZ170" s="1017"/>
      <c r="IA170" s="1017"/>
      <c r="IB170" s="1017"/>
      <c r="IC170" s="1017"/>
      <c r="ID170" s="1017"/>
      <c r="IE170" s="1017"/>
      <c r="IF170" s="1017"/>
      <c r="IG170" s="1017"/>
      <c r="IH170" s="1017"/>
      <c r="II170" s="1017"/>
      <c r="IJ170" s="1017"/>
      <c r="IK170" s="1017"/>
      <c r="IL170" s="1017"/>
      <c r="IM170" s="1017"/>
    </row>
    <row r="171" spans="1:247" s="1077" customFormat="1">
      <c r="A171" s="1052" t="s">
        <v>941</v>
      </c>
      <c r="B171" s="1053"/>
      <c r="C171" s="1071">
        <v>-0.39984417</v>
      </c>
      <c r="D171" s="1068">
        <v>0</v>
      </c>
      <c r="E171" s="1069">
        <v>0</v>
      </c>
      <c r="F171" s="1069">
        <v>0</v>
      </c>
      <c r="G171" s="1070">
        <v>0</v>
      </c>
      <c r="H171" s="1072">
        <v>-0.39984417</v>
      </c>
      <c r="I171" s="1072">
        <v>-0.39984417</v>
      </c>
      <c r="J171" s="1072">
        <v>-0.39984417</v>
      </c>
      <c r="K171" s="1073">
        <v>-0.39984417</v>
      </c>
      <c r="L171" s="1028"/>
      <c r="M171" s="1045"/>
      <c r="N171" s="1050">
        <f t="shared" si="102"/>
        <v>-0.39984417</v>
      </c>
      <c r="O171" s="1045">
        <f>E171</f>
        <v>0</v>
      </c>
      <c r="P171" s="1046">
        <v>0</v>
      </c>
      <c r="Q171" s="1046">
        <v>0</v>
      </c>
      <c r="R171" s="1045">
        <f t="shared" si="117"/>
        <v>-0.39984417</v>
      </c>
      <c r="S171" s="1046">
        <f t="shared" si="117"/>
        <v>-0.39984417</v>
      </c>
      <c r="T171" s="1046">
        <f t="shared" si="117"/>
        <v>-0.39984417</v>
      </c>
      <c r="U171" s="1050">
        <f t="shared" si="100"/>
        <v>0.39984417</v>
      </c>
      <c r="V171" s="948"/>
      <c r="W171" s="1075">
        <f>O171</f>
        <v>0</v>
      </c>
      <c r="X171" s="1048">
        <v>-0.39984417</v>
      </c>
      <c r="Y171" s="1075">
        <f>X171-W171</f>
        <v>-0.39984417</v>
      </c>
      <c r="Z171" s="1076">
        <f>Y171/$X$179*100</f>
        <v>-4.4677655581133952E-4</v>
      </c>
      <c r="AA171" s="1017"/>
      <c r="AB171" s="952"/>
      <c r="AC171" s="1017"/>
      <c r="AD171" s="1017"/>
      <c r="AE171" s="1017"/>
      <c r="AF171" s="1017"/>
      <c r="AG171" s="1017"/>
      <c r="AH171" s="1017"/>
      <c r="AI171" s="1017"/>
      <c r="AJ171" s="1017"/>
      <c r="AK171" s="1017"/>
      <c r="AL171" s="1017"/>
      <c r="AM171" s="1017"/>
      <c r="AN171" s="1017"/>
      <c r="AO171" s="1017"/>
      <c r="AP171" s="1017"/>
      <c r="AQ171" s="1017"/>
      <c r="AR171" s="1017"/>
      <c r="AS171" s="1017"/>
      <c r="AT171" s="1017"/>
      <c r="AU171" s="1017"/>
      <c r="AV171" s="1017"/>
      <c r="AW171" s="1017"/>
      <c r="AX171" s="1017"/>
      <c r="AY171" s="1017"/>
      <c r="AZ171" s="1017"/>
      <c r="BA171" s="1017"/>
      <c r="BB171" s="1017"/>
      <c r="BC171" s="1017"/>
      <c r="BD171" s="1017"/>
      <c r="BE171" s="1017"/>
      <c r="BF171" s="1017"/>
      <c r="BG171" s="1017"/>
      <c r="BH171" s="1017"/>
      <c r="BI171" s="1017"/>
      <c r="BJ171" s="1017"/>
      <c r="BK171" s="1017"/>
      <c r="BL171" s="1017"/>
      <c r="BM171" s="1017"/>
      <c r="BN171" s="1017"/>
      <c r="BO171" s="1017"/>
      <c r="BP171" s="1017"/>
      <c r="BQ171" s="1017"/>
      <c r="BR171" s="1017"/>
      <c r="BS171" s="1017"/>
      <c r="BT171" s="1017"/>
      <c r="BU171" s="1017"/>
      <c r="BV171" s="1017"/>
      <c r="BW171" s="1017"/>
      <c r="BX171" s="1017"/>
      <c r="BY171" s="1017"/>
      <c r="BZ171" s="1017"/>
      <c r="CA171" s="1017"/>
      <c r="CB171" s="1017"/>
      <c r="CC171" s="1017"/>
      <c r="CD171" s="1017"/>
      <c r="CE171" s="1017"/>
      <c r="CF171" s="1017"/>
      <c r="CG171" s="1017"/>
      <c r="CH171" s="1017"/>
      <c r="CI171" s="1017"/>
      <c r="CJ171" s="1017"/>
      <c r="CK171" s="1017"/>
      <c r="CL171" s="1017"/>
      <c r="CM171" s="1017"/>
      <c r="CN171" s="1017"/>
      <c r="CO171" s="1017"/>
      <c r="CP171" s="1017"/>
      <c r="CQ171" s="1017"/>
      <c r="CR171" s="1017"/>
      <c r="CS171" s="1017"/>
      <c r="CT171" s="1017"/>
      <c r="CU171" s="1017"/>
      <c r="CV171" s="1017"/>
      <c r="CW171" s="1017"/>
      <c r="CX171" s="1017"/>
      <c r="CY171" s="1017"/>
      <c r="CZ171" s="1017"/>
      <c r="DA171" s="1017"/>
      <c r="DB171" s="1017"/>
      <c r="DC171" s="1017"/>
      <c r="DD171" s="1017"/>
      <c r="DE171" s="1017"/>
      <c r="DF171" s="1017"/>
      <c r="DG171" s="1017"/>
      <c r="DH171" s="1017"/>
      <c r="DI171" s="1017"/>
      <c r="DJ171" s="1017"/>
      <c r="DK171" s="1017"/>
      <c r="DL171" s="1017"/>
      <c r="DM171" s="1017"/>
      <c r="DN171" s="1017"/>
      <c r="DO171" s="1017"/>
      <c r="DP171" s="1017"/>
      <c r="DQ171" s="1017"/>
      <c r="DR171" s="1017"/>
      <c r="DS171" s="1017"/>
      <c r="DT171" s="1017"/>
      <c r="DU171" s="1017"/>
      <c r="DV171" s="1017"/>
      <c r="DW171" s="1017"/>
      <c r="DX171" s="1017"/>
      <c r="DY171" s="1017"/>
      <c r="DZ171" s="1017"/>
      <c r="EA171" s="1017"/>
      <c r="EB171" s="1017"/>
      <c r="EC171" s="1017"/>
      <c r="ED171" s="1017"/>
      <c r="EE171" s="1017"/>
      <c r="EF171" s="1017"/>
      <c r="EG171" s="1017"/>
      <c r="EH171" s="1017"/>
      <c r="EI171" s="1017"/>
      <c r="EJ171" s="1017"/>
      <c r="EK171" s="1017"/>
      <c r="EL171" s="1017"/>
      <c r="EM171" s="1017"/>
      <c r="EN171" s="1017"/>
      <c r="EO171" s="1017"/>
      <c r="EP171" s="1017"/>
      <c r="EQ171" s="1017"/>
      <c r="ER171" s="1017"/>
      <c r="ES171" s="1017"/>
      <c r="ET171" s="1017"/>
      <c r="EU171" s="1017"/>
      <c r="EV171" s="1017"/>
      <c r="EW171" s="1017"/>
      <c r="EX171" s="1017"/>
      <c r="EY171" s="1017"/>
      <c r="EZ171" s="1017"/>
      <c r="FA171" s="1017"/>
      <c r="FB171" s="1017"/>
      <c r="FC171" s="1017"/>
      <c r="FD171" s="1017"/>
      <c r="FE171" s="1017"/>
      <c r="FF171" s="1017"/>
      <c r="FG171" s="1017"/>
      <c r="FH171" s="1017"/>
      <c r="FI171" s="1017"/>
      <c r="FJ171" s="1017"/>
      <c r="FK171" s="1017"/>
      <c r="FL171" s="1017"/>
      <c r="FM171" s="1017"/>
      <c r="FN171" s="1017"/>
      <c r="FO171" s="1017"/>
      <c r="FP171" s="1017"/>
      <c r="FQ171" s="1017"/>
      <c r="FR171" s="1017"/>
      <c r="FS171" s="1017"/>
      <c r="FT171" s="1017"/>
      <c r="FU171" s="1017"/>
      <c r="FV171" s="1017"/>
      <c r="FW171" s="1017"/>
      <c r="FX171" s="1017"/>
      <c r="FY171" s="1017"/>
      <c r="FZ171" s="1017"/>
      <c r="GA171" s="1017"/>
      <c r="GB171" s="1017"/>
      <c r="GC171" s="1017"/>
      <c r="GD171" s="1017"/>
      <c r="GE171" s="1017"/>
      <c r="GF171" s="1017"/>
      <c r="GG171" s="1017"/>
      <c r="GH171" s="1017"/>
      <c r="GI171" s="1017"/>
      <c r="GJ171" s="1017"/>
      <c r="GK171" s="1017"/>
      <c r="GL171" s="1017"/>
      <c r="GM171" s="1017"/>
      <c r="GN171" s="1017"/>
      <c r="GO171" s="1017"/>
      <c r="GP171" s="1017"/>
      <c r="GQ171" s="1017"/>
      <c r="GR171" s="1017"/>
      <c r="GS171" s="1017"/>
      <c r="GT171" s="1017"/>
      <c r="GU171" s="1017"/>
      <c r="GV171" s="1017"/>
      <c r="GW171" s="1017"/>
      <c r="GX171" s="1017"/>
      <c r="GY171" s="1017"/>
      <c r="GZ171" s="1017"/>
      <c r="HA171" s="1017"/>
      <c r="HB171" s="1017"/>
      <c r="HC171" s="1017"/>
      <c r="HD171" s="1017"/>
      <c r="HE171" s="1017"/>
      <c r="HF171" s="1017"/>
      <c r="HG171" s="1017"/>
      <c r="HH171" s="1017"/>
      <c r="HI171" s="1017"/>
      <c r="HJ171" s="1017"/>
      <c r="HK171" s="1017"/>
      <c r="HL171" s="1017"/>
      <c r="HM171" s="1017"/>
      <c r="HN171" s="1017"/>
      <c r="HO171" s="1017"/>
      <c r="HP171" s="1017"/>
      <c r="HQ171" s="1017"/>
      <c r="HR171" s="1017"/>
      <c r="HS171" s="1017"/>
      <c r="HT171" s="1017"/>
      <c r="HU171" s="1017"/>
      <c r="HV171" s="1017"/>
      <c r="HW171" s="1017"/>
      <c r="HX171" s="1017"/>
      <c r="HY171" s="1017"/>
      <c r="HZ171" s="1017"/>
      <c r="IA171" s="1017"/>
      <c r="IB171" s="1017"/>
      <c r="IC171" s="1017"/>
      <c r="ID171" s="1017"/>
      <c r="IE171" s="1017"/>
      <c r="IF171" s="1017"/>
      <c r="IG171" s="1017"/>
      <c r="IH171" s="1017"/>
      <c r="II171" s="1017"/>
      <c r="IJ171" s="1017"/>
      <c r="IK171" s="1017"/>
      <c r="IL171" s="1017"/>
      <c r="IM171" s="1017"/>
    </row>
    <row r="172" spans="1:247" s="1077" customFormat="1">
      <c r="A172" s="1052" t="s">
        <v>985</v>
      </c>
      <c r="B172" s="1053"/>
      <c r="C172" s="1071">
        <v>0</v>
      </c>
      <c r="D172" s="1068">
        <v>97.522000000000006</v>
      </c>
      <c r="E172" s="1069">
        <v>0</v>
      </c>
      <c r="F172" s="1069">
        <v>0</v>
      </c>
      <c r="G172" s="1070">
        <v>0</v>
      </c>
      <c r="H172" s="1072">
        <v>0</v>
      </c>
      <c r="I172" s="1072">
        <v>0</v>
      </c>
      <c r="J172" s="1072">
        <v>0</v>
      </c>
      <c r="K172" s="1073">
        <v>0</v>
      </c>
      <c r="L172" s="1028"/>
      <c r="M172" s="1045"/>
      <c r="N172" s="1050">
        <f t="shared" si="102"/>
        <v>0</v>
      </c>
      <c r="O172" s="1045">
        <v>0</v>
      </c>
      <c r="P172" s="1046">
        <v>0</v>
      </c>
      <c r="Q172" s="1046">
        <v>0</v>
      </c>
      <c r="R172" s="1045">
        <f t="shared" si="117"/>
        <v>0</v>
      </c>
      <c r="S172" s="1046">
        <f t="shared" si="117"/>
        <v>0</v>
      </c>
      <c r="T172" s="1046">
        <f t="shared" si="117"/>
        <v>0</v>
      </c>
      <c r="U172" s="1050">
        <f t="shared" si="100"/>
        <v>0</v>
      </c>
      <c r="V172" s="948"/>
      <c r="W172" s="1075">
        <f t="shared" ref="W172:W173" si="121">O172</f>
        <v>0</v>
      </c>
      <c r="X172" s="1048">
        <v>0</v>
      </c>
      <c r="Y172" s="1075">
        <f t="shared" ref="Y172:Y174" si="122">X172-W172</f>
        <v>0</v>
      </c>
      <c r="Z172" s="1076">
        <f t="shared" ref="Z172:Z179" si="123">Y172/$X$179*100</f>
        <v>0</v>
      </c>
      <c r="AA172" s="1017"/>
      <c r="AB172" s="952"/>
      <c r="AC172" s="1017"/>
      <c r="AD172" s="1017"/>
      <c r="AE172" s="1017"/>
      <c r="AF172" s="1017"/>
      <c r="AG172" s="1017"/>
      <c r="AH172" s="1017"/>
      <c r="AI172" s="1017"/>
      <c r="AJ172" s="1017"/>
      <c r="AK172" s="1017"/>
      <c r="AL172" s="1017"/>
      <c r="AM172" s="1017"/>
      <c r="AN172" s="1017"/>
      <c r="AO172" s="1017"/>
      <c r="AP172" s="1017"/>
      <c r="AQ172" s="1017"/>
      <c r="AR172" s="1017"/>
      <c r="AS172" s="1017"/>
      <c r="AT172" s="1017"/>
      <c r="AU172" s="1017"/>
      <c r="AV172" s="1017"/>
      <c r="AW172" s="1017"/>
      <c r="AX172" s="1017"/>
      <c r="AY172" s="1017"/>
      <c r="AZ172" s="1017"/>
      <c r="BA172" s="1017"/>
      <c r="BB172" s="1017"/>
      <c r="BC172" s="1017"/>
      <c r="BD172" s="1017"/>
      <c r="BE172" s="1017"/>
      <c r="BF172" s="1017"/>
      <c r="BG172" s="1017"/>
      <c r="BH172" s="1017"/>
      <c r="BI172" s="1017"/>
      <c r="BJ172" s="1017"/>
      <c r="BK172" s="1017"/>
      <c r="BL172" s="1017"/>
      <c r="BM172" s="1017"/>
      <c r="BN172" s="1017"/>
      <c r="BO172" s="1017"/>
      <c r="BP172" s="1017"/>
      <c r="BQ172" s="1017"/>
      <c r="BR172" s="1017"/>
      <c r="BS172" s="1017"/>
      <c r="BT172" s="1017"/>
      <c r="BU172" s="1017"/>
      <c r="BV172" s="1017"/>
      <c r="BW172" s="1017"/>
      <c r="BX172" s="1017"/>
      <c r="BY172" s="1017"/>
      <c r="BZ172" s="1017"/>
      <c r="CA172" s="1017"/>
      <c r="CB172" s="1017"/>
      <c r="CC172" s="1017"/>
      <c r="CD172" s="1017"/>
      <c r="CE172" s="1017"/>
      <c r="CF172" s="1017"/>
      <c r="CG172" s="1017"/>
      <c r="CH172" s="1017"/>
      <c r="CI172" s="1017"/>
      <c r="CJ172" s="1017"/>
      <c r="CK172" s="1017"/>
      <c r="CL172" s="1017"/>
      <c r="CM172" s="1017"/>
      <c r="CN172" s="1017"/>
      <c r="CO172" s="1017"/>
      <c r="CP172" s="1017"/>
      <c r="CQ172" s="1017"/>
      <c r="CR172" s="1017"/>
      <c r="CS172" s="1017"/>
      <c r="CT172" s="1017"/>
      <c r="CU172" s="1017"/>
      <c r="CV172" s="1017"/>
      <c r="CW172" s="1017"/>
      <c r="CX172" s="1017"/>
      <c r="CY172" s="1017"/>
      <c r="CZ172" s="1017"/>
      <c r="DA172" s="1017"/>
      <c r="DB172" s="1017"/>
      <c r="DC172" s="1017"/>
      <c r="DD172" s="1017"/>
      <c r="DE172" s="1017"/>
      <c r="DF172" s="1017"/>
      <c r="DG172" s="1017"/>
      <c r="DH172" s="1017"/>
      <c r="DI172" s="1017"/>
      <c r="DJ172" s="1017"/>
      <c r="DK172" s="1017"/>
      <c r="DL172" s="1017"/>
      <c r="DM172" s="1017"/>
      <c r="DN172" s="1017"/>
      <c r="DO172" s="1017"/>
      <c r="DP172" s="1017"/>
      <c r="DQ172" s="1017"/>
      <c r="DR172" s="1017"/>
      <c r="DS172" s="1017"/>
      <c r="DT172" s="1017"/>
      <c r="DU172" s="1017"/>
      <c r="DV172" s="1017"/>
      <c r="DW172" s="1017"/>
      <c r="DX172" s="1017"/>
      <c r="DY172" s="1017"/>
      <c r="DZ172" s="1017"/>
      <c r="EA172" s="1017"/>
      <c r="EB172" s="1017"/>
      <c r="EC172" s="1017"/>
      <c r="ED172" s="1017"/>
      <c r="EE172" s="1017"/>
      <c r="EF172" s="1017"/>
      <c r="EG172" s="1017"/>
      <c r="EH172" s="1017"/>
      <c r="EI172" s="1017"/>
      <c r="EJ172" s="1017"/>
      <c r="EK172" s="1017"/>
      <c r="EL172" s="1017"/>
      <c r="EM172" s="1017"/>
      <c r="EN172" s="1017"/>
      <c r="EO172" s="1017"/>
      <c r="EP172" s="1017"/>
      <c r="EQ172" s="1017"/>
      <c r="ER172" s="1017"/>
      <c r="ES172" s="1017"/>
      <c r="ET172" s="1017"/>
      <c r="EU172" s="1017"/>
      <c r="EV172" s="1017"/>
      <c r="EW172" s="1017"/>
      <c r="EX172" s="1017"/>
      <c r="EY172" s="1017"/>
      <c r="EZ172" s="1017"/>
      <c r="FA172" s="1017"/>
      <c r="FB172" s="1017"/>
      <c r="FC172" s="1017"/>
      <c r="FD172" s="1017"/>
      <c r="FE172" s="1017"/>
      <c r="FF172" s="1017"/>
      <c r="FG172" s="1017"/>
      <c r="FH172" s="1017"/>
      <c r="FI172" s="1017"/>
      <c r="FJ172" s="1017"/>
      <c r="FK172" s="1017"/>
      <c r="FL172" s="1017"/>
      <c r="FM172" s="1017"/>
      <c r="FN172" s="1017"/>
      <c r="FO172" s="1017"/>
      <c r="FP172" s="1017"/>
      <c r="FQ172" s="1017"/>
      <c r="FR172" s="1017"/>
      <c r="FS172" s="1017"/>
      <c r="FT172" s="1017"/>
      <c r="FU172" s="1017"/>
      <c r="FV172" s="1017"/>
      <c r="FW172" s="1017"/>
      <c r="FX172" s="1017"/>
      <c r="FY172" s="1017"/>
      <c r="FZ172" s="1017"/>
      <c r="GA172" s="1017"/>
      <c r="GB172" s="1017"/>
      <c r="GC172" s="1017"/>
      <c r="GD172" s="1017"/>
      <c r="GE172" s="1017"/>
      <c r="GF172" s="1017"/>
      <c r="GG172" s="1017"/>
      <c r="GH172" s="1017"/>
      <c r="GI172" s="1017"/>
      <c r="GJ172" s="1017"/>
      <c r="GK172" s="1017"/>
      <c r="GL172" s="1017"/>
      <c r="GM172" s="1017"/>
      <c r="GN172" s="1017"/>
      <c r="GO172" s="1017"/>
      <c r="GP172" s="1017"/>
      <c r="GQ172" s="1017"/>
      <c r="GR172" s="1017"/>
      <c r="GS172" s="1017"/>
      <c r="GT172" s="1017"/>
      <c r="GU172" s="1017"/>
      <c r="GV172" s="1017"/>
      <c r="GW172" s="1017"/>
      <c r="GX172" s="1017"/>
      <c r="GY172" s="1017"/>
      <c r="GZ172" s="1017"/>
      <c r="HA172" s="1017"/>
      <c r="HB172" s="1017"/>
      <c r="HC172" s="1017"/>
      <c r="HD172" s="1017"/>
      <c r="HE172" s="1017"/>
      <c r="HF172" s="1017"/>
      <c r="HG172" s="1017"/>
      <c r="HH172" s="1017"/>
      <c r="HI172" s="1017"/>
      <c r="HJ172" s="1017"/>
      <c r="HK172" s="1017"/>
      <c r="HL172" s="1017"/>
      <c r="HM172" s="1017"/>
      <c r="HN172" s="1017"/>
      <c r="HO172" s="1017"/>
      <c r="HP172" s="1017"/>
      <c r="HQ172" s="1017"/>
      <c r="HR172" s="1017"/>
      <c r="HS172" s="1017"/>
      <c r="HT172" s="1017"/>
      <c r="HU172" s="1017"/>
      <c r="HV172" s="1017"/>
      <c r="HW172" s="1017"/>
      <c r="HX172" s="1017"/>
      <c r="HY172" s="1017"/>
      <c r="HZ172" s="1017"/>
      <c r="IA172" s="1017"/>
      <c r="IB172" s="1017"/>
      <c r="IC172" s="1017"/>
      <c r="ID172" s="1017"/>
      <c r="IE172" s="1017"/>
      <c r="IF172" s="1017"/>
      <c r="IG172" s="1017"/>
      <c r="IH172" s="1017"/>
      <c r="II172" s="1017"/>
      <c r="IJ172" s="1017"/>
      <c r="IK172" s="1017"/>
      <c r="IL172" s="1017"/>
      <c r="IM172" s="1017"/>
    </row>
    <row r="173" spans="1:247" s="1077" customFormat="1">
      <c r="A173" s="1052" t="s">
        <v>942</v>
      </c>
      <c r="B173" s="1053"/>
      <c r="C173" s="1071">
        <v>4.7491721900000003</v>
      </c>
      <c r="D173" s="1068">
        <v>0.8</v>
      </c>
      <c r="E173" s="1069">
        <v>0</v>
      </c>
      <c r="F173" s="1069">
        <v>0</v>
      </c>
      <c r="G173" s="1070">
        <v>0</v>
      </c>
      <c r="H173" s="1072">
        <v>4.7491721900000003</v>
      </c>
      <c r="I173" s="1072">
        <v>4.7491721900000003</v>
      </c>
      <c r="J173" s="1072">
        <v>4.7491721900000003</v>
      </c>
      <c r="K173" s="1073">
        <v>4.7491721900000003</v>
      </c>
      <c r="L173" s="1028"/>
      <c r="M173" s="1045"/>
      <c r="N173" s="1050">
        <f t="shared" si="102"/>
        <v>4.7491721900000003</v>
      </c>
      <c r="O173" s="1045">
        <v>4.8437161458223592</v>
      </c>
      <c r="P173" s="1046">
        <v>4.9287478944148058</v>
      </c>
      <c r="Q173" s="1046">
        <v>5.0306924456790165</v>
      </c>
      <c r="R173" s="1045">
        <f t="shared" ref="R173:T175" si="124">I173-O173</f>
        <v>-9.4543955822358861E-2</v>
      </c>
      <c r="S173" s="1046">
        <f t="shared" si="124"/>
        <v>-0.17957570441480541</v>
      </c>
      <c r="T173" s="1046">
        <f t="shared" si="124"/>
        <v>-0.28152025567901617</v>
      </c>
      <c r="U173" s="1050">
        <f t="shared" si="100"/>
        <v>9.4543955822358861E-2</v>
      </c>
      <c r="V173" s="948"/>
      <c r="W173" s="1075">
        <f t="shared" si="121"/>
        <v>4.8437161458223592</v>
      </c>
      <c r="X173" s="1048">
        <v>4.7491721900000003</v>
      </c>
      <c r="Y173" s="1075">
        <f t="shared" si="122"/>
        <v>-9.4543955822358861E-2</v>
      </c>
      <c r="Z173" s="1076">
        <f t="shared" si="123"/>
        <v>-1.0564121256311662E-4</v>
      </c>
      <c r="AA173" s="1017"/>
      <c r="AB173" s="952"/>
      <c r="AC173" s="1017"/>
      <c r="AD173" s="1017"/>
      <c r="AE173" s="1017"/>
      <c r="AF173" s="1017"/>
      <c r="AG173" s="1017"/>
      <c r="AH173" s="1017"/>
      <c r="AI173" s="1017"/>
      <c r="AJ173" s="1017"/>
      <c r="AK173" s="1017"/>
      <c r="AL173" s="1017"/>
      <c r="AM173" s="1017"/>
      <c r="AN173" s="1017"/>
      <c r="AO173" s="1017"/>
      <c r="AP173" s="1017"/>
      <c r="AQ173" s="1017"/>
      <c r="AR173" s="1017"/>
      <c r="AS173" s="1017"/>
      <c r="AT173" s="1017"/>
      <c r="AU173" s="1017"/>
      <c r="AV173" s="1017"/>
      <c r="AW173" s="1017"/>
      <c r="AX173" s="1017"/>
      <c r="AY173" s="1017"/>
      <c r="AZ173" s="1017"/>
      <c r="BA173" s="1017"/>
      <c r="BB173" s="1017"/>
      <c r="BC173" s="1017"/>
      <c r="BD173" s="1017"/>
      <c r="BE173" s="1017"/>
      <c r="BF173" s="1017"/>
      <c r="BG173" s="1017"/>
      <c r="BH173" s="1017"/>
      <c r="BI173" s="1017"/>
      <c r="BJ173" s="1017"/>
      <c r="BK173" s="1017"/>
      <c r="BL173" s="1017"/>
      <c r="BM173" s="1017"/>
      <c r="BN173" s="1017"/>
      <c r="BO173" s="1017"/>
      <c r="BP173" s="1017"/>
      <c r="BQ173" s="1017"/>
      <c r="BR173" s="1017"/>
      <c r="BS173" s="1017"/>
      <c r="BT173" s="1017"/>
      <c r="BU173" s="1017"/>
      <c r="BV173" s="1017"/>
      <c r="BW173" s="1017"/>
      <c r="BX173" s="1017"/>
      <c r="BY173" s="1017"/>
      <c r="BZ173" s="1017"/>
      <c r="CA173" s="1017"/>
      <c r="CB173" s="1017"/>
      <c r="CC173" s="1017"/>
      <c r="CD173" s="1017"/>
      <c r="CE173" s="1017"/>
      <c r="CF173" s="1017"/>
      <c r="CG173" s="1017"/>
      <c r="CH173" s="1017"/>
      <c r="CI173" s="1017"/>
      <c r="CJ173" s="1017"/>
      <c r="CK173" s="1017"/>
      <c r="CL173" s="1017"/>
      <c r="CM173" s="1017"/>
      <c r="CN173" s="1017"/>
      <c r="CO173" s="1017"/>
      <c r="CP173" s="1017"/>
      <c r="CQ173" s="1017"/>
      <c r="CR173" s="1017"/>
      <c r="CS173" s="1017"/>
      <c r="CT173" s="1017"/>
      <c r="CU173" s="1017"/>
      <c r="CV173" s="1017"/>
      <c r="CW173" s="1017"/>
      <c r="CX173" s="1017"/>
      <c r="CY173" s="1017"/>
      <c r="CZ173" s="1017"/>
      <c r="DA173" s="1017"/>
      <c r="DB173" s="1017"/>
      <c r="DC173" s="1017"/>
      <c r="DD173" s="1017"/>
      <c r="DE173" s="1017"/>
      <c r="DF173" s="1017"/>
      <c r="DG173" s="1017"/>
      <c r="DH173" s="1017"/>
      <c r="DI173" s="1017"/>
      <c r="DJ173" s="1017"/>
      <c r="DK173" s="1017"/>
      <c r="DL173" s="1017"/>
      <c r="DM173" s="1017"/>
      <c r="DN173" s="1017"/>
      <c r="DO173" s="1017"/>
      <c r="DP173" s="1017"/>
      <c r="DQ173" s="1017"/>
      <c r="DR173" s="1017"/>
      <c r="DS173" s="1017"/>
      <c r="DT173" s="1017"/>
      <c r="DU173" s="1017"/>
      <c r="DV173" s="1017"/>
      <c r="DW173" s="1017"/>
      <c r="DX173" s="1017"/>
      <c r="DY173" s="1017"/>
      <c r="DZ173" s="1017"/>
      <c r="EA173" s="1017"/>
      <c r="EB173" s="1017"/>
      <c r="EC173" s="1017"/>
      <c r="ED173" s="1017"/>
      <c r="EE173" s="1017"/>
      <c r="EF173" s="1017"/>
      <c r="EG173" s="1017"/>
      <c r="EH173" s="1017"/>
      <c r="EI173" s="1017"/>
      <c r="EJ173" s="1017"/>
      <c r="EK173" s="1017"/>
      <c r="EL173" s="1017"/>
      <c r="EM173" s="1017"/>
      <c r="EN173" s="1017"/>
      <c r="EO173" s="1017"/>
      <c r="EP173" s="1017"/>
      <c r="EQ173" s="1017"/>
      <c r="ER173" s="1017"/>
      <c r="ES173" s="1017"/>
      <c r="ET173" s="1017"/>
      <c r="EU173" s="1017"/>
      <c r="EV173" s="1017"/>
      <c r="EW173" s="1017"/>
      <c r="EX173" s="1017"/>
      <c r="EY173" s="1017"/>
      <c r="EZ173" s="1017"/>
      <c r="FA173" s="1017"/>
      <c r="FB173" s="1017"/>
      <c r="FC173" s="1017"/>
      <c r="FD173" s="1017"/>
      <c r="FE173" s="1017"/>
      <c r="FF173" s="1017"/>
      <c r="FG173" s="1017"/>
      <c r="FH173" s="1017"/>
      <c r="FI173" s="1017"/>
      <c r="FJ173" s="1017"/>
      <c r="FK173" s="1017"/>
      <c r="FL173" s="1017"/>
      <c r="FM173" s="1017"/>
      <c r="FN173" s="1017"/>
      <c r="FO173" s="1017"/>
      <c r="FP173" s="1017"/>
      <c r="FQ173" s="1017"/>
      <c r="FR173" s="1017"/>
      <c r="FS173" s="1017"/>
      <c r="FT173" s="1017"/>
      <c r="FU173" s="1017"/>
      <c r="FV173" s="1017"/>
      <c r="FW173" s="1017"/>
      <c r="FX173" s="1017"/>
      <c r="FY173" s="1017"/>
      <c r="FZ173" s="1017"/>
      <c r="GA173" s="1017"/>
      <c r="GB173" s="1017"/>
      <c r="GC173" s="1017"/>
      <c r="GD173" s="1017"/>
      <c r="GE173" s="1017"/>
      <c r="GF173" s="1017"/>
      <c r="GG173" s="1017"/>
      <c r="GH173" s="1017"/>
      <c r="GI173" s="1017"/>
      <c r="GJ173" s="1017"/>
      <c r="GK173" s="1017"/>
      <c r="GL173" s="1017"/>
      <c r="GM173" s="1017"/>
      <c r="GN173" s="1017"/>
      <c r="GO173" s="1017"/>
      <c r="GP173" s="1017"/>
      <c r="GQ173" s="1017"/>
      <c r="GR173" s="1017"/>
      <c r="GS173" s="1017"/>
      <c r="GT173" s="1017"/>
      <c r="GU173" s="1017"/>
      <c r="GV173" s="1017"/>
      <c r="GW173" s="1017"/>
      <c r="GX173" s="1017"/>
      <c r="GY173" s="1017"/>
      <c r="GZ173" s="1017"/>
      <c r="HA173" s="1017"/>
      <c r="HB173" s="1017"/>
      <c r="HC173" s="1017"/>
      <c r="HD173" s="1017"/>
      <c r="HE173" s="1017"/>
      <c r="HF173" s="1017"/>
      <c r="HG173" s="1017"/>
      <c r="HH173" s="1017"/>
      <c r="HI173" s="1017"/>
      <c r="HJ173" s="1017"/>
      <c r="HK173" s="1017"/>
      <c r="HL173" s="1017"/>
      <c r="HM173" s="1017"/>
      <c r="HN173" s="1017"/>
      <c r="HO173" s="1017"/>
      <c r="HP173" s="1017"/>
      <c r="HQ173" s="1017"/>
      <c r="HR173" s="1017"/>
      <c r="HS173" s="1017"/>
      <c r="HT173" s="1017"/>
      <c r="HU173" s="1017"/>
      <c r="HV173" s="1017"/>
      <c r="HW173" s="1017"/>
      <c r="HX173" s="1017"/>
      <c r="HY173" s="1017"/>
      <c r="HZ173" s="1017"/>
      <c r="IA173" s="1017"/>
      <c r="IB173" s="1017"/>
      <c r="IC173" s="1017"/>
      <c r="ID173" s="1017"/>
      <c r="IE173" s="1017"/>
      <c r="IF173" s="1017"/>
      <c r="IG173" s="1017"/>
      <c r="IH173" s="1017"/>
      <c r="II173" s="1017"/>
      <c r="IJ173" s="1017"/>
      <c r="IK173" s="1017"/>
      <c r="IL173" s="1017"/>
      <c r="IM173" s="1017"/>
    </row>
    <row r="174" spans="1:247">
      <c r="A174" s="1052" t="s">
        <v>950</v>
      </c>
      <c r="B174" s="1053"/>
      <c r="C174" s="1071">
        <v>9.7645999999999997</v>
      </c>
      <c r="D174" s="1068">
        <f>-14.887+0.0059+5.174+16.033</f>
        <v>6.3259000000000007</v>
      </c>
      <c r="E174" s="1069">
        <f>0.04849+1.7464+12.263-11.275</f>
        <v>2.7828900000000001</v>
      </c>
      <c r="F174" s="1069">
        <f>0.0485+1.751+11.906-10.634</f>
        <v>3.0715000000000003</v>
      </c>
      <c r="G174" s="1070">
        <f>0.0485+1.756+13.036-11.915</f>
        <v>2.9254999999999995</v>
      </c>
      <c r="H174" s="1072">
        <v>6.3259000000000007</v>
      </c>
      <c r="I174" s="1072">
        <v>12.78289</v>
      </c>
      <c r="J174" s="1072">
        <v>13.0715</v>
      </c>
      <c r="K174" s="1073">
        <v>12.9255</v>
      </c>
      <c r="L174" s="1028"/>
      <c r="M174" s="1045"/>
      <c r="N174" s="1050">
        <f t="shared" si="102"/>
        <v>6.3259000000000007</v>
      </c>
      <c r="O174" s="1045">
        <v>6.4518326017692065</v>
      </c>
      <c r="P174" s="1046">
        <v>6.5650949382146155</v>
      </c>
      <c r="Q174" s="1046">
        <v>6.7008851372308094</v>
      </c>
      <c r="R174" s="1045">
        <f t="shared" si="124"/>
        <v>6.3310573982307936</v>
      </c>
      <c r="S174" s="1046">
        <f t="shared" si="124"/>
        <v>6.5064050617853848</v>
      </c>
      <c r="T174" s="1046">
        <f t="shared" si="124"/>
        <v>6.2246148627691902</v>
      </c>
      <c r="U174" s="1050">
        <f t="shared" si="100"/>
        <v>0.12593260176920573</v>
      </c>
      <c r="V174" s="948"/>
      <c r="W174" s="1075">
        <f>O174</f>
        <v>6.4518326017692065</v>
      </c>
      <c r="X174" s="1048">
        <v>12.78289</v>
      </c>
      <c r="Y174" s="1075">
        <f t="shared" si="122"/>
        <v>6.3310573982307936</v>
      </c>
      <c r="Z174" s="1076">
        <f t="shared" si="123"/>
        <v>7.0741759696670188E-3</v>
      </c>
      <c r="AA174" s="1017"/>
      <c r="AB174" s="952"/>
      <c r="AC174" s="1017"/>
      <c r="AD174" s="1017"/>
      <c r="AE174" s="1017"/>
      <c r="AF174" s="1017"/>
      <c r="AG174" s="1017"/>
      <c r="AH174" s="1017"/>
      <c r="AI174" s="1017"/>
      <c r="AJ174" s="1017"/>
      <c r="AK174" s="1017"/>
      <c r="AL174" s="1017"/>
      <c r="AM174" s="1017"/>
      <c r="AN174" s="1017"/>
      <c r="AO174" s="1017"/>
      <c r="AP174" s="1017"/>
      <c r="AQ174" s="1017"/>
      <c r="AR174" s="1017"/>
      <c r="AS174" s="1017"/>
      <c r="AT174" s="1017"/>
      <c r="AU174" s="1017"/>
      <c r="AV174" s="1017"/>
      <c r="AW174" s="1017"/>
      <c r="AX174" s="1017"/>
      <c r="AY174" s="1017"/>
      <c r="AZ174" s="1017"/>
      <c r="BA174" s="1017"/>
      <c r="BB174" s="1017"/>
      <c r="BC174" s="1017"/>
      <c r="BD174" s="1017"/>
      <c r="BE174" s="1017"/>
      <c r="BF174" s="1017"/>
      <c r="BG174" s="1017"/>
      <c r="BH174" s="1017"/>
      <c r="BI174" s="1017"/>
      <c r="BJ174" s="1017"/>
      <c r="BK174" s="1017"/>
      <c r="BL174" s="1017"/>
      <c r="BM174" s="1017"/>
      <c r="BN174" s="1017"/>
      <c r="BO174" s="1017"/>
      <c r="BP174" s="1017"/>
      <c r="BQ174" s="1017"/>
      <c r="BR174" s="1017"/>
      <c r="BS174" s="1017"/>
      <c r="BT174" s="1017"/>
      <c r="BU174" s="1017"/>
      <c r="BV174" s="1017"/>
      <c r="BW174" s="1017"/>
      <c r="BX174" s="1017"/>
      <c r="BY174" s="1017"/>
      <c r="BZ174" s="1017"/>
      <c r="CA174" s="1017"/>
      <c r="CB174" s="1017"/>
      <c r="CC174" s="1017"/>
      <c r="CD174" s="1017"/>
      <c r="CE174" s="1017"/>
      <c r="CF174" s="1017"/>
      <c r="CG174" s="1017"/>
      <c r="CH174" s="1017"/>
      <c r="CI174" s="1017"/>
      <c r="CJ174" s="1017"/>
      <c r="CK174" s="1017"/>
      <c r="CL174" s="1017"/>
      <c r="CM174" s="1017"/>
      <c r="CN174" s="1017"/>
      <c r="CO174" s="1017"/>
      <c r="CP174" s="1017"/>
      <c r="CQ174" s="1017"/>
      <c r="CR174" s="1017"/>
      <c r="CS174" s="1017"/>
      <c r="CT174" s="1017"/>
      <c r="CU174" s="1017"/>
      <c r="CV174" s="1017"/>
      <c r="CW174" s="1017"/>
      <c r="CX174" s="1017"/>
      <c r="CY174" s="1017"/>
      <c r="CZ174" s="1017"/>
      <c r="DA174" s="1017"/>
      <c r="DB174" s="1017"/>
      <c r="DC174" s="1017"/>
      <c r="DD174" s="1017"/>
      <c r="DE174" s="1017"/>
      <c r="DF174" s="1017"/>
      <c r="DG174" s="1017"/>
      <c r="DH174" s="1017"/>
      <c r="DI174" s="1017"/>
      <c r="DJ174" s="1017"/>
      <c r="DK174" s="1017"/>
      <c r="DL174" s="1017"/>
      <c r="DM174" s="1017"/>
      <c r="DN174" s="1017"/>
      <c r="DO174" s="1017"/>
      <c r="DP174" s="1017"/>
      <c r="DQ174" s="1017"/>
      <c r="DR174" s="1017"/>
      <c r="DS174" s="1017"/>
      <c r="DT174" s="1017"/>
      <c r="DU174" s="1017"/>
      <c r="DV174" s="1017"/>
      <c r="DW174" s="1017"/>
      <c r="DX174" s="1017"/>
      <c r="DY174" s="1017"/>
      <c r="DZ174" s="1017"/>
      <c r="EA174" s="1017"/>
      <c r="EB174" s="1017"/>
      <c r="EC174" s="1017"/>
      <c r="ED174" s="1017"/>
      <c r="EE174" s="1017"/>
      <c r="EF174" s="1017"/>
      <c r="EG174" s="1017"/>
      <c r="EH174" s="1017"/>
      <c r="EI174" s="1017"/>
      <c r="EJ174" s="1017"/>
      <c r="EK174" s="1017"/>
      <c r="EL174" s="1017"/>
      <c r="EM174" s="1017"/>
      <c r="EN174" s="1017"/>
      <c r="EO174" s="1017"/>
      <c r="EP174" s="1017"/>
      <c r="EQ174" s="1017"/>
      <c r="ER174" s="1017"/>
      <c r="ES174" s="1017"/>
      <c r="ET174" s="1017"/>
      <c r="EU174" s="1017"/>
      <c r="EV174" s="1017"/>
      <c r="EW174" s="1017"/>
      <c r="EX174" s="1017"/>
      <c r="EY174" s="1017"/>
      <c r="EZ174" s="1017"/>
      <c r="FA174" s="1017"/>
      <c r="FB174" s="1017"/>
      <c r="FC174" s="1017"/>
      <c r="FD174" s="1017"/>
      <c r="FE174" s="1017"/>
      <c r="FF174" s="1017"/>
      <c r="FG174" s="1017"/>
      <c r="FH174" s="1017"/>
      <c r="FI174" s="1017"/>
      <c r="FJ174" s="1017"/>
      <c r="FK174" s="1017"/>
      <c r="FL174" s="1017"/>
      <c r="FM174" s="1017"/>
      <c r="FN174" s="1017"/>
      <c r="FO174" s="1017"/>
      <c r="FP174" s="1017"/>
      <c r="FQ174" s="1017"/>
      <c r="FR174" s="1017"/>
      <c r="FS174" s="1017"/>
      <c r="FT174" s="1017"/>
      <c r="FU174" s="1017"/>
      <c r="FV174" s="1017"/>
      <c r="FW174" s="1017"/>
      <c r="FX174" s="1017"/>
      <c r="FY174" s="1017"/>
      <c r="FZ174" s="1017"/>
      <c r="GA174" s="1017"/>
      <c r="GB174" s="1017"/>
      <c r="GC174" s="1017"/>
      <c r="GD174" s="1017"/>
      <c r="GE174" s="1017"/>
      <c r="GF174" s="1017"/>
      <c r="GG174" s="1017"/>
      <c r="GH174" s="1017"/>
      <c r="GI174" s="1017"/>
      <c r="GJ174" s="1017"/>
      <c r="GK174" s="1017"/>
      <c r="GL174" s="1017"/>
      <c r="GM174" s="1017"/>
      <c r="GN174" s="1017"/>
      <c r="GO174" s="1017"/>
      <c r="GP174" s="1017"/>
      <c r="GQ174" s="1017"/>
      <c r="GR174" s="1017"/>
      <c r="GS174" s="1017"/>
      <c r="GT174" s="1017"/>
      <c r="GU174" s="1017"/>
      <c r="GV174" s="1017"/>
      <c r="GW174" s="1017"/>
      <c r="GX174" s="1017"/>
      <c r="GY174" s="1017"/>
      <c r="GZ174" s="1017"/>
      <c r="HA174" s="1017"/>
      <c r="HB174" s="1017"/>
      <c r="HC174" s="1017"/>
      <c r="HD174" s="1017"/>
      <c r="HE174" s="1017"/>
      <c r="HF174" s="1017"/>
      <c r="HG174" s="1017"/>
      <c r="HH174" s="1017"/>
      <c r="HI174" s="1017"/>
      <c r="HJ174" s="1017"/>
      <c r="HK174" s="1017"/>
      <c r="HL174" s="1017"/>
      <c r="HM174" s="1017"/>
      <c r="HN174" s="1017"/>
      <c r="HO174" s="1017"/>
      <c r="HP174" s="1017"/>
      <c r="HQ174" s="1017"/>
      <c r="HR174" s="1017"/>
      <c r="HS174" s="1017"/>
      <c r="HT174" s="1017"/>
      <c r="HU174" s="1017"/>
      <c r="HV174" s="1017"/>
      <c r="HW174" s="1017"/>
      <c r="HX174" s="1017"/>
      <c r="HY174" s="1017"/>
      <c r="HZ174" s="1017"/>
      <c r="IA174" s="1017"/>
      <c r="IB174" s="1017"/>
      <c r="IC174" s="1017"/>
      <c r="ID174" s="1017"/>
      <c r="IE174" s="1017"/>
      <c r="IF174" s="1017"/>
      <c r="IG174" s="1017"/>
      <c r="IH174" s="1017"/>
      <c r="II174" s="1017"/>
      <c r="IJ174" s="1017"/>
      <c r="IK174" s="1017"/>
      <c r="IL174" s="1017"/>
      <c r="IM174" s="1017"/>
    </row>
    <row r="175" spans="1:247">
      <c r="A175" s="1109" t="s">
        <v>432</v>
      </c>
      <c r="B175" s="1110"/>
      <c r="C175" s="1081">
        <f>C156-SUM(C157:C174)</f>
        <v>692.08327341000029</v>
      </c>
      <c r="D175" s="1082">
        <f>D156-SUM(D157:D174)</f>
        <v>665.29010000000017</v>
      </c>
      <c r="E175" s="1083">
        <f>E156-SUM(E157:E174)</f>
        <v>728.42454800000064</v>
      </c>
      <c r="F175" s="1083">
        <f>F156-SUM(F157:F174)</f>
        <v>732.59648600000014</v>
      </c>
      <c r="G175" s="1084">
        <f>G156-SUM(G157:G174)</f>
        <v>736.88721299999997</v>
      </c>
      <c r="H175" s="1085">
        <v>776.64137135166118</v>
      </c>
      <c r="I175" s="1085">
        <v>765.87346986639375</v>
      </c>
      <c r="J175" s="1085">
        <v>795.39978925938476</v>
      </c>
      <c r="K175" s="1086">
        <v>779.50944615798517</v>
      </c>
      <c r="L175" s="1028"/>
      <c r="M175" s="1082"/>
      <c r="N175" s="1081">
        <f t="shared" si="102"/>
        <v>776.64137135166118</v>
      </c>
      <c r="O175" s="1082">
        <v>792.10232845435314</v>
      </c>
      <c r="P175" s="1083">
        <v>806.00773579551492</v>
      </c>
      <c r="Q175" s="1083">
        <v>822.67892667429135</v>
      </c>
      <c r="R175" s="1082">
        <f t="shared" si="124"/>
        <v>-26.228858587959394</v>
      </c>
      <c r="S175" s="1083">
        <f t="shared" si="124"/>
        <v>-10.607946536130157</v>
      </c>
      <c r="T175" s="1083">
        <f t="shared" si="124"/>
        <v>-43.16948051630618</v>
      </c>
      <c r="U175" s="1081">
        <f t="shared" si="100"/>
        <v>15.460957102691964</v>
      </c>
      <c r="V175" s="948"/>
      <c r="W175" s="1082">
        <f>O175</f>
        <v>792.10232845435314</v>
      </c>
      <c r="X175" s="1083">
        <v>728.42454800000064</v>
      </c>
      <c r="Y175" s="1082">
        <f>X175-W175</f>
        <v>-63.677780454352501</v>
      </c>
      <c r="Z175" s="1087">
        <f t="shared" si="123"/>
        <v>-7.1152067649520187E-2</v>
      </c>
      <c r="AA175" s="952"/>
      <c r="AB175" s="952"/>
      <c r="AC175" s="1017"/>
      <c r="AD175" s="1017"/>
      <c r="AE175" s="1017"/>
      <c r="AF175" s="1017"/>
      <c r="AG175" s="1017"/>
      <c r="AH175" s="1017"/>
      <c r="AI175" s="1017"/>
      <c r="AJ175" s="1017"/>
      <c r="AK175" s="1017"/>
      <c r="AL175" s="1017"/>
      <c r="AM175" s="1017"/>
      <c r="AN175" s="1017"/>
      <c r="AO175" s="1017"/>
      <c r="AP175" s="1017"/>
      <c r="AQ175" s="1017"/>
      <c r="AR175" s="1017"/>
      <c r="AS175" s="1017"/>
      <c r="AT175" s="1017"/>
      <c r="AU175" s="1017"/>
      <c r="AV175" s="1017"/>
      <c r="AW175" s="1017"/>
      <c r="AX175" s="1017"/>
      <c r="AY175" s="1017"/>
      <c r="AZ175" s="1017"/>
      <c r="BA175" s="1017"/>
      <c r="BB175" s="1017"/>
      <c r="BC175" s="1017"/>
      <c r="BD175" s="1017"/>
      <c r="BE175" s="1017"/>
      <c r="BF175" s="1017"/>
      <c r="BG175" s="1017"/>
      <c r="BH175" s="1017"/>
      <c r="BI175" s="1017"/>
      <c r="BJ175" s="1017"/>
      <c r="BK175" s="1017"/>
      <c r="BL175" s="1017"/>
      <c r="BM175" s="1017"/>
      <c r="BN175" s="1017"/>
      <c r="BO175" s="1017"/>
      <c r="BP175" s="1017"/>
      <c r="BQ175" s="1017"/>
      <c r="BR175" s="1017"/>
      <c r="BS175" s="1017"/>
      <c r="BT175" s="1017"/>
      <c r="BU175" s="1017"/>
      <c r="BV175" s="1017"/>
      <c r="BW175" s="1017"/>
      <c r="BX175" s="1017"/>
      <c r="BY175" s="1017"/>
      <c r="BZ175" s="1017"/>
      <c r="CA175" s="1017"/>
      <c r="CB175" s="1017"/>
      <c r="CC175" s="1017"/>
      <c r="CD175" s="1017"/>
      <c r="CE175" s="1017"/>
      <c r="CF175" s="1017"/>
      <c r="CG175" s="1017"/>
      <c r="CH175" s="1017"/>
      <c r="CI175" s="1017"/>
      <c r="CJ175" s="1017"/>
      <c r="CK175" s="1017"/>
      <c r="CL175" s="1017"/>
      <c r="CM175" s="1017"/>
      <c r="CN175" s="1017"/>
      <c r="CO175" s="1017"/>
      <c r="CP175" s="1017"/>
      <c r="CQ175" s="1017"/>
      <c r="CR175" s="1017"/>
      <c r="CS175" s="1017"/>
      <c r="CT175" s="1017"/>
      <c r="CU175" s="1017"/>
      <c r="CV175" s="1017"/>
      <c r="CW175" s="1017"/>
      <c r="CX175" s="1017"/>
      <c r="CY175" s="1017"/>
      <c r="CZ175" s="1017"/>
      <c r="DA175" s="1017"/>
      <c r="DB175" s="1017"/>
      <c r="DC175" s="1017"/>
      <c r="DD175" s="1017"/>
      <c r="DE175" s="1017"/>
      <c r="DF175" s="1017"/>
      <c r="DG175" s="1017"/>
      <c r="DH175" s="1017"/>
      <c r="DI175" s="1017"/>
      <c r="DJ175" s="1017"/>
      <c r="DK175" s="1017"/>
      <c r="DL175" s="1017"/>
      <c r="DM175" s="1017"/>
      <c r="DN175" s="1017"/>
      <c r="DO175" s="1017"/>
      <c r="DP175" s="1017"/>
      <c r="DQ175" s="1017"/>
      <c r="DR175" s="1017"/>
      <c r="DS175" s="1017"/>
      <c r="DT175" s="1017"/>
      <c r="DU175" s="1017"/>
      <c r="DV175" s="1017"/>
      <c r="DW175" s="1017"/>
      <c r="DX175" s="1017"/>
      <c r="DY175" s="1017"/>
      <c r="DZ175" s="1017"/>
      <c r="EA175" s="1017"/>
      <c r="EB175" s="1017"/>
      <c r="EC175" s="1017"/>
      <c r="ED175" s="1017"/>
      <c r="EE175" s="1017"/>
      <c r="EF175" s="1017"/>
      <c r="EG175" s="1017"/>
      <c r="EH175" s="1017"/>
      <c r="EI175" s="1017"/>
      <c r="EJ175" s="1017"/>
      <c r="EK175" s="1017"/>
      <c r="EL175" s="1017"/>
      <c r="EM175" s="1017"/>
      <c r="EN175" s="1017"/>
      <c r="EO175" s="1017"/>
      <c r="EP175" s="1017"/>
      <c r="EQ175" s="1017"/>
      <c r="ER175" s="1017"/>
      <c r="ES175" s="1017"/>
      <c r="ET175" s="1017"/>
      <c r="EU175" s="1017"/>
      <c r="EV175" s="1017"/>
      <c r="EW175" s="1017"/>
      <c r="EX175" s="1017"/>
      <c r="EY175" s="1017"/>
      <c r="EZ175" s="1017"/>
      <c r="FA175" s="1017"/>
      <c r="FB175" s="1017"/>
      <c r="FC175" s="1017"/>
      <c r="FD175" s="1017"/>
      <c r="FE175" s="1017"/>
      <c r="FF175" s="1017"/>
      <c r="FG175" s="1017"/>
      <c r="FH175" s="1017"/>
      <c r="FI175" s="1017"/>
      <c r="FJ175" s="1017"/>
      <c r="FK175" s="1017"/>
      <c r="FL175" s="1017"/>
      <c r="FM175" s="1017"/>
      <c r="FN175" s="1017"/>
      <c r="FO175" s="1017"/>
      <c r="FP175" s="1017"/>
      <c r="FQ175" s="1017"/>
      <c r="FR175" s="1017"/>
      <c r="FS175" s="1017"/>
      <c r="FT175" s="1017"/>
      <c r="FU175" s="1017"/>
      <c r="FV175" s="1017"/>
      <c r="FW175" s="1017"/>
      <c r="FX175" s="1017"/>
      <c r="FY175" s="1017"/>
      <c r="FZ175" s="1017"/>
      <c r="GA175" s="1017"/>
      <c r="GB175" s="1017"/>
      <c r="GC175" s="1017"/>
      <c r="GD175" s="1017"/>
      <c r="GE175" s="1017"/>
      <c r="GF175" s="1017"/>
      <c r="GG175" s="1017"/>
      <c r="GH175" s="1017"/>
      <c r="GI175" s="1017"/>
      <c r="GJ175" s="1017"/>
      <c r="GK175" s="1017"/>
      <c r="GL175" s="1017"/>
      <c r="GM175" s="1017"/>
      <c r="GN175" s="1017"/>
      <c r="GO175" s="1017"/>
      <c r="GP175" s="1017"/>
      <c r="GQ175" s="1017"/>
      <c r="GR175" s="1017"/>
      <c r="GS175" s="1017"/>
      <c r="GT175" s="1017"/>
      <c r="GU175" s="1017"/>
      <c r="GV175" s="1017"/>
      <c r="GW175" s="1017"/>
      <c r="GX175" s="1017"/>
      <c r="GY175" s="1017"/>
      <c r="GZ175" s="1017"/>
      <c r="HA175" s="1017"/>
      <c r="HB175" s="1017"/>
      <c r="HC175" s="1017"/>
      <c r="HD175" s="1017"/>
      <c r="HE175" s="1017"/>
      <c r="HF175" s="1017"/>
      <c r="HG175" s="1017"/>
      <c r="HH175" s="1017"/>
      <c r="HI175" s="1017"/>
      <c r="HJ175" s="1017"/>
      <c r="HK175" s="1017"/>
      <c r="HL175" s="1017"/>
      <c r="HM175" s="1017"/>
      <c r="HN175" s="1017"/>
      <c r="HO175" s="1017"/>
      <c r="HP175" s="1017"/>
      <c r="HQ175" s="1017"/>
      <c r="HR175" s="1017"/>
      <c r="HS175" s="1017"/>
      <c r="HT175" s="1017"/>
      <c r="HU175" s="1017"/>
      <c r="HV175" s="1017"/>
      <c r="HW175" s="1017"/>
      <c r="HX175" s="1017"/>
      <c r="HY175" s="1017"/>
      <c r="HZ175" s="1017"/>
      <c r="IA175" s="1017"/>
      <c r="IB175" s="1017"/>
      <c r="IC175" s="1017"/>
      <c r="ID175" s="1017"/>
      <c r="IE175" s="1017"/>
      <c r="IF175" s="1017"/>
      <c r="IG175" s="1017"/>
      <c r="IH175" s="1017"/>
      <c r="II175" s="1017"/>
      <c r="IJ175" s="1017"/>
      <c r="IK175" s="1017"/>
      <c r="IL175" s="1017"/>
      <c r="IM175" s="1017"/>
    </row>
    <row r="176" spans="1:247">
      <c r="A176" s="1022" t="s">
        <v>55</v>
      </c>
      <c r="B176" s="1023" t="s">
        <v>1012</v>
      </c>
      <c r="C176" s="1024">
        <f t="shared" ref="C176:G176" si="125">C4-C69</f>
        <v>-1773.9129999999968</v>
      </c>
      <c r="D176" s="1025">
        <f t="shared" si="125"/>
        <v>-1375.5499999999956</v>
      </c>
      <c r="E176" s="1026">
        <f t="shared" si="125"/>
        <v>-742.81100000000151</v>
      </c>
      <c r="F176" s="1026">
        <f t="shared" si="125"/>
        <v>-309.44699999998556</v>
      </c>
      <c r="G176" s="1027">
        <f t="shared" si="125"/>
        <v>-273.02799999999115</v>
      </c>
      <c r="H176" s="1026">
        <f>H4-H69</f>
        <v>-1431.2543554446311</v>
      </c>
      <c r="I176" s="1026">
        <f t="shared" ref="I176:K176" si="126">I4-I69</f>
        <v>-1249.2845664651832</v>
      </c>
      <c r="J176" s="1026">
        <f t="shared" si="126"/>
        <v>-840.93829034821829</v>
      </c>
      <c r="K176" s="1027">
        <f t="shared" si="126"/>
        <v>-790.69487973825017</v>
      </c>
      <c r="L176" s="1028"/>
      <c r="M176" s="1025">
        <f>M4-M69</f>
        <v>110.78800000000001</v>
      </c>
      <c r="N176" s="1024">
        <f>H176+M176</f>
        <v>-1320.4663554446311</v>
      </c>
      <c r="O176" s="1025">
        <f t="shared" ref="O176:T176" si="127">O4-O69</f>
        <v>-1217.1479379913872</v>
      </c>
      <c r="P176" s="1026">
        <f t="shared" si="127"/>
        <v>-719.99008200452954</v>
      </c>
      <c r="Q176" s="1026">
        <f t="shared" si="127"/>
        <v>-453.14080523383745</v>
      </c>
      <c r="R176" s="1025">
        <f t="shared" si="127"/>
        <v>-32.136662473798424</v>
      </c>
      <c r="S176" s="1026">
        <f t="shared" si="127"/>
        <v>-120.94820834369116</v>
      </c>
      <c r="T176" s="1026">
        <f t="shared" si="127"/>
        <v>-337.55407450439981</v>
      </c>
      <c r="U176" s="1024">
        <f t="shared" si="100"/>
        <v>103.31841745324391</v>
      </c>
      <c r="V176" s="948"/>
      <c r="W176" s="1025">
        <f>W4-W69</f>
        <v>-1217.1479379913872</v>
      </c>
      <c r="X176" s="1026">
        <f>X4-X69</f>
        <v>-737.13900150374684</v>
      </c>
      <c r="Y176" s="1025">
        <f t="shared" si="78"/>
        <v>480.00893648764031</v>
      </c>
      <c r="Z176" s="1031">
        <f t="shared" si="123"/>
        <v>0.53635079736841473</v>
      </c>
      <c r="AA176" s="1017"/>
      <c r="AB176" s="952"/>
      <c r="AC176" s="1017"/>
      <c r="AD176" s="1017"/>
      <c r="AE176" s="1017"/>
      <c r="AF176" s="1017"/>
      <c r="AG176" s="1017"/>
      <c r="AH176" s="1017"/>
      <c r="AI176" s="1017"/>
      <c r="AJ176" s="1017"/>
      <c r="AK176" s="1017"/>
      <c r="AL176" s="1017"/>
      <c r="AM176" s="1017"/>
      <c r="AN176" s="1017"/>
      <c r="AO176" s="1017"/>
      <c r="AP176" s="1017"/>
      <c r="AQ176" s="1017"/>
      <c r="AR176" s="1017"/>
      <c r="AS176" s="1017"/>
      <c r="AT176" s="1017"/>
      <c r="AU176" s="1017"/>
      <c r="AV176" s="1017"/>
      <c r="AW176" s="1017"/>
      <c r="AX176" s="1017"/>
      <c r="AY176" s="1017"/>
      <c r="AZ176" s="1017"/>
      <c r="BA176" s="1017"/>
      <c r="BB176" s="1017"/>
      <c r="BC176" s="1017"/>
      <c r="BD176" s="1017"/>
      <c r="BE176" s="1017"/>
      <c r="BF176" s="1017"/>
      <c r="BG176" s="1017"/>
      <c r="BH176" s="1017"/>
      <c r="BI176" s="1017"/>
      <c r="BJ176" s="1017"/>
      <c r="BK176" s="1017"/>
      <c r="BL176" s="1017"/>
      <c r="BM176" s="1017"/>
      <c r="BN176" s="1017"/>
      <c r="BO176" s="1017"/>
      <c r="BP176" s="1017"/>
      <c r="BQ176" s="1017"/>
      <c r="BR176" s="1017"/>
      <c r="BS176" s="1017"/>
      <c r="BT176" s="1017"/>
      <c r="BU176" s="1017"/>
      <c r="BV176" s="1017"/>
      <c r="BW176" s="1017"/>
      <c r="BX176" s="1017"/>
      <c r="BY176" s="1017"/>
      <c r="BZ176" s="1017"/>
      <c r="CA176" s="1017"/>
      <c r="CB176" s="1017"/>
      <c r="CC176" s="1017"/>
      <c r="CD176" s="1017"/>
      <c r="CE176" s="1017"/>
      <c r="CF176" s="1017"/>
      <c r="CG176" s="1017"/>
      <c r="CH176" s="1017"/>
      <c r="CI176" s="1017"/>
      <c r="CJ176" s="1017"/>
      <c r="CK176" s="1017"/>
      <c r="CL176" s="1017"/>
      <c r="CM176" s="1017"/>
      <c r="CN176" s="1017"/>
      <c r="CO176" s="1017"/>
      <c r="CP176" s="1017"/>
      <c r="CQ176" s="1017"/>
      <c r="CR176" s="1017"/>
      <c r="CS176" s="1017"/>
      <c r="CT176" s="1017"/>
      <c r="CU176" s="1017"/>
      <c r="CV176" s="1017"/>
      <c r="CW176" s="1017"/>
      <c r="CX176" s="1017"/>
      <c r="CY176" s="1017"/>
      <c r="CZ176" s="1017"/>
      <c r="DA176" s="1017"/>
      <c r="DB176" s="1017"/>
      <c r="DC176" s="1017"/>
      <c r="DD176" s="1017"/>
      <c r="DE176" s="1017"/>
      <c r="DF176" s="1017"/>
      <c r="DG176" s="1017"/>
      <c r="DH176" s="1017"/>
      <c r="DI176" s="1017"/>
      <c r="DJ176" s="1017"/>
      <c r="DK176" s="1017"/>
      <c r="DL176" s="1017"/>
      <c r="DM176" s="1017"/>
      <c r="DN176" s="1017"/>
      <c r="DO176" s="1017"/>
      <c r="DP176" s="1017"/>
      <c r="DQ176" s="1017"/>
      <c r="DR176" s="1017"/>
      <c r="DS176" s="1017"/>
      <c r="DT176" s="1017"/>
      <c r="DU176" s="1017"/>
      <c r="DV176" s="1017"/>
      <c r="DW176" s="1017"/>
      <c r="DX176" s="1017"/>
      <c r="DY176" s="1017"/>
      <c r="DZ176" s="1017"/>
      <c r="EA176" s="1017"/>
      <c r="EB176" s="1017"/>
      <c r="EC176" s="1017"/>
      <c r="ED176" s="1017"/>
      <c r="EE176" s="1017"/>
      <c r="EF176" s="1017"/>
      <c r="EG176" s="1017"/>
      <c r="EH176" s="1017"/>
      <c r="EI176" s="1017"/>
      <c r="EJ176" s="1017"/>
      <c r="EK176" s="1017"/>
      <c r="EL176" s="1017"/>
      <c r="EM176" s="1017"/>
      <c r="EN176" s="1017"/>
      <c r="EO176" s="1017"/>
      <c r="EP176" s="1017"/>
      <c r="EQ176" s="1017"/>
      <c r="ER176" s="1017"/>
      <c r="ES176" s="1017"/>
      <c r="ET176" s="1017"/>
      <c r="EU176" s="1017"/>
      <c r="EV176" s="1017"/>
      <c r="EW176" s="1017"/>
      <c r="EX176" s="1017"/>
      <c r="EY176" s="1017"/>
      <c r="EZ176" s="1017"/>
      <c r="FA176" s="1017"/>
      <c r="FB176" s="1017"/>
      <c r="FC176" s="1017"/>
      <c r="FD176" s="1017"/>
      <c r="FE176" s="1017"/>
      <c r="FF176" s="1017"/>
      <c r="FG176" s="1017"/>
      <c r="FH176" s="1017"/>
      <c r="FI176" s="1017"/>
      <c r="FJ176" s="1017"/>
      <c r="FK176" s="1017"/>
      <c r="FL176" s="1017"/>
      <c r="FM176" s="1017"/>
      <c r="FN176" s="1017"/>
      <c r="FO176" s="1017"/>
      <c r="FP176" s="1017"/>
      <c r="FQ176" s="1017"/>
      <c r="FR176" s="1017"/>
      <c r="FS176" s="1017"/>
      <c r="FT176" s="1017"/>
      <c r="FU176" s="1017"/>
      <c r="FV176" s="1017"/>
      <c r="FW176" s="1017"/>
      <c r="FX176" s="1017"/>
      <c r="FY176" s="1017"/>
      <c r="FZ176" s="1017"/>
      <c r="GA176" s="1017"/>
      <c r="GB176" s="1017"/>
      <c r="GC176" s="1017"/>
      <c r="GD176" s="1017"/>
      <c r="GE176" s="1017"/>
      <c r="GF176" s="1017"/>
      <c r="GG176" s="1017"/>
      <c r="GH176" s="1017"/>
      <c r="GI176" s="1017"/>
      <c r="GJ176" s="1017"/>
      <c r="GK176" s="1017"/>
      <c r="GL176" s="1017"/>
      <c r="GM176" s="1017"/>
      <c r="GN176" s="1017"/>
      <c r="GO176" s="1017"/>
      <c r="GP176" s="1017"/>
      <c r="GQ176" s="1017"/>
      <c r="GR176" s="1017"/>
      <c r="GS176" s="1017"/>
      <c r="GT176" s="1017"/>
      <c r="GU176" s="1017"/>
      <c r="GV176" s="1017"/>
      <c r="GW176" s="1017"/>
      <c r="GX176" s="1017"/>
      <c r="GY176" s="1017"/>
      <c r="GZ176" s="1017"/>
      <c r="HA176" s="1017"/>
      <c r="HB176" s="1017"/>
      <c r="HC176" s="1017"/>
      <c r="HD176" s="1017"/>
      <c r="HE176" s="1017"/>
      <c r="HF176" s="1017"/>
      <c r="HG176" s="1017"/>
      <c r="HH176" s="1017"/>
      <c r="HI176" s="1017"/>
      <c r="HJ176" s="1017"/>
      <c r="HK176" s="1017"/>
      <c r="HL176" s="1017"/>
      <c r="HM176" s="1017"/>
      <c r="HN176" s="1017"/>
      <c r="HO176" s="1017"/>
      <c r="HP176" s="1017"/>
      <c r="HQ176" s="1017"/>
      <c r="HR176" s="1017"/>
      <c r="HS176" s="1017"/>
      <c r="HT176" s="1017"/>
      <c r="HU176" s="1017"/>
      <c r="HV176" s="1017"/>
      <c r="HW176" s="1017"/>
      <c r="HX176" s="1017"/>
      <c r="HY176" s="1017"/>
      <c r="HZ176" s="1017"/>
      <c r="IA176" s="1017"/>
      <c r="IB176" s="1017"/>
      <c r="IC176" s="1017"/>
      <c r="ID176" s="1017"/>
      <c r="IE176" s="1017"/>
      <c r="IF176" s="1017"/>
      <c r="IG176" s="1017"/>
      <c r="IH176" s="1017"/>
      <c r="II176" s="1017"/>
      <c r="IJ176" s="1017"/>
      <c r="IK176" s="1017"/>
      <c r="IL176" s="1017"/>
      <c r="IM176" s="1017"/>
    </row>
    <row r="177" spans="1:247">
      <c r="A177" s="1111" t="s">
        <v>509</v>
      </c>
      <c r="B177" s="1112"/>
      <c r="C177" s="1113">
        <f t="shared" ref="C177:K177" si="128">C176/C179*100</f>
        <v>-2.1858611321595753</v>
      </c>
      <c r="D177" s="1114">
        <f t="shared" si="128"/>
        <v>-1.6259539031147514</v>
      </c>
      <c r="E177" s="1115">
        <f t="shared" si="128"/>
        <v>-0.82999969762914805</v>
      </c>
      <c r="F177" s="1115">
        <f t="shared" si="128"/>
        <v>-0.32484167369140149</v>
      </c>
      <c r="G177" s="1116">
        <f t="shared" si="128"/>
        <v>-0.27030507058339298</v>
      </c>
      <c r="H177" s="1115">
        <f t="shared" si="128"/>
        <v>-1.6877127592835026</v>
      </c>
      <c r="I177" s="1115">
        <f t="shared" si="128"/>
        <v>-1.3925511896846143</v>
      </c>
      <c r="J177" s="1115">
        <f t="shared" si="128"/>
        <v>-0.880642152447632</v>
      </c>
      <c r="K177" s="1116">
        <f t="shared" si="128"/>
        <v>-0.78091858075036102</v>
      </c>
      <c r="L177" s="1117"/>
      <c r="M177" s="1114">
        <f>M176/M179*100</f>
        <v>0.1301302536440592</v>
      </c>
      <c r="N177" s="1113">
        <f>N176/N179*100</f>
        <v>-1.5510039152476465</v>
      </c>
      <c r="O177" s="1114">
        <f>O176/O179*100</f>
        <v>-1.3503320682774429</v>
      </c>
      <c r="P177" s="1115">
        <f t="shared" ref="P177:Q177" si="129">P176/P179*100</f>
        <v>-0.74958248788769055</v>
      </c>
      <c r="Q177" s="1115">
        <f t="shared" si="129"/>
        <v>-0.44451044470516876</v>
      </c>
      <c r="R177" s="1114">
        <f>O177-E177</f>
        <v>-0.52033237064829485</v>
      </c>
      <c r="S177" s="1115">
        <f>P177-F177</f>
        <v>-0.42474081419628906</v>
      </c>
      <c r="T177" s="1115">
        <f>Q177-G177</f>
        <v>-0.17420537412177578</v>
      </c>
      <c r="U177" s="1113">
        <f t="shared" si="100"/>
        <v>0.20067184697020357</v>
      </c>
      <c r="V177" s="948"/>
      <c r="W177" s="1114">
        <f t="shared" ref="W177:X177" si="130">W176/W179*100</f>
        <v>-1.3503320682774429</v>
      </c>
      <c r="X177" s="1115">
        <f t="shared" si="130"/>
        <v>-0.82366193871490945</v>
      </c>
      <c r="Y177" s="1114">
        <f t="shared" si="78"/>
        <v>0.52667012956253345</v>
      </c>
      <c r="Z177" s="1116">
        <f t="shared" si="123"/>
        <v>5.884889269103528E-4</v>
      </c>
      <c r="AA177" s="1017"/>
      <c r="AB177" s="1017"/>
      <c r="AC177" s="1017"/>
      <c r="AD177" s="1017"/>
      <c r="AE177" s="1017"/>
      <c r="AF177" s="1017"/>
      <c r="AG177" s="1017"/>
      <c r="AH177" s="1017"/>
      <c r="AI177" s="1017"/>
      <c r="AJ177" s="1017"/>
      <c r="AK177" s="1017"/>
      <c r="AL177" s="1017"/>
      <c r="AM177" s="1017"/>
      <c r="AN177" s="1017"/>
      <c r="AO177" s="1017"/>
      <c r="AP177" s="1017"/>
      <c r="AQ177" s="1017"/>
      <c r="AR177" s="1017"/>
      <c r="AS177" s="1017"/>
      <c r="AT177" s="1017"/>
      <c r="AU177" s="1017"/>
      <c r="AV177" s="1017"/>
      <c r="AW177" s="1017"/>
      <c r="AX177" s="1017"/>
      <c r="AY177" s="1017"/>
      <c r="AZ177" s="1017"/>
      <c r="BA177" s="1017"/>
      <c r="BB177" s="1017"/>
      <c r="BC177" s="1017"/>
      <c r="BD177" s="1017"/>
      <c r="BE177" s="1017"/>
      <c r="BF177" s="1017"/>
      <c r="BG177" s="1017"/>
      <c r="BH177" s="1017"/>
      <c r="BI177" s="1017"/>
      <c r="BJ177" s="1017"/>
      <c r="BK177" s="1017"/>
      <c r="BL177" s="1017"/>
      <c r="BM177" s="1017"/>
      <c r="BN177" s="1017"/>
      <c r="BO177" s="1017"/>
      <c r="BP177" s="1017"/>
      <c r="BQ177" s="1017"/>
      <c r="BR177" s="1017"/>
      <c r="BS177" s="1017"/>
      <c r="BT177" s="1017"/>
      <c r="BU177" s="1017"/>
      <c r="BV177" s="1017"/>
      <c r="BW177" s="1017"/>
      <c r="BX177" s="1017"/>
      <c r="BY177" s="1017"/>
      <c r="BZ177" s="1017"/>
      <c r="CA177" s="1017"/>
      <c r="CB177" s="1017"/>
      <c r="CC177" s="1017"/>
      <c r="CD177" s="1017"/>
      <c r="CE177" s="1017"/>
      <c r="CF177" s="1017"/>
      <c r="CG177" s="1017"/>
      <c r="CH177" s="1017"/>
      <c r="CI177" s="1017"/>
      <c r="CJ177" s="1017"/>
      <c r="CK177" s="1017"/>
      <c r="CL177" s="1017"/>
      <c r="CM177" s="1017"/>
      <c r="CN177" s="1017"/>
      <c r="CO177" s="1017"/>
      <c r="CP177" s="1017"/>
      <c r="CQ177" s="1017"/>
      <c r="CR177" s="1017"/>
      <c r="CS177" s="1017"/>
      <c r="CT177" s="1017"/>
      <c r="CU177" s="1017"/>
      <c r="CV177" s="1017"/>
      <c r="CW177" s="1017"/>
      <c r="CX177" s="1017"/>
      <c r="CY177" s="1017"/>
      <c r="CZ177" s="1017"/>
      <c r="DA177" s="1017"/>
      <c r="DB177" s="1017"/>
      <c r="DC177" s="1017"/>
      <c r="DD177" s="1017"/>
      <c r="DE177" s="1017"/>
      <c r="DF177" s="1017"/>
      <c r="DG177" s="1017"/>
      <c r="DH177" s="1017"/>
      <c r="DI177" s="1017"/>
      <c r="DJ177" s="1017"/>
      <c r="DK177" s="1017"/>
      <c r="DL177" s="1017"/>
      <c r="DM177" s="1017"/>
      <c r="DN177" s="1017"/>
      <c r="DO177" s="1017"/>
      <c r="DP177" s="1017"/>
      <c r="DQ177" s="1017"/>
      <c r="DR177" s="1017"/>
      <c r="DS177" s="1017"/>
      <c r="DT177" s="1017"/>
      <c r="DU177" s="1017"/>
      <c r="DV177" s="1017"/>
      <c r="DW177" s="1017"/>
      <c r="DX177" s="1017"/>
      <c r="DY177" s="1017"/>
      <c r="DZ177" s="1017"/>
      <c r="EA177" s="1017"/>
      <c r="EB177" s="1017"/>
      <c r="EC177" s="1017"/>
      <c r="ED177" s="1017"/>
      <c r="EE177" s="1017"/>
      <c r="EF177" s="1017"/>
      <c r="EG177" s="1017"/>
      <c r="EH177" s="1017"/>
      <c r="EI177" s="1017"/>
      <c r="EJ177" s="1017"/>
      <c r="EK177" s="1017"/>
      <c r="EL177" s="1017"/>
      <c r="EM177" s="1017"/>
      <c r="EN177" s="1017"/>
      <c r="EO177" s="1017"/>
      <c r="EP177" s="1017"/>
      <c r="EQ177" s="1017"/>
      <c r="ER177" s="1017"/>
      <c r="ES177" s="1017"/>
      <c r="ET177" s="1017"/>
      <c r="EU177" s="1017"/>
      <c r="EV177" s="1017"/>
      <c r="EW177" s="1017"/>
      <c r="EX177" s="1017"/>
      <c r="EY177" s="1017"/>
      <c r="EZ177" s="1017"/>
      <c r="FA177" s="1017"/>
      <c r="FB177" s="1017"/>
      <c r="FC177" s="1017"/>
      <c r="FD177" s="1017"/>
      <c r="FE177" s="1017"/>
      <c r="FF177" s="1017"/>
      <c r="FG177" s="1017"/>
      <c r="FH177" s="1017"/>
      <c r="FI177" s="1017"/>
      <c r="FJ177" s="1017"/>
      <c r="FK177" s="1017"/>
      <c r="FL177" s="1017"/>
      <c r="FM177" s="1017"/>
      <c r="FN177" s="1017"/>
      <c r="FO177" s="1017"/>
      <c r="FP177" s="1017"/>
      <c r="FQ177" s="1017"/>
      <c r="FR177" s="1017"/>
      <c r="FS177" s="1017"/>
      <c r="FT177" s="1017"/>
      <c r="FU177" s="1017"/>
      <c r="FV177" s="1017"/>
      <c r="FW177" s="1017"/>
      <c r="FX177" s="1017"/>
      <c r="FY177" s="1017"/>
      <c r="FZ177" s="1017"/>
      <c r="GA177" s="1017"/>
      <c r="GB177" s="1017"/>
      <c r="GC177" s="1017"/>
      <c r="GD177" s="1017"/>
      <c r="GE177" s="1017"/>
      <c r="GF177" s="1017"/>
      <c r="GG177" s="1017"/>
      <c r="GH177" s="1017"/>
      <c r="GI177" s="1017"/>
      <c r="GJ177" s="1017"/>
      <c r="GK177" s="1017"/>
      <c r="GL177" s="1017"/>
      <c r="GM177" s="1017"/>
      <c r="GN177" s="1017"/>
      <c r="GO177" s="1017"/>
      <c r="GP177" s="1017"/>
      <c r="GQ177" s="1017"/>
      <c r="GR177" s="1017"/>
      <c r="GS177" s="1017"/>
      <c r="GT177" s="1017"/>
      <c r="GU177" s="1017"/>
      <c r="GV177" s="1017"/>
      <c r="GW177" s="1017"/>
      <c r="GX177" s="1017"/>
      <c r="GY177" s="1017"/>
      <c r="GZ177" s="1017"/>
      <c r="HA177" s="1017"/>
      <c r="HB177" s="1017"/>
      <c r="HC177" s="1017"/>
      <c r="HD177" s="1017"/>
      <c r="HE177" s="1017"/>
      <c r="HF177" s="1017"/>
      <c r="HG177" s="1017"/>
      <c r="HH177" s="1017"/>
      <c r="HI177" s="1017"/>
      <c r="HJ177" s="1017"/>
      <c r="HK177" s="1017"/>
      <c r="HL177" s="1017"/>
      <c r="HM177" s="1017"/>
      <c r="HN177" s="1017"/>
      <c r="HO177" s="1017"/>
      <c r="HP177" s="1017"/>
      <c r="HQ177" s="1017"/>
      <c r="HR177" s="1017"/>
      <c r="HS177" s="1017"/>
      <c r="HT177" s="1017"/>
      <c r="HU177" s="1017"/>
      <c r="HV177" s="1017"/>
      <c r="HW177" s="1017"/>
      <c r="HX177" s="1017"/>
      <c r="HY177" s="1017"/>
      <c r="HZ177" s="1017"/>
      <c r="IA177" s="1017"/>
      <c r="IB177" s="1017"/>
      <c r="IC177" s="1017"/>
      <c r="ID177" s="1017"/>
      <c r="IE177" s="1017"/>
      <c r="IF177" s="1017"/>
      <c r="IG177" s="1017"/>
      <c r="IH177" s="1017"/>
      <c r="II177" s="1017"/>
      <c r="IJ177" s="1017"/>
      <c r="IK177" s="1017"/>
      <c r="IL177" s="1017"/>
      <c r="IM177" s="1017"/>
    </row>
    <row r="178" spans="1:247">
      <c r="A178" s="1118" t="s">
        <v>1013</v>
      </c>
      <c r="B178" s="1119"/>
      <c r="C178" s="1120">
        <f t="shared" ref="C178:K178" si="131">C176+C120</f>
        <v>-438.10499999999683</v>
      </c>
      <c r="D178" s="1121">
        <f t="shared" si="131"/>
        <v>-265.94999999999573</v>
      </c>
      <c r="E178" s="1122">
        <f t="shared" si="131"/>
        <v>393.03599999999847</v>
      </c>
      <c r="F178" s="1122">
        <f t="shared" si="131"/>
        <v>816.13300000001436</v>
      </c>
      <c r="G178" s="1123">
        <f t="shared" si="131"/>
        <v>806.1760000000088</v>
      </c>
      <c r="H178" s="1124">
        <f t="shared" si="131"/>
        <v>-236.43150017427547</v>
      </c>
      <c r="I178" s="1124">
        <f t="shared" si="131"/>
        <v>-17.019402973199931</v>
      </c>
      <c r="J178" s="1124">
        <f t="shared" si="131"/>
        <v>370.56541078939222</v>
      </c>
      <c r="K178" s="1125">
        <f t="shared" si="131"/>
        <v>382.43907353903955</v>
      </c>
      <c r="L178" s="610"/>
      <c r="M178" s="1121">
        <f>M176+M120</f>
        <v>110.78800000000001</v>
      </c>
      <c r="N178" s="1024">
        <f>H178+M178</f>
        <v>-125.64350017427546</v>
      </c>
      <c r="O178" s="1121">
        <f t="shared" ref="O178:T178" si="132">O176+O120</f>
        <v>9.4857765100059623</v>
      </c>
      <c r="P178" s="1122">
        <f t="shared" si="132"/>
        <v>514.99205508169484</v>
      </c>
      <c r="Q178" s="1122">
        <f t="shared" si="132"/>
        <v>735.93139443688597</v>
      </c>
      <c r="R178" s="1121">
        <f t="shared" si="132"/>
        <v>-26.505213483208308</v>
      </c>
      <c r="S178" s="1122">
        <f t="shared" si="132"/>
        <v>-144.42664429230504</v>
      </c>
      <c r="T178" s="1122">
        <f t="shared" si="132"/>
        <v>-353.49232089783351</v>
      </c>
      <c r="U178" s="1120">
        <f t="shared" si="100"/>
        <v>135.12927668428142</v>
      </c>
      <c r="V178" s="948"/>
      <c r="W178" s="1121">
        <f>W176+W120</f>
        <v>9.4857765100059623</v>
      </c>
      <c r="X178" s="1122">
        <f>X176+X120</f>
        <v>497.84313558247754</v>
      </c>
      <c r="Y178" s="1121">
        <f t="shared" si="78"/>
        <v>488.35735907247158</v>
      </c>
      <c r="Z178" s="1126">
        <f t="shared" si="123"/>
        <v>0.5456791301759395</v>
      </c>
      <c r="AA178" s="1017"/>
      <c r="AB178" s="1017"/>
      <c r="AC178" s="1017"/>
      <c r="AD178" s="1017"/>
      <c r="AE178" s="1017"/>
      <c r="AF178" s="1017"/>
      <c r="AG178" s="1017"/>
      <c r="AH178" s="1017"/>
      <c r="AI178" s="1017"/>
      <c r="AJ178" s="1017"/>
      <c r="AK178" s="1017"/>
      <c r="AL178" s="1017"/>
      <c r="AM178" s="1017"/>
      <c r="AN178" s="1017"/>
      <c r="AO178" s="1017"/>
      <c r="AP178" s="1017"/>
      <c r="AQ178" s="1017"/>
      <c r="AR178" s="1017"/>
      <c r="AS178" s="1017"/>
      <c r="AT178" s="1017"/>
      <c r="AU178" s="1017"/>
      <c r="AV178" s="1017"/>
      <c r="AW178" s="1017"/>
      <c r="AX178" s="1017"/>
      <c r="AY178" s="1017"/>
      <c r="AZ178" s="1017"/>
      <c r="BA178" s="1017"/>
      <c r="BB178" s="1017"/>
      <c r="BC178" s="1017"/>
      <c r="BD178" s="1017"/>
      <c r="BE178" s="1017"/>
      <c r="BF178" s="1017"/>
      <c r="BG178" s="1017"/>
      <c r="BH178" s="1017"/>
      <c r="BI178" s="1017"/>
      <c r="BJ178" s="1017"/>
      <c r="BK178" s="1017"/>
      <c r="BL178" s="1017"/>
      <c r="BM178" s="1017"/>
      <c r="BN178" s="1017"/>
      <c r="BO178" s="1017"/>
      <c r="BP178" s="1017"/>
      <c r="BQ178" s="1017"/>
      <c r="BR178" s="1017"/>
      <c r="BS178" s="1017"/>
      <c r="BT178" s="1017"/>
      <c r="BU178" s="1017"/>
      <c r="BV178" s="1017"/>
      <c r="BW178" s="1017"/>
      <c r="BX178" s="1017"/>
      <c r="BY178" s="1017"/>
      <c r="BZ178" s="1017"/>
      <c r="CA178" s="1017"/>
      <c r="CB178" s="1017"/>
      <c r="CC178" s="1017"/>
      <c r="CD178" s="1017"/>
      <c r="CE178" s="1017"/>
      <c r="CF178" s="1017"/>
      <c r="CG178" s="1017"/>
      <c r="CH178" s="1017"/>
      <c r="CI178" s="1017"/>
      <c r="CJ178" s="1017"/>
      <c r="CK178" s="1017"/>
      <c r="CL178" s="1017"/>
      <c r="CM178" s="1017"/>
      <c r="CN178" s="1017"/>
      <c r="CO178" s="1017"/>
      <c r="CP178" s="1017"/>
      <c r="CQ178" s="1017"/>
      <c r="CR178" s="1017"/>
      <c r="CS178" s="1017"/>
      <c r="CT178" s="1017"/>
      <c r="CU178" s="1017"/>
      <c r="CV178" s="1017"/>
      <c r="CW178" s="1017"/>
      <c r="CX178" s="1017"/>
      <c r="CY178" s="1017"/>
      <c r="CZ178" s="1017"/>
      <c r="DA178" s="1017"/>
      <c r="DB178" s="1017"/>
      <c r="DC178" s="1017"/>
      <c r="DD178" s="1017"/>
      <c r="DE178" s="1017"/>
      <c r="DF178" s="1017"/>
      <c r="DG178" s="1017"/>
      <c r="DH178" s="1017"/>
      <c r="DI178" s="1017"/>
      <c r="DJ178" s="1017"/>
      <c r="DK178" s="1017"/>
      <c r="DL178" s="1017"/>
      <c r="DM178" s="1017"/>
      <c r="DN178" s="1017"/>
      <c r="DO178" s="1017"/>
      <c r="DP178" s="1017"/>
      <c r="DQ178" s="1017"/>
      <c r="DR178" s="1017"/>
      <c r="DS178" s="1017"/>
      <c r="DT178" s="1017"/>
      <c r="DU178" s="1017"/>
      <c r="DV178" s="1017"/>
      <c r="DW178" s="1017"/>
      <c r="DX178" s="1017"/>
      <c r="DY178" s="1017"/>
      <c r="DZ178" s="1017"/>
      <c r="EA178" s="1017"/>
      <c r="EB178" s="1017"/>
      <c r="EC178" s="1017"/>
      <c r="ED178" s="1017"/>
      <c r="EE178" s="1017"/>
      <c r="EF178" s="1017"/>
      <c r="EG178" s="1017"/>
      <c r="EH178" s="1017"/>
      <c r="EI178" s="1017"/>
      <c r="EJ178" s="1017"/>
      <c r="EK178" s="1017"/>
      <c r="EL178" s="1017"/>
      <c r="EM178" s="1017"/>
      <c r="EN178" s="1017"/>
      <c r="EO178" s="1017"/>
      <c r="EP178" s="1017"/>
      <c r="EQ178" s="1017"/>
      <c r="ER178" s="1017"/>
      <c r="ES178" s="1017"/>
      <c r="ET178" s="1017"/>
      <c r="EU178" s="1017"/>
      <c r="EV178" s="1017"/>
      <c r="EW178" s="1017"/>
      <c r="EX178" s="1017"/>
      <c r="EY178" s="1017"/>
      <c r="EZ178" s="1017"/>
      <c r="FA178" s="1017"/>
      <c r="FB178" s="1017"/>
      <c r="FC178" s="1017"/>
      <c r="FD178" s="1017"/>
      <c r="FE178" s="1017"/>
      <c r="FF178" s="1017"/>
      <c r="FG178" s="1017"/>
      <c r="FH178" s="1017"/>
      <c r="FI178" s="1017"/>
      <c r="FJ178" s="1017"/>
      <c r="FK178" s="1017"/>
      <c r="FL178" s="1017"/>
      <c r="FM178" s="1017"/>
      <c r="FN178" s="1017"/>
      <c r="FO178" s="1017"/>
      <c r="FP178" s="1017"/>
      <c r="FQ178" s="1017"/>
      <c r="FR178" s="1017"/>
      <c r="FS178" s="1017"/>
      <c r="FT178" s="1017"/>
      <c r="FU178" s="1017"/>
      <c r="FV178" s="1017"/>
      <c r="FW178" s="1017"/>
      <c r="FX178" s="1017"/>
      <c r="FY178" s="1017"/>
      <c r="FZ178" s="1017"/>
      <c r="GA178" s="1017"/>
      <c r="GB178" s="1017"/>
      <c r="GC178" s="1017"/>
      <c r="GD178" s="1017"/>
      <c r="GE178" s="1017"/>
      <c r="GF178" s="1017"/>
      <c r="GG178" s="1017"/>
      <c r="GH178" s="1017"/>
      <c r="GI178" s="1017"/>
      <c r="GJ178" s="1017"/>
      <c r="GK178" s="1017"/>
      <c r="GL178" s="1017"/>
      <c r="GM178" s="1017"/>
      <c r="GN178" s="1017"/>
      <c r="GO178" s="1017"/>
      <c r="GP178" s="1017"/>
      <c r="GQ178" s="1017"/>
      <c r="GR178" s="1017"/>
      <c r="GS178" s="1017"/>
      <c r="GT178" s="1017"/>
      <c r="GU178" s="1017"/>
      <c r="GV178" s="1017"/>
      <c r="GW178" s="1017"/>
      <c r="GX178" s="1017"/>
      <c r="GY178" s="1017"/>
      <c r="GZ178" s="1017"/>
      <c r="HA178" s="1017"/>
      <c r="HB178" s="1017"/>
      <c r="HC178" s="1017"/>
      <c r="HD178" s="1017"/>
      <c r="HE178" s="1017"/>
      <c r="HF178" s="1017"/>
      <c r="HG178" s="1017"/>
      <c r="HH178" s="1017"/>
      <c r="HI178" s="1017"/>
      <c r="HJ178" s="1017"/>
      <c r="HK178" s="1017"/>
      <c r="HL178" s="1017"/>
      <c r="HM178" s="1017"/>
      <c r="HN178" s="1017"/>
      <c r="HO178" s="1017"/>
      <c r="HP178" s="1017"/>
      <c r="HQ178" s="1017"/>
      <c r="HR178" s="1017"/>
      <c r="HS178" s="1017"/>
      <c r="HT178" s="1017"/>
      <c r="HU178" s="1017"/>
      <c r="HV178" s="1017"/>
      <c r="HW178" s="1017"/>
      <c r="HX178" s="1017"/>
      <c r="HY178" s="1017"/>
      <c r="HZ178" s="1017"/>
      <c r="IA178" s="1017"/>
      <c r="IB178" s="1017"/>
      <c r="IC178" s="1017"/>
      <c r="ID178" s="1017"/>
      <c r="IE178" s="1017"/>
      <c r="IF178" s="1017"/>
      <c r="IG178" s="1017"/>
      <c r="IH178" s="1017"/>
      <c r="II178" s="1017"/>
      <c r="IJ178" s="1017"/>
      <c r="IK178" s="1017"/>
      <c r="IL178" s="1017"/>
      <c r="IM178" s="1017"/>
    </row>
    <row r="179" spans="1:247">
      <c r="A179" s="1127" t="s">
        <v>12</v>
      </c>
      <c r="B179" s="1128"/>
      <c r="C179" s="1129">
        <v>81153.966</v>
      </c>
      <c r="D179" s="1130">
        <v>84599.569358327397</v>
      </c>
      <c r="E179" s="1131">
        <v>89495.333808169264</v>
      </c>
      <c r="F179" s="1131">
        <v>95260.868620557332</v>
      </c>
      <c r="G179" s="1132">
        <v>101007.35417605055</v>
      </c>
      <c r="H179" s="1133">
        <v>84804.380814911434</v>
      </c>
      <c r="I179" s="1133">
        <v>89711.931289802116</v>
      </c>
      <c r="J179" s="1133">
        <v>95491.487434588285</v>
      </c>
      <c r="K179" s="1134">
        <v>101251.89734613503</v>
      </c>
      <c r="L179" s="1135"/>
      <c r="M179" s="1130">
        <f>N179</f>
        <v>85136.236115419102</v>
      </c>
      <c r="N179" s="1129">
        <v>85136.236115419102</v>
      </c>
      <c r="O179" s="1130">
        <v>90136.934949937699</v>
      </c>
      <c r="P179" s="1131">
        <v>96052.148180975797</v>
      </c>
      <c r="Q179" s="1131">
        <v>101941.54279870588</v>
      </c>
      <c r="R179" s="1136">
        <f>E179-O179</f>
        <v>-641.6011417684349</v>
      </c>
      <c r="S179" s="1131">
        <f>F179-P179</f>
        <v>-791.27956041846483</v>
      </c>
      <c r="T179" s="1131">
        <f>G179-Q179</f>
        <v>-934.18862265533244</v>
      </c>
      <c r="U179" s="1129"/>
      <c r="V179" s="1137"/>
      <c r="W179" s="1130">
        <f>O179</f>
        <v>90136.934949937699</v>
      </c>
      <c r="X179" s="1131">
        <f>E179</f>
        <v>89495.333808169264</v>
      </c>
      <c r="Y179" s="1130">
        <f t="shared" si="78"/>
        <v>-641.6011417684349</v>
      </c>
      <c r="Z179" s="1132">
        <f t="shared" si="123"/>
        <v>-0.71691016108581584</v>
      </c>
      <c r="AA179" s="1017"/>
      <c r="AB179" s="1017"/>
      <c r="AC179" s="1017"/>
      <c r="AD179" s="1017"/>
      <c r="AE179" s="1017"/>
      <c r="AF179" s="1017"/>
      <c r="AG179" s="1017"/>
      <c r="AH179" s="1017"/>
      <c r="AI179" s="1017"/>
      <c r="AJ179" s="1017"/>
      <c r="AK179" s="1017"/>
      <c r="AL179" s="1017"/>
      <c r="AM179" s="1017"/>
      <c r="AN179" s="1017"/>
      <c r="AO179" s="1017"/>
      <c r="AP179" s="1017"/>
      <c r="AQ179" s="1017"/>
      <c r="AR179" s="1017"/>
      <c r="AS179" s="1017"/>
      <c r="AT179" s="1017"/>
      <c r="AU179" s="1017"/>
      <c r="AV179" s="1017"/>
      <c r="AW179" s="1017"/>
      <c r="AX179" s="1017"/>
      <c r="AY179" s="1017"/>
      <c r="AZ179" s="1017"/>
      <c r="BA179" s="1017"/>
      <c r="BB179" s="1017"/>
      <c r="BC179" s="1017"/>
      <c r="BD179" s="1017"/>
      <c r="BE179" s="1017"/>
      <c r="BF179" s="1017"/>
      <c r="BG179" s="1017"/>
      <c r="BH179" s="1017"/>
      <c r="BI179" s="1017"/>
      <c r="BJ179" s="1017"/>
      <c r="BK179" s="1017"/>
      <c r="BL179" s="1017"/>
      <c r="BM179" s="1017"/>
      <c r="BN179" s="1017"/>
      <c r="BO179" s="1017"/>
      <c r="BP179" s="1017"/>
      <c r="BQ179" s="1017"/>
      <c r="BR179" s="1017"/>
      <c r="BS179" s="1017"/>
      <c r="BT179" s="1017"/>
      <c r="BU179" s="1017"/>
      <c r="BV179" s="1017"/>
      <c r="BW179" s="1017"/>
      <c r="BX179" s="1017"/>
      <c r="BY179" s="1017"/>
      <c r="BZ179" s="1017"/>
      <c r="CA179" s="1017"/>
      <c r="CB179" s="1017"/>
      <c r="CC179" s="1017"/>
      <c r="CD179" s="1017"/>
      <c r="CE179" s="1017"/>
      <c r="CF179" s="1017"/>
      <c r="CG179" s="1017"/>
      <c r="CH179" s="1017"/>
      <c r="CI179" s="1017"/>
      <c r="CJ179" s="1017"/>
      <c r="CK179" s="1017"/>
      <c r="CL179" s="1017"/>
      <c r="CM179" s="1017"/>
      <c r="CN179" s="1017"/>
      <c r="CO179" s="1017"/>
      <c r="CP179" s="1017"/>
      <c r="CQ179" s="1017"/>
      <c r="CR179" s="1017"/>
      <c r="CS179" s="1017"/>
      <c r="CT179" s="1017"/>
      <c r="CU179" s="1017"/>
      <c r="CV179" s="1017"/>
      <c r="CW179" s="1017"/>
      <c r="CX179" s="1017"/>
      <c r="CY179" s="1017"/>
      <c r="CZ179" s="1017"/>
      <c r="DA179" s="1017"/>
      <c r="DB179" s="1017"/>
      <c r="DC179" s="1017"/>
      <c r="DD179" s="1017"/>
      <c r="DE179" s="1017"/>
      <c r="DF179" s="1017"/>
      <c r="DG179" s="1017"/>
      <c r="DH179" s="1017"/>
      <c r="DI179" s="1017"/>
      <c r="DJ179" s="1017"/>
      <c r="DK179" s="1017"/>
      <c r="DL179" s="1017"/>
      <c r="DM179" s="1017"/>
      <c r="DN179" s="1017"/>
      <c r="DO179" s="1017"/>
      <c r="DP179" s="1017"/>
      <c r="DQ179" s="1017"/>
      <c r="DR179" s="1017"/>
      <c r="DS179" s="1017"/>
      <c r="DT179" s="1017"/>
      <c r="DU179" s="1017"/>
      <c r="DV179" s="1017"/>
      <c r="DW179" s="1017"/>
      <c r="DX179" s="1017"/>
      <c r="DY179" s="1017"/>
      <c r="DZ179" s="1017"/>
      <c r="EA179" s="1017"/>
      <c r="EB179" s="1017"/>
      <c r="EC179" s="1017"/>
      <c r="ED179" s="1017"/>
      <c r="EE179" s="1017"/>
      <c r="EF179" s="1017"/>
      <c r="EG179" s="1017"/>
      <c r="EH179" s="1017"/>
      <c r="EI179" s="1017"/>
      <c r="EJ179" s="1017"/>
      <c r="EK179" s="1017"/>
      <c r="EL179" s="1017"/>
      <c r="EM179" s="1017"/>
      <c r="EN179" s="1017"/>
      <c r="EO179" s="1017"/>
      <c r="EP179" s="1017"/>
      <c r="EQ179" s="1017"/>
      <c r="ER179" s="1017"/>
      <c r="ES179" s="1017"/>
      <c r="ET179" s="1017"/>
      <c r="EU179" s="1017"/>
      <c r="EV179" s="1017"/>
      <c r="EW179" s="1017"/>
      <c r="EX179" s="1017"/>
      <c r="EY179" s="1017"/>
      <c r="EZ179" s="1017"/>
      <c r="FA179" s="1017"/>
      <c r="FB179" s="1017"/>
      <c r="FC179" s="1017"/>
      <c r="FD179" s="1017"/>
      <c r="FE179" s="1017"/>
      <c r="FF179" s="1017"/>
      <c r="FG179" s="1017"/>
      <c r="FH179" s="1017"/>
      <c r="FI179" s="1017"/>
      <c r="FJ179" s="1017"/>
      <c r="FK179" s="1017"/>
      <c r="FL179" s="1017"/>
      <c r="FM179" s="1017"/>
      <c r="FN179" s="1017"/>
      <c r="FO179" s="1017"/>
      <c r="FP179" s="1017"/>
      <c r="FQ179" s="1017"/>
      <c r="FR179" s="1017"/>
      <c r="FS179" s="1017"/>
      <c r="FT179" s="1017"/>
      <c r="FU179" s="1017"/>
      <c r="FV179" s="1017"/>
      <c r="FW179" s="1017"/>
      <c r="FX179" s="1017"/>
      <c r="FY179" s="1017"/>
      <c r="FZ179" s="1017"/>
      <c r="GA179" s="1017"/>
      <c r="GB179" s="1017"/>
      <c r="GC179" s="1017"/>
      <c r="GD179" s="1017"/>
      <c r="GE179" s="1017"/>
      <c r="GF179" s="1017"/>
      <c r="GG179" s="1017"/>
      <c r="GH179" s="1017"/>
      <c r="GI179" s="1017"/>
      <c r="GJ179" s="1017"/>
      <c r="GK179" s="1017"/>
      <c r="GL179" s="1017"/>
      <c r="GM179" s="1017"/>
      <c r="GN179" s="1017"/>
      <c r="GO179" s="1017"/>
      <c r="GP179" s="1017"/>
      <c r="GQ179" s="1017"/>
      <c r="GR179" s="1017"/>
      <c r="GS179" s="1017"/>
      <c r="GT179" s="1017"/>
      <c r="GU179" s="1017"/>
      <c r="GV179" s="1017"/>
      <c r="GW179" s="1017"/>
      <c r="GX179" s="1017"/>
      <c r="GY179" s="1017"/>
      <c r="GZ179" s="1017"/>
      <c r="HA179" s="1017"/>
      <c r="HB179" s="1017"/>
      <c r="HC179" s="1017"/>
      <c r="HD179" s="1017"/>
      <c r="HE179" s="1017"/>
      <c r="HF179" s="1017"/>
      <c r="HG179" s="1017"/>
      <c r="HH179" s="1017"/>
      <c r="HI179" s="1017"/>
      <c r="HJ179" s="1017"/>
      <c r="HK179" s="1017"/>
      <c r="HL179" s="1017"/>
      <c r="HM179" s="1017"/>
      <c r="HN179" s="1017"/>
      <c r="HO179" s="1017"/>
      <c r="HP179" s="1017"/>
      <c r="HQ179" s="1017"/>
      <c r="HR179" s="1017"/>
      <c r="HS179" s="1017"/>
      <c r="HT179" s="1017"/>
      <c r="HU179" s="1017"/>
      <c r="HV179" s="1017"/>
      <c r="HW179" s="1017"/>
      <c r="HX179" s="1017"/>
      <c r="HY179" s="1017"/>
      <c r="HZ179" s="1017"/>
      <c r="IA179" s="1017"/>
      <c r="IB179" s="1017"/>
      <c r="IC179" s="1017"/>
      <c r="ID179" s="1017"/>
      <c r="IE179" s="1017"/>
      <c r="IF179" s="1017"/>
      <c r="IG179" s="1017"/>
      <c r="IH179" s="1017"/>
      <c r="II179" s="1017"/>
      <c r="IJ179" s="1017"/>
      <c r="IK179" s="1017"/>
      <c r="IL179" s="1017"/>
      <c r="IM179" s="1017"/>
    </row>
    <row r="180" spans="1:247">
      <c r="C180" s="1138"/>
      <c r="D180" s="1138"/>
      <c r="E180" s="1138"/>
      <c r="F180" s="1138"/>
      <c r="G180" s="1138"/>
      <c r="H180" s="1138"/>
      <c r="I180" s="1138"/>
      <c r="J180" s="1138"/>
      <c r="K180" s="1138"/>
      <c r="L180" s="1138"/>
      <c r="M180" s="1138"/>
      <c r="N180" s="955"/>
      <c r="O180" s="955"/>
      <c r="P180" s="955"/>
      <c r="Q180" s="955"/>
      <c r="R180" s="955"/>
      <c r="S180" s="1138"/>
      <c r="W180" s="955"/>
      <c r="X180" s="955"/>
      <c r="Y180" s="955"/>
    </row>
    <row r="181" spans="1:247">
      <c r="C181" s="955"/>
      <c r="D181" s="955"/>
      <c r="E181" s="955"/>
      <c r="F181" s="955"/>
      <c r="G181" s="955"/>
      <c r="H181" s="955"/>
      <c r="I181" s="955"/>
      <c r="J181" s="955"/>
      <c r="K181" s="955"/>
      <c r="L181" s="1138"/>
      <c r="M181" s="956"/>
      <c r="N181" s="955"/>
      <c r="O181" s="955"/>
      <c r="P181" s="955"/>
      <c r="Q181" s="955"/>
      <c r="S181" s="1138"/>
      <c r="X181" s="955"/>
    </row>
    <row r="182" spans="1:247">
      <c r="A182" s="1580"/>
      <c r="B182" s="1580"/>
      <c r="C182" s="1014"/>
      <c r="D182" s="1581" t="s">
        <v>908</v>
      </c>
      <c r="E182" s="1581"/>
      <c r="F182" s="1581"/>
      <c r="G182" s="1581"/>
      <c r="H182" s="1581" t="s">
        <v>687</v>
      </c>
      <c r="I182" s="1581"/>
      <c r="J182" s="1581"/>
      <c r="K182" s="1581"/>
      <c r="M182" s="1581" t="s">
        <v>10</v>
      </c>
      <c r="N182" s="1581"/>
      <c r="O182" s="1581"/>
      <c r="P182" s="1581"/>
      <c r="Q182" s="1582"/>
      <c r="R182" s="1580" t="s">
        <v>910</v>
      </c>
      <c r="S182" s="1580"/>
      <c r="T182" s="1580"/>
      <c r="U182" s="1015"/>
      <c r="X182" s="955"/>
    </row>
    <row r="183" spans="1:247" ht="12.75" customHeight="1">
      <c r="A183" s="1018" t="s">
        <v>912</v>
      </c>
      <c r="B183" s="1585" t="s">
        <v>913</v>
      </c>
      <c r="C183" s="1595" t="str">
        <f t="shared" ref="C183:K183" si="133">C2</f>
        <v>2016 S</v>
      </c>
      <c r="D183" s="1587" t="str">
        <f t="shared" si="133"/>
        <v>2017 OS</v>
      </c>
      <c r="E183" s="1589" t="str">
        <f t="shared" si="133"/>
        <v>2018 N</v>
      </c>
      <c r="F183" s="1589" t="str">
        <f t="shared" si="133"/>
        <v>2019 N</v>
      </c>
      <c r="G183" s="1589" t="str">
        <f t="shared" si="133"/>
        <v>2020 N</v>
      </c>
      <c r="H183" s="1589" t="str">
        <f t="shared" si="133"/>
        <v>2017 O</v>
      </c>
      <c r="I183" s="1589" t="str">
        <f t="shared" si="133"/>
        <v>2018 O</v>
      </c>
      <c r="J183" s="1589" t="str">
        <f t="shared" si="133"/>
        <v>2019 O</v>
      </c>
      <c r="K183" s="1589" t="str">
        <f t="shared" si="133"/>
        <v>2020 O</v>
      </c>
      <c r="M183" s="1019" t="str">
        <f t="shared" ref="M183:U183" si="134">M2</f>
        <v>2017 úpravy</v>
      </c>
      <c r="N183" s="1594" t="str">
        <f t="shared" si="134"/>
        <v>2017 OS báza</v>
      </c>
      <c r="O183" s="1587" t="str">
        <f t="shared" si="134"/>
        <v>2018 NPC</v>
      </c>
      <c r="P183" s="1589" t="str">
        <f t="shared" si="134"/>
        <v>2019 NPC</v>
      </c>
      <c r="Q183" s="1591" t="str">
        <f t="shared" si="134"/>
        <v>2020 NPC</v>
      </c>
      <c r="R183" s="1587">
        <f t="shared" si="134"/>
        <v>2018</v>
      </c>
      <c r="S183" s="1589">
        <f t="shared" si="134"/>
        <v>2019</v>
      </c>
      <c r="T183" s="1591">
        <f t="shared" si="134"/>
        <v>2020</v>
      </c>
      <c r="U183" s="1599" t="str">
        <f t="shared" si="134"/>
        <v>2018 NPC - 2017 OS bez OO</v>
      </c>
      <c r="X183" s="955"/>
    </row>
    <row r="184" spans="1:247">
      <c r="A184" s="1018"/>
      <c r="B184" s="1585"/>
      <c r="C184" s="1595"/>
      <c r="D184" s="1596"/>
      <c r="E184" s="1585"/>
      <c r="F184" s="1585"/>
      <c r="G184" s="1585"/>
      <c r="H184" s="1585"/>
      <c r="I184" s="1585"/>
      <c r="J184" s="1585"/>
      <c r="K184" s="1585"/>
      <c r="M184" s="1021" t="s">
        <v>921</v>
      </c>
      <c r="N184" s="1594"/>
      <c r="O184" s="1596"/>
      <c r="P184" s="1585"/>
      <c r="Q184" s="1586"/>
      <c r="R184" s="1588"/>
      <c r="S184" s="1590"/>
      <c r="T184" s="1592"/>
      <c r="U184" s="1600"/>
      <c r="X184" s="955"/>
    </row>
    <row r="185" spans="1:247" s="625" customFormat="1">
      <c r="A185" s="625" t="s">
        <v>1014</v>
      </c>
      <c r="C185" s="1139">
        <f>SUM(C186:C190)-C191</f>
        <v>15734.232</v>
      </c>
      <c r="D185" s="1140">
        <f t="shared" ref="D185:M185" si="135">SUM(D186:D190)-D191</f>
        <v>16929.78</v>
      </c>
      <c r="E185" s="1140">
        <f t="shared" si="135"/>
        <v>17237.25921</v>
      </c>
      <c r="F185" s="1140">
        <f t="shared" si="135"/>
        <v>18222.886326300002</v>
      </c>
      <c r="G185" s="1139">
        <f t="shared" si="135"/>
        <v>19148.994586089004</v>
      </c>
      <c r="H185" s="1139">
        <f t="shared" si="135"/>
        <v>16564.337779028891</v>
      </c>
      <c r="I185" s="1139">
        <f t="shared" si="135"/>
        <v>17086.473637500789</v>
      </c>
      <c r="J185" s="1139">
        <f t="shared" si="135"/>
        <v>17856.472927404324</v>
      </c>
      <c r="K185" s="1139">
        <f t="shared" si="135"/>
        <v>18816.235477021666</v>
      </c>
      <c r="L185" s="1141"/>
      <c r="M185" s="1140">
        <f t="shared" si="135"/>
        <v>-14</v>
      </c>
      <c r="N185" s="1142">
        <f t="shared" ref="N185" si="136">SUM(N186:N190)-N191</f>
        <v>16550.337779028891</v>
      </c>
      <c r="O185" s="1140">
        <f t="shared" ref="O185:U185" si="137">SUM(O186:O190)-O191</f>
        <v>17245.632596904929</v>
      </c>
      <c r="P185" s="1140">
        <f t="shared" si="137"/>
        <v>18017.60395157168</v>
      </c>
      <c r="Q185" s="1139">
        <f t="shared" si="137"/>
        <v>18891.153032730996</v>
      </c>
      <c r="R185" s="1140">
        <f t="shared" si="137"/>
        <v>-8.3733869049282958</v>
      </c>
      <c r="S185" s="1140">
        <f t="shared" si="137"/>
        <v>205.28237472832055</v>
      </c>
      <c r="T185" s="1143">
        <f t="shared" si="137"/>
        <v>257.84155335800597</v>
      </c>
      <c r="U185" s="1143">
        <f t="shared" si="137"/>
        <v>695.29481787603891</v>
      </c>
      <c r="V185" s="1144"/>
      <c r="X185" s="1140"/>
    </row>
    <row r="186" spans="1:247">
      <c r="A186" s="947" t="s">
        <v>1015</v>
      </c>
      <c r="C186" s="1145">
        <f t="shared" ref="C186:K186" si="138">C70</f>
        <v>7400.143</v>
      </c>
      <c r="D186" s="955">
        <f t="shared" si="138"/>
        <v>7597.9260000000004</v>
      </c>
      <c r="E186" s="955">
        <f t="shared" si="138"/>
        <v>8105.2280000000001</v>
      </c>
      <c r="F186" s="955">
        <f t="shared" si="138"/>
        <v>8765.3860000000004</v>
      </c>
      <c r="G186" s="1145">
        <f t="shared" si="138"/>
        <v>9061.4719999999998</v>
      </c>
      <c r="H186" s="1145">
        <f t="shared" si="138"/>
        <v>7633.9627303325824</v>
      </c>
      <c r="I186" s="1145">
        <f t="shared" si="138"/>
        <v>8065.4844062409793</v>
      </c>
      <c r="J186" s="1145">
        <f t="shared" si="138"/>
        <v>8513.195518375047</v>
      </c>
      <c r="K186" s="1145">
        <f t="shared" si="138"/>
        <v>9026.6675715060883</v>
      </c>
      <c r="L186" s="1146"/>
      <c r="M186" s="955">
        <f>M70</f>
        <v>-14</v>
      </c>
      <c r="N186" s="1146">
        <f>N70</f>
        <v>7619.9627303325824</v>
      </c>
      <c r="O186" s="955">
        <f>O70</f>
        <v>7980.9501067193714</v>
      </c>
      <c r="P186" s="955">
        <f>P70</f>
        <v>8377.4845084276021</v>
      </c>
      <c r="Q186" s="1145">
        <f>Q70</f>
        <v>8828.1226690759286</v>
      </c>
      <c r="R186" s="1045">
        <f t="shared" ref="R186:T191" si="139">E186-O186</f>
        <v>124.27789328062863</v>
      </c>
      <c r="S186" s="1046">
        <f t="shared" si="139"/>
        <v>387.9014915723983</v>
      </c>
      <c r="T186" s="1046">
        <f t="shared" si="139"/>
        <v>233.34933092407118</v>
      </c>
      <c r="U186" s="1050">
        <f t="shared" ref="U186:U191" si="140">O186-N186</f>
        <v>360.98737638678904</v>
      </c>
      <c r="X186" s="955"/>
    </row>
    <row r="187" spans="1:247">
      <c r="A187" s="947" t="s">
        <v>389</v>
      </c>
      <c r="C187" s="1145">
        <f t="shared" ref="C187:K187" si="141">C81</f>
        <v>4459.0209999999997</v>
      </c>
      <c r="D187" s="955">
        <f t="shared" si="141"/>
        <v>5034.107</v>
      </c>
      <c r="E187" s="955">
        <f t="shared" si="141"/>
        <v>4887.9690000000001</v>
      </c>
      <c r="F187" s="955">
        <f t="shared" si="141"/>
        <v>4919.6350000000002</v>
      </c>
      <c r="G187" s="1145">
        <f t="shared" si="141"/>
        <v>5203.3280000000004</v>
      </c>
      <c r="H187" s="1145">
        <f t="shared" si="141"/>
        <v>4817.5402195796933</v>
      </c>
      <c r="I187" s="1145">
        <f t="shared" si="141"/>
        <v>4894.315604176636</v>
      </c>
      <c r="J187" s="1145">
        <f t="shared" si="141"/>
        <v>4999.6524090221956</v>
      </c>
      <c r="K187" s="1145">
        <f t="shared" si="141"/>
        <v>5221.4795987743637</v>
      </c>
      <c r="L187" s="1146"/>
      <c r="M187" s="955">
        <f>M81</f>
        <v>0</v>
      </c>
      <c r="N187" s="1146">
        <f>N81</f>
        <v>4817.5402195796933</v>
      </c>
      <c r="O187" s="955">
        <f>O81</f>
        <v>4932.5558600160812</v>
      </c>
      <c r="P187" s="955">
        <f>P81</f>
        <v>5045.5760515186139</v>
      </c>
      <c r="Q187" s="1145">
        <f>Q81</f>
        <v>5198.765324936312</v>
      </c>
      <c r="R187" s="1045">
        <f t="shared" si="139"/>
        <v>-44.586860016081118</v>
      </c>
      <c r="S187" s="1046">
        <f t="shared" si="139"/>
        <v>-125.94105151861368</v>
      </c>
      <c r="T187" s="1046">
        <f t="shared" si="139"/>
        <v>4.5626750636884026</v>
      </c>
      <c r="U187" s="1050">
        <f t="shared" si="140"/>
        <v>115.01564043638791</v>
      </c>
      <c r="X187" s="955"/>
    </row>
    <row r="188" spans="1:247">
      <c r="A188" s="947" t="s">
        <v>1016</v>
      </c>
      <c r="C188" s="1145">
        <v>55.4</v>
      </c>
      <c r="D188" s="955">
        <f>44.141</f>
        <v>44.140999999999998</v>
      </c>
      <c r="E188" s="955">
        <v>49.786000000000001</v>
      </c>
      <c r="F188" s="955">
        <v>50.771000000000001</v>
      </c>
      <c r="G188" s="1145">
        <v>49.805999999999997</v>
      </c>
      <c r="H188" s="1145">
        <f>N188</f>
        <v>56.12312083035193</v>
      </c>
      <c r="I188" s="1145">
        <f>O188</f>
        <v>57.240389618283089</v>
      </c>
      <c r="J188" s="1145">
        <f t="shared" ref="J188:K188" si="142">P188</f>
        <v>58.245248340971344</v>
      </c>
      <c r="K188" s="1145">
        <f t="shared" si="142"/>
        <v>59.449973320336078</v>
      </c>
      <c r="L188" s="1146"/>
      <c r="M188" s="955">
        <v>0</v>
      </c>
      <c r="N188" s="1146">
        <v>56.12312083035193</v>
      </c>
      <c r="O188" s="955">
        <v>57.240389618283089</v>
      </c>
      <c r="P188" s="955">
        <v>58.245248340971344</v>
      </c>
      <c r="Q188" s="1145">
        <v>59.449973320336078</v>
      </c>
      <c r="R188" s="1045">
        <f t="shared" si="139"/>
        <v>-7.4543896182830878</v>
      </c>
      <c r="S188" s="1046">
        <f t="shared" si="139"/>
        <v>-7.4742483409713429</v>
      </c>
      <c r="T188" s="1046">
        <f t="shared" si="139"/>
        <v>-9.6439733203360802</v>
      </c>
      <c r="U188" s="1050">
        <f t="shared" si="140"/>
        <v>1.1172687879311596</v>
      </c>
      <c r="X188" s="955"/>
    </row>
    <row r="189" spans="1:247">
      <c r="A189" s="947" t="s">
        <v>1017</v>
      </c>
      <c r="C189" s="1145">
        <f t="shared" ref="C189:K189" si="143">C107</f>
        <v>4238.4309999999996</v>
      </c>
      <c r="D189" s="955">
        <f t="shared" si="143"/>
        <v>4375.9259999999995</v>
      </c>
      <c r="E189" s="955">
        <f t="shared" si="143"/>
        <v>4466.88</v>
      </c>
      <c r="F189" s="955">
        <f t="shared" si="143"/>
        <v>4762.9939999999997</v>
      </c>
      <c r="G189" s="1145">
        <f t="shared" si="143"/>
        <v>5061.7550000000001</v>
      </c>
      <c r="H189" s="1145">
        <f t="shared" si="143"/>
        <v>4365.6117346700003</v>
      </c>
      <c r="I189" s="1145">
        <f t="shared" si="143"/>
        <v>4498.1132724501322</v>
      </c>
      <c r="J189" s="1145">
        <f t="shared" si="143"/>
        <v>4707.7642554270005</v>
      </c>
      <c r="K189" s="1145">
        <f t="shared" si="143"/>
        <v>4894.1390085930207</v>
      </c>
      <c r="L189" s="1146"/>
      <c r="M189" s="955">
        <f>M107</f>
        <v>0</v>
      </c>
      <c r="N189" s="1146">
        <f>N107</f>
        <v>4365.6117346700003</v>
      </c>
      <c r="O189" s="955">
        <f>O107</f>
        <v>4627.2963620296787</v>
      </c>
      <c r="P189" s="955">
        <f>P107</f>
        <v>4934.5929789240763</v>
      </c>
      <c r="Q189" s="1145">
        <f>Q107</f>
        <v>5264.5962740115147</v>
      </c>
      <c r="R189" s="1045">
        <f t="shared" si="139"/>
        <v>-160.41636202967857</v>
      </c>
      <c r="S189" s="1046">
        <f t="shared" si="139"/>
        <v>-171.59897892407662</v>
      </c>
      <c r="T189" s="1046">
        <f t="shared" si="139"/>
        <v>-202.84127401151454</v>
      </c>
      <c r="U189" s="1050">
        <f t="shared" si="140"/>
        <v>261.68462735967842</v>
      </c>
      <c r="X189" s="955"/>
    </row>
    <row r="190" spans="1:247">
      <c r="A190" s="947" t="s">
        <v>1018</v>
      </c>
      <c r="C190" s="1145">
        <v>3136.9</v>
      </c>
      <c r="D190" s="955">
        <f>N190</f>
        <v>3231.0070000000001</v>
      </c>
      <c r="E190" s="955">
        <f t="shared" ref="E190:G190" si="144">O190</f>
        <v>3327.9372100000001</v>
      </c>
      <c r="F190" s="955">
        <f t="shared" si="144"/>
        <v>3427.7753263</v>
      </c>
      <c r="G190" s="1145">
        <f t="shared" si="144"/>
        <v>3530.6085860890003</v>
      </c>
      <c r="H190" s="1145">
        <f>D190</f>
        <v>3231.0070000000001</v>
      </c>
      <c r="I190" s="1145">
        <f>E190</f>
        <v>3327.9372100000001</v>
      </c>
      <c r="J190" s="1145">
        <f>F190</f>
        <v>3427.7753263</v>
      </c>
      <c r="K190" s="1145">
        <f>G190</f>
        <v>3530.6085860890003</v>
      </c>
      <c r="L190" s="1146"/>
      <c r="M190" s="955">
        <v>0</v>
      </c>
      <c r="N190" s="1146">
        <f>C190*1.03</f>
        <v>3231.0070000000001</v>
      </c>
      <c r="O190" s="955">
        <f>N190*1.03</f>
        <v>3327.9372100000001</v>
      </c>
      <c r="P190" s="955">
        <f t="shared" ref="P190:Q190" si="145">O190*1.03</f>
        <v>3427.7753263</v>
      </c>
      <c r="Q190" s="1145">
        <f t="shared" si="145"/>
        <v>3530.6085860890003</v>
      </c>
      <c r="R190" s="1045">
        <f t="shared" si="139"/>
        <v>0</v>
      </c>
      <c r="S190" s="1046">
        <f t="shared" si="139"/>
        <v>0</v>
      </c>
      <c r="T190" s="1046">
        <f t="shared" si="139"/>
        <v>0</v>
      </c>
      <c r="U190" s="1050">
        <f t="shared" si="140"/>
        <v>96.930209999999988</v>
      </c>
      <c r="X190" s="955"/>
    </row>
    <row r="191" spans="1:247">
      <c r="A191" s="947" t="s">
        <v>1019</v>
      </c>
      <c r="C191" s="1145">
        <f t="shared" ref="C191:K191" si="146">C47</f>
        <v>3555.663</v>
      </c>
      <c r="D191" s="955">
        <f t="shared" si="146"/>
        <v>3353.3270000000002</v>
      </c>
      <c r="E191" s="955">
        <f t="shared" si="146"/>
        <v>3600.5410000000002</v>
      </c>
      <c r="F191" s="955">
        <f t="shared" si="146"/>
        <v>3703.6749999999997</v>
      </c>
      <c r="G191" s="1145">
        <f t="shared" si="146"/>
        <v>3757.9749999999999</v>
      </c>
      <c r="H191" s="1145">
        <f t="shared" si="146"/>
        <v>3539.9070263837384</v>
      </c>
      <c r="I191" s="1145">
        <f t="shared" si="146"/>
        <v>3756.6172449852406</v>
      </c>
      <c r="J191" s="1145">
        <f t="shared" si="146"/>
        <v>3850.1598300608894</v>
      </c>
      <c r="K191" s="1145">
        <f t="shared" si="146"/>
        <v>3916.1092612611433</v>
      </c>
      <c r="L191" s="1146"/>
      <c r="M191" s="955">
        <f>M47</f>
        <v>0</v>
      </c>
      <c r="N191" s="1146">
        <f>N47</f>
        <v>3539.9070263837384</v>
      </c>
      <c r="O191" s="955">
        <f>O47</f>
        <v>3680.347331478486</v>
      </c>
      <c r="P191" s="955">
        <f>P47</f>
        <v>3826.0701619395836</v>
      </c>
      <c r="Q191" s="1145">
        <f>Q47</f>
        <v>3990.3897947020969</v>
      </c>
      <c r="R191" s="1045">
        <f t="shared" si="139"/>
        <v>-79.806331478485845</v>
      </c>
      <c r="S191" s="1046">
        <f t="shared" si="139"/>
        <v>-122.39516193958389</v>
      </c>
      <c r="T191" s="1046">
        <f t="shared" si="139"/>
        <v>-232.41479470209697</v>
      </c>
      <c r="U191" s="1050">
        <f t="shared" si="140"/>
        <v>140.4403050947476</v>
      </c>
      <c r="X191" s="955"/>
    </row>
    <row r="192" spans="1:247">
      <c r="A192" s="1147" t="s">
        <v>992</v>
      </c>
      <c r="B192" s="1147"/>
      <c r="C192" s="1148">
        <f t="shared" ref="C192:K192" si="147">C131</f>
        <v>2599.5709999999999</v>
      </c>
      <c r="D192" s="1149">
        <f t="shared" si="147"/>
        <v>2810.6469999999999</v>
      </c>
      <c r="E192" s="1149">
        <f t="shared" si="147"/>
        <v>2163.277</v>
      </c>
      <c r="F192" s="1149">
        <f t="shared" si="147"/>
        <v>2565.9659999999999</v>
      </c>
      <c r="G192" s="1148">
        <f t="shared" si="147"/>
        <v>2662.5529999999999</v>
      </c>
      <c r="H192" s="1150">
        <f t="shared" si="147"/>
        <v>2740.7991890315247</v>
      </c>
      <c r="I192" s="1148">
        <f t="shared" si="147"/>
        <v>3107.2657199599589</v>
      </c>
      <c r="J192" s="1148">
        <f t="shared" si="147"/>
        <v>3178.8442305942744</v>
      </c>
      <c r="K192" s="1148">
        <f t="shared" si="147"/>
        <v>3390.4651370665056</v>
      </c>
      <c r="L192" s="1142"/>
      <c r="M192" s="1151">
        <f t="shared" ref="M192:U192" si="148">M131</f>
        <v>0</v>
      </c>
      <c r="N192" s="1150">
        <f t="shared" si="148"/>
        <v>2740.7991890315247</v>
      </c>
      <c r="O192" s="1149">
        <f t="shared" si="148"/>
        <v>3170.4322091339222</v>
      </c>
      <c r="P192" s="1149">
        <f t="shared" si="148"/>
        <v>3361.560779332015</v>
      </c>
      <c r="Q192" s="1148">
        <f t="shared" si="148"/>
        <v>3574.9929467722886</v>
      </c>
      <c r="R192" s="1149">
        <f t="shared" si="148"/>
        <v>-63.166489173963882</v>
      </c>
      <c r="S192" s="1149">
        <f t="shared" si="148"/>
        <v>-182.71654873774096</v>
      </c>
      <c r="T192" s="1148">
        <f t="shared" si="148"/>
        <v>-184.52780970578303</v>
      </c>
      <c r="U192" s="1148">
        <f t="shared" si="148"/>
        <v>429.6330201023975</v>
      </c>
      <c r="X192" s="955"/>
    </row>
    <row r="193" spans="1:28">
      <c r="A193" s="867"/>
      <c r="B193" s="867"/>
      <c r="C193" s="1152"/>
      <c r="D193" s="1152"/>
      <c r="E193" s="1152"/>
      <c r="F193" s="1152"/>
      <c r="G193" s="1152"/>
      <c r="H193" s="1152"/>
      <c r="I193" s="1152"/>
      <c r="J193" s="1152"/>
      <c r="K193" s="1152"/>
      <c r="L193" s="1152"/>
      <c r="M193" s="1152"/>
      <c r="N193" s="1152"/>
      <c r="O193" s="1152"/>
      <c r="P193" s="1152"/>
      <c r="Q193" s="1152"/>
      <c r="R193" s="1152"/>
      <c r="S193" s="1152"/>
      <c r="T193" s="1152"/>
      <c r="U193" s="1152"/>
      <c r="X193" s="955"/>
    </row>
    <row r="194" spans="1:28">
      <c r="C194" s="955"/>
      <c r="D194" s="955"/>
      <c r="E194" s="955"/>
      <c r="F194" s="955"/>
      <c r="G194" s="955"/>
      <c r="H194" s="955"/>
      <c r="I194" s="955"/>
      <c r="J194" s="955"/>
      <c r="K194" s="955"/>
      <c r="L194" s="955"/>
      <c r="M194" s="955"/>
      <c r="N194" s="955"/>
      <c r="O194" s="955"/>
      <c r="P194" s="955"/>
      <c r="Q194" s="955"/>
      <c r="S194" s="1138"/>
      <c r="X194" s="955"/>
    </row>
    <row r="195" spans="1:28" ht="12.75" customHeight="1">
      <c r="A195" s="1018" t="s">
        <v>912</v>
      </c>
      <c r="B195" s="1585" t="s">
        <v>913</v>
      </c>
      <c r="C195" s="1606" t="str">
        <f t="shared" ref="C195:K195" si="149">C2</f>
        <v>2016 S</v>
      </c>
      <c r="D195" s="1603" t="str">
        <f t="shared" si="149"/>
        <v>2017 OS</v>
      </c>
      <c r="E195" s="1585" t="str">
        <f t="shared" si="149"/>
        <v>2018 N</v>
      </c>
      <c r="F195" s="1585" t="str">
        <f t="shared" si="149"/>
        <v>2019 N</v>
      </c>
      <c r="G195" s="1585" t="str">
        <f t="shared" si="149"/>
        <v>2020 N</v>
      </c>
      <c r="H195" s="1603" t="str">
        <f t="shared" si="149"/>
        <v>2017 O</v>
      </c>
      <c r="I195" s="1585" t="str">
        <f t="shared" si="149"/>
        <v>2018 O</v>
      </c>
      <c r="J195" s="1585" t="str">
        <f t="shared" si="149"/>
        <v>2019 O</v>
      </c>
      <c r="K195" s="1585" t="str">
        <f t="shared" si="149"/>
        <v>2020 O</v>
      </c>
      <c r="M195" s="1021" t="str">
        <f>M183</f>
        <v>2017 úpravy</v>
      </c>
      <c r="N195" s="1594" t="str">
        <f>N2</f>
        <v>2017 OS báza</v>
      </c>
      <c r="O195" s="1596" t="str">
        <f>O2</f>
        <v>2018 NPC</v>
      </c>
      <c r="P195" s="1585" t="str">
        <f>P2</f>
        <v>2019 NPC</v>
      </c>
      <c r="Q195" s="1586" t="str">
        <f>Q2</f>
        <v>2020 NPC</v>
      </c>
      <c r="S195" s="1138"/>
      <c r="X195" s="955"/>
    </row>
    <row r="196" spans="1:28" ht="15" customHeight="1">
      <c r="A196" s="1018"/>
      <c r="B196" s="1585"/>
      <c r="C196" s="1607"/>
      <c r="D196" s="1604"/>
      <c r="E196" s="1601"/>
      <c r="F196" s="1601"/>
      <c r="G196" s="1601"/>
      <c r="H196" s="1604"/>
      <c r="I196" s="1601"/>
      <c r="J196" s="1601"/>
      <c r="K196" s="1601"/>
      <c r="M196" s="1021" t="s">
        <v>921</v>
      </c>
      <c r="N196" s="1594"/>
      <c r="O196" s="1605"/>
      <c r="P196" s="1601"/>
      <c r="Q196" s="1602"/>
      <c r="R196" s="955"/>
    </row>
    <row r="197" spans="1:28">
      <c r="A197" s="1153" t="s">
        <v>1020</v>
      </c>
      <c r="B197" s="1154"/>
      <c r="C197" s="1146">
        <v>1753.2840981700001</v>
      </c>
      <c r="D197" s="1155">
        <v>1618.771</v>
      </c>
      <c r="E197" s="1156">
        <v>1378.4190000000001</v>
      </c>
      <c r="F197" s="1156">
        <v>3096.154</v>
      </c>
      <c r="G197" s="1157">
        <v>3065.3879999999999</v>
      </c>
      <c r="H197" s="1158">
        <v>1567.2215465985701</v>
      </c>
      <c r="I197" s="1158">
        <v>2112.7504706141399</v>
      </c>
      <c r="J197" s="1158">
        <v>2336.8956229123501</v>
      </c>
      <c r="K197" s="1157">
        <v>2406.1587614999598</v>
      </c>
      <c r="M197" s="1159"/>
      <c r="N197" s="1160">
        <f>H197</f>
        <v>1567.2215465985701</v>
      </c>
      <c r="O197" s="1155">
        <f t="shared" ref="O197:Q212" si="150">I197</f>
        <v>2112.7504706141399</v>
      </c>
      <c r="P197" s="1156">
        <f t="shared" si="150"/>
        <v>2336.8956229123501</v>
      </c>
      <c r="Q197" s="1157">
        <f t="shared" si="150"/>
        <v>2406.1587614999598</v>
      </c>
      <c r="R197" s="1161"/>
      <c r="S197" s="1161"/>
      <c r="T197" s="1161"/>
      <c r="U197" s="1017"/>
      <c r="W197" s="956"/>
      <c r="X197" s="956"/>
      <c r="Y197" s="956"/>
      <c r="Z197" s="956"/>
      <c r="AA197" s="956"/>
    </row>
    <row r="198" spans="1:28">
      <c r="A198" s="1162" t="s">
        <v>1021</v>
      </c>
      <c r="B198" s="1163"/>
      <c r="C198" s="1164">
        <f>C157+C132+C82+C71+C111</f>
        <v>796.34491658999968</v>
      </c>
      <c r="D198" s="1165">
        <f>D157+D132+D82+D71+D111</f>
        <v>810.125</v>
      </c>
      <c r="E198" s="1166">
        <f>E157+E132+E82+E71+E111</f>
        <v>346.04299800000001</v>
      </c>
      <c r="F198" s="1166">
        <f>F157+F132+F82+F71+F111</f>
        <v>1331.395297</v>
      </c>
      <c r="G198" s="1167">
        <f>G157+G132+G82+G71+G111</f>
        <v>1226.511074</v>
      </c>
      <c r="H198" s="1166">
        <f>P157+P132+P82+P71+P111</f>
        <v>1008.8553481285811</v>
      </c>
      <c r="I198" s="1166">
        <f>Q157+Q132+Q82+Q71+Q111</f>
        <v>1038.6280439280224</v>
      </c>
      <c r="J198" s="1166">
        <f>R157+R132+R82+R71+R111</f>
        <v>0</v>
      </c>
      <c r="K198" s="1167">
        <f>S157+S132+S82+S71+S111</f>
        <v>0</v>
      </c>
      <c r="M198" s="1168"/>
      <c r="N198" s="1146">
        <f t="shared" ref="N198:Q223" si="151">H198</f>
        <v>1008.8553481285811</v>
      </c>
      <c r="O198" s="1169">
        <f t="shared" si="150"/>
        <v>1038.6280439280224</v>
      </c>
      <c r="P198" s="1158">
        <f t="shared" si="150"/>
        <v>0</v>
      </c>
      <c r="Q198" s="1145">
        <f t="shared" si="150"/>
        <v>0</v>
      </c>
      <c r="R198" s="963"/>
      <c r="S198" s="963"/>
      <c r="T198" s="963"/>
      <c r="U198" s="1016"/>
    </row>
    <row r="199" spans="1:28">
      <c r="A199" s="1170" t="s">
        <v>1022</v>
      </c>
      <c r="B199" s="1171"/>
      <c r="C199" s="1172">
        <f t="shared" ref="C199:K199" si="152">C158+C149+C133+C127+C112+C83+C72</f>
        <v>272.75879075</v>
      </c>
      <c r="D199" s="1173">
        <f t="shared" si="152"/>
        <v>266.20600000000007</v>
      </c>
      <c r="E199" s="1174">
        <f t="shared" si="152"/>
        <v>220.61775999999998</v>
      </c>
      <c r="F199" s="1174">
        <f t="shared" si="152"/>
        <v>475.29944799999998</v>
      </c>
      <c r="G199" s="1175">
        <f t="shared" si="152"/>
        <v>507.47691952000002</v>
      </c>
      <c r="H199" s="1173">
        <f t="shared" si="152"/>
        <v>267.10094037497709</v>
      </c>
      <c r="I199" s="1174">
        <f t="shared" si="152"/>
        <v>354.00855793133968</v>
      </c>
      <c r="J199" s="1174">
        <f t="shared" si="152"/>
        <v>377.45502558202247</v>
      </c>
      <c r="K199" s="1175">
        <f t="shared" si="152"/>
        <v>375.85296984276198</v>
      </c>
      <c r="M199" s="1176"/>
      <c r="N199" s="1172">
        <f t="shared" si="151"/>
        <v>267.10094037497709</v>
      </c>
      <c r="O199" s="1173">
        <f t="shared" si="150"/>
        <v>354.00855793133968</v>
      </c>
      <c r="P199" s="1174">
        <f t="shared" si="150"/>
        <v>377.45502558202247</v>
      </c>
      <c r="Q199" s="1175">
        <f t="shared" si="150"/>
        <v>375.85296984276198</v>
      </c>
      <c r="R199" s="1138"/>
      <c r="S199" s="1138"/>
      <c r="T199" s="1138"/>
      <c r="U199" s="1166"/>
    </row>
    <row r="200" spans="1:28" hidden="1">
      <c r="A200" s="1162"/>
      <c r="B200" s="1163"/>
      <c r="C200" s="1177"/>
      <c r="D200" s="1168"/>
      <c r="E200" s="1178"/>
      <c r="F200" s="1178"/>
      <c r="G200" s="1179"/>
      <c r="H200" s="1180"/>
      <c r="I200" s="1180"/>
      <c r="J200" s="1180"/>
      <c r="K200" s="1179"/>
      <c r="M200" s="1181"/>
      <c r="N200" s="1177">
        <f t="shared" si="151"/>
        <v>0</v>
      </c>
      <c r="O200" s="1181">
        <f t="shared" si="150"/>
        <v>0</v>
      </c>
      <c r="P200" s="1182">
        <f t="shared" si="150"/>
        <v>0</v>
      </c>
      <c r="Q200" s="1183">
        <f t="shared" si="150"/>
        <v>0</v>
      </c>
      <c r="R200" s="1138"/>
      <c r="S200" s="1138"/>
      <c r="T200" s="1138"/>
      <c r="U200" s="1016"/>
    </row>
    <row r="201" spans="1:28" hidden="1">
      <c r="A201" s="1162" t="s">
        <v>1023</v>
      </c>
      <c r="B201" s="1163"/>
      <c r="C201" s="1177"/>
      <c r="D201" s="1168"/>
      <c r="E201" s="1178"/>
      <c r="F201" s="1178"/>
      <c r="G201" s="1179"/>
      <c r="H201" s="1180"/>
      <c r="I201" s="1180"/>
      <c r="J201" s="1180"/>
      <c r="K201" s="1179"/>
      <c r="M201" s="1181"/>
      <c r="N201" s="1177">
        <f t="shared" si="151"/>
        <v>0</v>
      </c>
      <c r="O201" s="1181">
        <f t="shared" si="150"/>
        <v>0</v>
      </c>
      <c r="P201" s="1182">
        <f t="shared" si="150"/>
        <v>0</v>
      </c>
      <c r="Q201" s="1183">
        <f t="shared" si="150"/>
        <v>0</v>
      </c>
      <c r="R201" s="1138">
        <v>-1918</v>
      </c>
      <c r="S201" s="1138">
        <v>-1159.9000000000001</v>
      </c>
      <c r="T201" s="1138">
        <v>-333.9</v>
      </c>
      <c r="U201" s="1016"/>
    </row>
    <row r="202" spans="1:28" hidden="1">
      <c r="A202" s="1184" t="s">
        <v>1024</v>
      </c>
      <c r="B202" s="1185"/>
      <c r="C202" s="1186"/>
      <c r="D202" s="1187"/>
      <c r="E202" s="1188"/>
      <c r="F202" s="1188"/>
      <c r="G202" s="1189"/>
      <c r="H202" s="1190"/>
      <c r="I202" s="1190"/>
      <c r="J202" s="1190"/>
      <c r="K202" s="1189"/>
      <c r="L202" s="957"/>
      <c r="M202" s="1191"/>
      <c r="N202" s="1186">
        <f t="shared" si="151"/>
        <v>0</v>
      </c>
      <c r="O202" s="1191">
        <f t="shared" si="150"/>
        <v>0</v>
      </c>
      <c r="P202" s="1192">
        <f t="shared" si="150"/>
        <v>0</v>
      </c>
      <c r="Q202" s="1193">
        <f t="shared" si="150"/>
        <v>0</v>
      </c>
      <c r="R202" s="1194">
        <f>R201-R176</f>
        <v>-1885.8633375262016</v>
      </c>
      <c r="S202" s="1194">
        <f>S201-S176</f>
        <v>-1038.9517916563088</v>
      </c>
      <c r="T202" s="1194">
        <f>T201-T176</f>
        <v>3.6540745043998299</v>
      </c>
      <c r="U202" s="1016"/>
      <c r="AA202" s="1138"/>
      <c r="AB202" s="1138"/>
    </row>
    <row r="203" spans="1:28">
      <c r="A203" s="1162"/>
      <c r="B203" s="1163"/>
      <c r="C203" s="1195"/>
      <c r="D203" s="1168"/>
      <c r="E203" s="1163"/>
      <c r="F203" s="1178"/>
      <c r="G203" s="1196"/>
      <c r="H203" s="1163"/>
      <c r="I203" s="1163"/>
      <c r="J203" s="1163"/>
      <c r="K203" s="1196"/>
      <c r="M203" s="1181"/>
      <c r="N203" s="1197"/>
      <c r="O203" s="1169"/>
      <c r="P203" s="1158"/>
      <c r="Q203" s="1145"/>
      <c r="R203" s="1198"/>
      <c r="U203" s="1016"/>
    </row>
    <row r="204" spans="1:28">
      <c r="A204" s="1170"/>
      <c r="B204" s="1171"/>
      <c r="C204" s="1199"/>
      <c r="D204" s="1200"/>
      <c r="E204" s="1171"/>
      <c r="F204" s="1201"/>
      <c r="G204" s="1202"/>
      <c r="H204" s="1170"/>
      <c r="I204" s="1171"/>
      <c r="J204" s="1171"/>
      <c r="K204" s="1202"/>
      <c r="M204" s="1176"/>
      <c r="N204" s="1203"/>
      <c r="O204" s="1173"/>
      <c r="P204" s="1174"/>
      <c r="Q204" s="1175"/>
      <c r="R204" s="1198"/>
    </row>
    <row r="205" spans="1:28">
      <c r="A205" s="1204" t="s">
        <v>1025</v>
      </c>
      <c r="B205" s="1205"/>
      <c r="C205" s="1206">
        <f>C59</f>
        <v>796.34500000000003</v>
      </c>
      <c r="D205" s="1207">
        <f>D59</f>
        <v>810.125</v>
      </c>
      <c r="E205" s="1208">
        <f>E59</f>
        <v>346.04300000000001</v>
      </c>
      <c r="F205" s="1208">
        <f>F59</f>
        <v>1331.395</v>
      </c>
      <c r="G205" s="1209">
        <f>G59</f>
        <v>1226.511</v>
      </c>
      <c r="H205" s="1210">
        <f>H206</f>
        <v>676.56226482792943</v>
      </c>
      <c r="I205" s="1210">
        <f>H205*I197/H197</f>
        <v>912.0645683549335</v>
      </c>
      <c r="J205" s="1210">
        <f>I205*J197/I197</f>
        <v>1008.8269898633724</v>
      </c>
      <c r="K205" s="1211">
        <f>J205*K197/J197</f>
        <v>1038.7275651927691</v>
      </c>
      <c r="M205" s="1212"/>
      <c r="N205" s="1206">
        <f t="shared" si="151"/>
        <v>676.56226482792943</v>
      </c>
      <c r="O205" s="1210">
        <f t="shared" si="150"/>
        <v>912.0645683549335</v>
      </c>
      <c r="P205" s="1210">
        <f t="shared" si="150"/>
        <v>1008.8269898633724</v>
      </c>
      <c r="Q205" s="1211">
        <f t="shared" si="150"/>
        <v>1038.7275651927691</v>
      </c>
    </row>
    <row r="206" spans="1:28" s="957" customFormat="1">
      <c r="A206" s="1184" t="s">
        <v>1026</v>
      </c>
      <c r="B206" s="1213"/>
      <c r="C206" s="1214">
        <f>SUM(C207:C210)</f>
        <v>796.34491658999968</v>
      </c>
      <c r="D206" s="1215">
        <f t="shared" ref="D206:K206" si="153">SUM(D207:D210)</f>
        <v>810.12500000000011</v>
      </c>
      <c r="E206" s="1210">
        <f t="shared" si="153"/>
        <v>346.04299800000001</v>
      </c>
      <c r="F206" s="1210">
        <f t="shared" si="153"/>
        <v>1331.395297</v>
      </c>
      <c r="G206" s="1211">
        <f t="shared" si="153"/>
        <v>1226.511074</v>
      </c>
      <c r="H206" s="1210">
        <f t="shared" si="153"/>
        <v>676.56226482792943</v>
      </c>
      <c r="I206" s="1210">
        <f>SUM(I207:I210)</f>
        <v>912.34704319121704</v>
      </c>
      <c r="J206" s="1210">
        <f t="shared" si="153"/>
        <v>1008.855348128581</v>
      </c>
      <c r="K206" s="1211">
        <f t="shared" si="153"/>
        <v>1038.6280439280226</v>
      </c>
      <c r="M206" s="1186"/>
      <c r="N206" s="1214">
        <f t="shared" si="151"/>
        <v>676.56226482792943</v>
      </c>
      <c r="O206" s="1210">
        <f t="shared" si="150"/>
        <v>912.34704319121704</v>
      </c>
      <c r="P206" s="1210">
        <f t="shared" si="150"/>
        <v>1008.855348128581</v>
      </c>
      <c r="Q206" s="1211">
        <f t="shared" si="150"/>
        <v>1038.6280439280226</v>
      </c>
      <c r="V206" s="1216"/>
    </row>
    <row r="207" spans="1:28">
      <c r="A207" s="1162" t="s">
        <v>1015</v>
      </c>
      <c r="B207" s="1196"/>
      <c r="C207" s="1146">
        <f>C71</f>
        <v>91.380801781642703</v>
      </c>
      <c r="D207" s="1169">
        <f>D71</f>
        <v>100.881</v>
      </c>
      <c r="E207" s="1158">
        <f>E71</f>
        <v>114.90937</v>
      </c>
      <c r="F207" s="1158">
        <f>F71</f>
        <v>299.07574</v>
      </c>
      <c r="G207" s="1145">
        <f>G71</f>
        <v>230.84885800000001</v>
      </c>
      <c r="H207" s="1158">
        <v>72.335784551420915</v>
      </c>
      <c r="I207" s="1158">
        <v>75.695922015801315</v>
      </c>
      <c r="J207" s="1158">
        <v>79.351212755802194</v>
      </c>
      <c r="K207" s="1145">
        <v>83.545130960641941</v>
      </c>
      <c r="M207" s="1177"/>
      <c r="N207" s="1146">
        <f t="shared" si="151"/>
        <v>72.335784551420915</v>
      </c>
      <c r="O207" s="1158">
        <f t="shared" si="150"/>
        <v>75.695922015801315</v>
      </c>
      <c r="P207" s="1158">
        <f t="shared" si="150"/>
        <v>79.351212755802194</v>
      </c>
      <c r="Q207" s="1145">
        <f t="shared" si="150"/>
        <v>83.545130960641941</v>
      </c>
    </row>
    <row r="208" spans="1:28">
      <c r="A208" s="1162" t="s">
        <v>389</v>
      </c>
      <c r="B208" s="1196"/>
      <c r="C208" s="1146">
        <f>C82</f>
        <v>195.057231468357</v>
      </c>
      <c r="D208" s="1169">
        <f>D82</f>
        <v>220.61799999999999</v>
      </c>
      <c r="E208" s="1158">
        <f>E82</f>
        <v>62.193382999999997</v>
      </c>
      <c r="F208" s="1158">
        <f>F82</f>
        <v>192.991409</v>
      </c>
      <c r="G208" s="1145">
        <f>G82</f>
        <v>174.09025600000001</v>
      </c>
      <c r="H208" s="1158">
        <v>37.530673517372868</v>
      </c>
      <c r="I208" s="1158">
        <v>38.27781390248699</v>
      </c>
      <c r="J208" s="1158">
        <v>38.949783388401642</v>
      </c>
      <c r="K208" s="1145">
        <v>39.755407509259676</v>
      </c>
      <c r="M208" s="1177"/>
      <c r="N208" s="1146">
        <f t="shared" si="151"/>
        <v>37.530673517372868</v>
      </c>
      <c r="O208" s="1158">
        <f t="shared" si="150"/>
        <v>38.27781390248699</v>
      </c>
      <c r="P208" s="1158">
        <f t="shared" si="150"/>
        <v>38.949783388401642</v>
      </c>
      <c r="Q208" s="1145">
        <f t="shared" si="150"/>
        <v>39.755407509259676</v>
      </c>
    </row>
    <row r="209" spans="1:22">
      <c r="A209" s="1162" t="s">
        <v>432</v>
      </c>
      <c r="B209" s="1196"/>
      <c r="C209" s="1146">
        <f>C157+C111</f>
        <v>1.3884433</v>
      </c>
      <c r="D209" s="1169">
        <f>D157+D111</f>
        <v>5.5979999999999874</v>
      </c>
      <c r="E209" s="1158">
        <f>E157+E111</f>
        <v>118.343543</v>
      </c>
      <c r="F209" s="1158">
        <f>F157+F111</f>
        <v>376.73223100000001</v>
      </c>
      <c r="G209" s="1145">
        <f>G157+G111</f>
        <v>402.66019</v>
      </c>
      <c r="H209" s="1158">
        <v>99.772119772753257</v>
      </c>
      <c r="I209" s="1158">
        <v>101.75832926500127</v>
      </c>
      <c r="J209" s="1158">
        <v>103.54470328254394</v>
      </c>
      <c r="K209" s="1145">
        <v>105.68638683748627</v>
      </c>
      <c r="M209" s="1177"/>
      <c r="N209" s="1146">
        <f t="shared" si="151"/>
        <v>99.772119772753257</v>
      </c>
      <c r="O209" s="1158">
        <f t="shared" si="150"/>
        <v>101.75832926500127</v>
      </c>
      <c r="P209" s="1158">
        <f t="shared" si="150"/>
        <v>103.54470328254394</v>
      </c>
      <c r="Q209" s="1145">
        <f t="shared" si="150"/>
        <v>105.68638683748627</v>
      </c>
    </row>
    <row r="210" spans="1:22">
      <c r="A210" s="1162" t="s">
        <v>1027</v>
      </c>
      <c r="B210" s="1196"/>
      <c r="C210" s="1146">
        <f>C132</f>
        <v>508.51844003999997</v>
      </c>
      <c r="D210" s="1169">
        <f>D132</f>
        <v>483.02800000000008</v>
      </c>
      <c r="E210" s="1158">
        <f>E132</f>
        <v>50.596702000000001</v>
      </c>
      <c r="F210" s="1158">
        <f>F132</f>
        <v>462.59591699999999</v>
      </c>
      <c r="G210" s="1145">
        <f>G132</f>
        <v>418.91176999999999</v>
      </c>
      <c r="H210" s="1158">
        <v>466.92368698638239</v>
      </c>
      <c r="I210" s="1158">
        <v>696.61497800792745</v>
      </c>
      <c r="J210" s="1158">
        <v>787.00964870183327</v>
      </c>
      <c r="K210" s="1145">
        <v>809.64111862063464</v>
      </c>
      <c r="M210" s="1177"/>
      <c r="N210" s="1146">
        <f t="shared" si="151"/>
        <v>466.92368698638239</v>
      </c>
      <c r="O210" s="1158">
        <f t="shared" si="150"/>
        <v>696.61497800792745</v>
      </c>
      <c r="P210" s="1158">
        <f t="shared" si="150"/>
        <v>787.00964870183327</v>
      </c>
      <c r="Q210" s="1145">
        <f t="shared" si="150"/>
        <v>809.64111862063464</v>
      </c>
    </row>
    <row r="211" spans="1:22">
      <c r="A211" s="1162"/>
      <c r="B211" s="1196"/>
      <c r="C211" s="1177"/>
      <c r="D211" s="1162"/>
      <c r="E211" s="1163"/>
      <c r="F211" s="1163"/>
      <c r="G211" s="1196"/>
      <c r="H211" s="1163"/>
      <c r="I211" s="1163"/>
      <c r="J211" s="1163"/>
      <c r="K211" s="1196"/>
      <c r="M211" s="1177"/>
      <c r="N211" s="1177">
        <f t="shared" si="151"/>
        <v>0</v>
      </c>
      <c r="O211" s="1163">
        <f t="shared" si="150"/>
        <v>0</v>
      </c>
      <c r="P211" s="1163">
        <f t="shared" si="150"/>
        <v>0</v>
      </c>
      <c r="Q211" s="1196">
        <f t="shared" si="150"/>
        <v>0</v>
      </c>
    </row>
    <row r="212" spans="1:22" s="957" customFormat="1">
      <c r="A212" s="1184" t="s">
        <v>1028</v>
      </c>
      <c r="B212" s="1213"/>
      <c r="C212" s="1214">
        <f>C197-C198</f>
        <v>956.93918158000042</v>
      </c>
      <c r="D212" s="1215">
        <f>D197-D198</f>
        <v>808.64599999999996</v>
      </c>
      <c r="E212" s="1210">
        <f>E197-E198</f>
        <v>1032.376002</v>
      </c>
      <c r="F212" s="1210">
        <f>F197-F198</f>
        <v>1764.758703</v>
      </c>
      <c r="G212" s="1211">
        <f>G197-G198</f>
        <v>1838.8769259999999</v>
      </c>
      <c r="H212" s="1210">
        <f>H197-H206</f>
        <v>890.65928177064063</v>
      </c>
      <c r="I212" s="1210">
        <f>I197-I206</f>
        <v>1200.403427422923</v>
      </c>
      <c r="J212" s="1210">
        <f t="shared" ref="J212:K212" si="154">J197-J206</f>
        <v>1328.0402747837691</v>
      </c>
      <c r="K212" s="1211">
        <f t="shared" si="154"/>
        <v>1367.5307175719372</v>
      </c>
      <c r="M212" s="1186"/>
      <c r="N212" s="1214">
        <f t="shared" si="151"/>
        <v>890.65928177064063</v>
      </c>
      <c r="O212" s="1210">
        <f t="shared" si="150"/>
        <v>1200.403427422923</v>
      </c>
      <c r="P212" s="1210">
        <f t="shared" si="150"/>
        <v>1328.0402747837691</v>
      </c>
      <c r="Q212" s="1211">
        <f t="shared" si="150"/>
        <v>1367.5307175719372</v>
      </c>
      <c r="V212" s="1216"/>
    </row>
    <row r="213" spans="1:22">
      <c r="A213" s="1162" t="s">
        <v>1029</v>
      </c>
      <c r="B213" s="1196"/>
      <c r="C213" s="1197">
        <f>C212-C214</f>
        <v>638.76418158000047</v>
      </c>
      <c r="D213" s="1169">
        <f t="shared" ref="D213:F213" si="155">D212-D214</f>
        <v>332.10399999999998</v>
      </c>
      <c r="E213" s="1158">
        <f>E212-E214</f>
        <v>456.81300199999998</v>
      </c>
      <c r="F213" s="1158">
        <f t="shared" si="155"/>
        <v>891.77570300000002</v>
      </c>
      <c r="G213" s="1145">
        <f>G212-G214</f>
        <v>792.35292600000002</v>
      </c>
      <c r="H213" s="1158">
        <f>438.187526658195+115</f>
        <v>553.187526658195</v>
      </c>
      <c r="I213" s="1158">
        <f>471.55073572135+122</f>
        <v>593.55073572135007</v>
      </c>
      <c r="J213" s="1158">
        <f>507.454189887967+124</f>
        <v>631.454189887967</v>
      </c>
      <c r="K213" s="1145">
        <f>546.091301163872+125</f>
        <v>671.091301163872</v>
      </c>
      <c r="M213" s="1177"/>
      <c r="N213" s="1146">
        <f t="shared" si="151"/>
        <v>553.187526658195</v>
      </c>
      <c r="O213" s="1158">
        <f t="shared" si="151"/>
        <v>593.55073572135007</v>
      </c>
      <c r="P213" s="1158">
        <f t="shared" si="151"/>
        <v>631.454189887967</v>
      </c>
      <c r="Q213" s="1145">
        <f t="shared" si="151"/>
        <v>671.091301163872</v>
      </c>
    </row>
    <row r="214" spans="1:22">
      <c r="A214" s="1162" t="s">
        <v>1030</v>
      </c>
      <c r="B214" s="1196"/>
      <c r="C214" s="1197">
        <v>318.17500000000001</v>
      </c>
      <c r="D214" s="1169">
        <v>476.54199999999997</v>
      </c>
      <c r="E214" s="1158">
        <v>575.56299999999999</v>
      </c>
      <c r="F214" s="1158">
        <v>872.98299999999995</v>
      </c>
      <c r="G214" s="1145">
        <v>1046.5239999999999</v>
      </c>
      <c r="H214" s="1158">
        <f>H212-H213</f>
        <v>337.47175511244563</v>
      </c>
      <c r="I214" s="1158">
        <f>I212-I213</f>
        <v>606.85269170157289</v>
      </c>
      <c r="J214" s="1158">
        <f t="shared" ref="J214:K214" si="156">J212-J213</f>
        <v>696.58608489580206</v>
      </c>
      <c r="K214" s="1145">
        <f t="shared" si="156"/>
        <v>696.4394164080652</v>
      </c>
      <c r="M214" s="1177"/>
      <c r="N214" s="1146">
        <f t="shared" si="151"/>
        <v>337.47175511244563</v>
      </c>
      <c r="O214" s="1158">
        <f t="shared" si="151"/>
        <v>606.85269170157289</v>
      </c>
      <c r="P214" s="1158">
        <f t="shared" si="151"/>
        <v>696.58608489580206</v>
      </c>
      <c r="Q214" s="1145">
        <f t="shared" si="151"/>
        <v>696.4394164080652</v>
      </c>
    </row>
    <row r="215" spans="1:22">
      <c r="A215" s="1162"/>
      <c r="B215" s="1196"/>
      <c r="C215" s="1177"/>
      <c r="D215" s="1162"/>
      <c r="E215" s="1163"/>
      <c r="F215" s="1163"/>
      <c r="G215" s="1196"/>
      <c r="H215" s="1163"/>
      <c r="I215" s="1163"/>
      <c r="J215" s="1163"/>
      <c r="K215" s="1196"/>
      <c r="M215" s="1177"/>
      <c r="N215" s="1177">
        <f t="shared" si="151"/>
        <v>0</v>
      </c>
      <c r="O215" s="1163">
        <f t="shared" si="151"/>
        <v>0</v>
      </c>
      <c r="P215" s="1163">
        <f t="shared" si="151"/>
        <v>0</v>
      </c>
      <c r="Q215" s="1196">
        <f t="shared" si="151"/>
        <v>0</v>
      </c>
    </row>
    <row r="216" spans="1:22" s="957" customFormat="1">
      <c r="A216" s="1184" t="s">
        <v>1031</v>
      </c>
      <c r="B216" s="1213"/>
      <c r="C216" s="1214">
        <f>SUM(C217:C223)</f>
        <v>272.75879075</v>
      </c>
      <c r="D216" s="1215">
        <f t="shared" ref="D216:H216" si="157">SUM(D217:D223)</f>
        <v>266.20600000000007</v>
      </c>
      <c r="E216" s="1210">
        <f t="shared" si="157"/>
        <v>220.61776</v>
      </c>
      <c r="F216" s="1210">
        <f t="shared" si="157"/>
        <v>475.29944799999998</v>
      </c>
      <c r="G216" s="1211">
        <f t="shared" si="157"/>
        <v>507.47691952000002</v>
      </c>
      <c r="H216" s="1210">
        <f t="shared" si="157"/>
        <v>267.10094037497709</v>
      </c>
      <c r="I216" s="1210">
        <v>353.943926453112</v>
      </c>
      <c r="J216" s="1210">
        <v>377.44853420805998</v>
      </c>
      <c r="K216" s="1211">
        <v>375.87573550589502</v>
      </c>
      <c r="M216" s="1186"/>
      <c r="N216" s="1214">
        <f t="shared" si="151"/>
        <v>267.10094037497709</v>
      </c>
      <c r="O216" s="1210">
        <f t="shared" si="151"/>
        <v>353.943926453112</v>
      </c>
      <c r="P216" s="1210">
        <f t="shared" si="151"/>
        <v>377.44853420805998</v>
      </c>
      <c r="Q216" s="1211">
        <f t="shared" si="151"/>
        <v>375.87573550589502</v>
      </c>
      <c r="V216" s="1216"/>
    </row>
    <row r="217" spans="1:22">
      <c r="A217" s="1162" t="s">
        <v>1015</v>
      </c>
      <c r="B217" s="1196"/>
      <c r="C217" s="1146">
        <f>C72</f>
        <v>10.768297759999999</v>
      </c>
      <c r="D217" s="1169">
        <f>D72</f>
        <v>21.689</v>
      </c>
      <c r="E217" s="1158">
        <f>E72</f>
        <v>7.0896350000000004</v>
      </c>
      <c r="F217" s="1158">
        <f>F72</f>
        <v>19.94697768</v>
      </c>
      <c r="G217" s="1145">
        <f>G72</f>
        <v>17.31485</v>
      </c>
      <c r="H217" s="1158">
        <v>16.548915428558058</v>
      </c>
      <c r="I217" s="1158">
        <v>16.548915428558058</v>
      </c>
      <c r="J217" s="1158">
        <v>16.548915428558058</v>
      </c>
      <c r="K217" s="1145">
        <v>16.548915428558058</v>
      </c>
      <c r="M217" s="1177"/>
      <c r="N217" s="1146">
        <f t="shared" si="151"/>
        <v>16.548915428558058</v>
      </c>
      <c r="O217" s="1158">
        <f t="shared" si="151"/>
        <v>16.548915428558058</v>
      </c>
      <c r="P217" s="1158">
        <f t="shared" si="151"/>
        <v>16.548915428558058</v>
      </c>
      <c r="Q217" s="1145">
        <f t="shared" si="151"/>
        <v>16.548915428558058</v>
      </c>
    </row>
    <row r="218" spans="1:22">
      <c r="A218" s="1162" t="s">
        <v>389</v>
      </c>
      <c r="B218" s="1196"/>
      <c r="C218" s="1146">
        <f>C83</f>
        <v>24.94344628</v>
      </c>
      <c r="D218" s="1169">
        <f>D83</f>
        <v>66.144999999999996</v>
      </c>
      <c r="E218" s="1158">
        <f>E83</f>
        <v>28.030595000000002</v>
      </c>
      <c r="F218" s="1158">
        <f>F83</f>
        <v>66.896447319999993</v>
      </c>
      <c r="G218" s="1145">
        <f>G83</f>
        <v>69.678577520000005</v>
      </c>
      <c r="H218" s="1158">
        <v>8.5765250383304963</v>
      </c>
      <c r="I218" s="1158">
        <v>8.5765250383304963</v>
      </c>
      <c r="J218" s="1158">
        <v>8.5765250383304963</v>
      </c>
      <c r="K218" s="1145">
        <v>8.5765250383304963</v>
      </c>
      <c r="M218" s="1177"/>
      <c r="N218" s="1146">
        <f t="shared" si="151"/>
        <v>8.5765250383304963</v>
      </c>
      <c r="O218" s="1158">
        <f t="shared" si="151"/>
        <v>8.5765250383304963</v>
      </c>
      <c r="P218" s="1158">
        <f t="shared" si="151"/>
        <v>8.5765250383304963</v>
      </c>
      <c r="Q218" s="1145">
        <f t="shared" si="151"/>
        <v>8.5765250383304963</v>
      </c>
    </row>
    <row r="219" spans="1:22">
      <c r="A219" s="1162" t="s">
        <v>1032</v>
      </c>
      <c r="B219" s="1196"/>
      <c r="C219" s="1146">
        <f>C112</f>
        <v>18.709498849999999</v>
      </c>
      <c r="D219" s="1169">
        <f>D112</f>
        <v>19.073</v>
      </c>
      <c r="E219" s="1158">
        <f>E112</f>
        <v>20.678612999999999</v>
      </c>
      <c r="F219" s="1158">
        <f>F112</f>
        <v>27.715437999999999</v>
      </c>
      <c r="G219" s="1145">
        <f>G112</f>
        <v>27.107026000000001</v>
      </c>
      <c r="H219" s="1158">
        <v>24.927756022032707</v>
      </c>
      <c r="I219" s="1158">
        <f>H219*I213/H213</f>
        <v>26.74660438593358</v>
      </c>
      <c r="J219" s="1158">
        <f t="shared" ref="J219:K219" si="158">I219*J213/I213</f>
        <v>28.454611187109219</v>
      </c>
      <c r="K219" s="1145">
        <f t="shared" si="158"/>
        <v>30.240740106668952</v>
      </c>
      <c r="M219" s="1177"/>
      <c r="N219" s="1146">
        <f t="shared" si="151"/>
        <v>24.927756022032707</v>
      </c>
      <c r="O219" s="1158">
        <f t="shared" si="151"/>
        <v>26.74660438593358</v>
      </c>
      <c r="P219" s="1158">
        <f t="shared" si="151"/>
        <v>28.454611187109219</v>
      </c>
      <c r="Q219" s="1145">
        <f t="shared" si="151"/>
        <v>30.240740106668952</v>
      </c>
    </row>
    <row r="220" spans="1:22">
      <c r="A220" s="1162" t="s">
        <v>390</v>
      </c>
      <c r="B220" s="1196"/>
      <c r="C220" s="1146">
        <f>C127</f>
        <v>47.539108229999997</v>
      </c>
      <c r="D220" s="1169">
        <f>D127</f>
        <v>39.789000000000001</v>
      </c>
      <c r="E220" s="1158">
        <f>E127</f>
        <v>111.802581</v>
      </c>
      <c r="F220" s="1158">
        <f>F127</f>
        <v>120.369</v>
      </c>
      <c r="G220" s="1145">
        <f>G127</f>
        <v>130.06012200000001</v>
      </c>
      <c r="H220" s="1158">
        <v>73.695706365448146</v>
      </c>
      <c r="I220" s="1158">
        <f>H220*I213/H213</f>
        <v>79.072897751260825</v>
      </c>
      <c r="J220" s="1158">
        <f t="shared" ref="J220:K220" si="159">I220*J213/I213</f>
        <v>84.12240030489518</v>
      </c>
      <c r="K220" s="1145">
        <f t="shared" si="159"/>
        <v>89.402860859401827</v>
      </c>
      <c r="M220" s="1177"/>
      <c r="N220" s="1146">
        <f t="shared" si="151"/>
        <v>73.695706365448146</v>
      </c>
      <c r="O220" s="1158">
        <f t="shared" si="151"/>
        <v>79.072897751260825</v>
      </c>
      <c r="P220" s="1158">
        <f t="shared" si="151"/>
        <v>84.12240030489518</v>
      </c>
      <c r="Q220" s="1145">
        <f t="shared" si="151"/>
        <v>89.402860859401827</v>
      </c>
    </row>
    <row r="221" spans="1:22">
      <c r="A221" s="1162" t="s">
        <v>1027</v>
      </c>
      <c r="B221" s="1196"/>
      <c r="C221" s="1146">
        <f>C133</f>
        <v>87.430437140000009</v>
      </c>
      <c r="D221" s="1169">
        <f>D133</f>
        <v>85.030000000000015</v>
      </c>
      <c r="E221" s="1158">
        <f>E133</f>
        <v>6.4117420000000003</v>
      </c>
      <c r="F221" s="1158">
        <f>F133</f>
        <v>70.819389000000001</v>
      </c>
      <c r="G221" s="1145">
        <f>G133</f>
        <v>72.955151999999998</v>
      </c>
      <c r="H221" s="1158">
        <v>78.182951173618747</v>
      </c>
      <c r="I221" s="1158">
        <f>H221*I210/H210</f>
        <v>116.6430753683175</v>
      </c>
      <c r="J221" s="1158">
        <f t="shared" ref="J221:K221" si="160">I221*J210/I210</f>
        <v>131.77900083577637</v>
      </c>
      <c r="K221" s="1145">
        <f t="shared" si="160"/>
        <v>135.56847469834457</v>
      </c>
      <c r="M221" s="1177"/>
      <c r="N221" s="1146">
        <f t="shared" si="151"/>
        <v>78.182951173618747</v>
      </c>
      <c r="O221" s="1158">
        <f t="shared" si="151"/>
        <v>116.6430753683175</v>
      </c>
      <c r="P221" s="1158">
        <f t="shared" si="151"/>
        <v>131.77900083577637</v>
      </c>
      <c r="Q221" s="1145">
        <f t="shared" si="151"/>
        <v>135.56847469834457</v>
      </c>
    </row>
    <row r="222" spans="1:22">
      <c r="A222" s="1162" t="s">
        <v>1033</v>
      </c>
      <c r="B222" s="1196"/>
      <c r="C222" s="1146">
        <f>C149</f>
        <v>59.658099219999997</v>
      </c>
      <c r="D222" s="1169">
        <f>D149</f>
        <v>31.082999999999998</v>
      </c>
      <c r="E222" s="1158">
        <f>E149</f>
        <v>18.736000000000001</v>
      </c>
      <c r="F222" s="1158">
        <f>F149</f>
        <v>76.853746000000001</v>
      </c>
      <c r="G222" s="1145">
        <f>G149</f>
        <v>93.699459000000004</v>
      </c>
      <c r="H222" s="1158">
        <v>42.330703495805658</v>
      </c>
      <c r="I222" s="1158">
        <v>82.188036869834264</v>
      </c>
      <c r="J222" s="1158">
        <v>82.342346076627223</v>
      </c>
      <c r="K222" s="1145">
        <v>68.250401569257463</v>
      </c>
      <c r="M222" s="1177"/>
      <c r="N222" s="1146">
        <f t="shared" si="151"/>
        <v>42.330703495805658</v>
      </c>
      <c r="O222" s="1158">
        <f t="shared" si="151"/>
        <v>82.188036869834264</v>
      </c>
      <c r="P222" s="1158">
        <f t="shared" si="151"/>
        <v>82.342346076627223</v>
      </c>
      <c r="Q222" s="1145">
        <f t="shared" si="151"/>
        <v>68.250401569257463</v>
      </c>
    </row>
    <row r="223" spans="1:22">
      <c r="A223" s="1170" t="s">
        <v>1034</v>
      </c>
      <c r="B223" s="1202"/>
      <c r="C223" s="1172">
        <f>C158</f>
        <v>23.709903270000002</v>
      </c>
      <c r="D223" s="1173">
        <f>D158</f>
        <v>3.3970000000000056</v>
      </c>
      <c r="E223" s="1174">
        <f>E158</f>
        <v>27.868594000000002</v>
      </c>
      <c r="F223" s="1174">
        <f>F158</f>
        <v>92.698449999999994</v>
      </c>
      <c r="G223" s="1175">
        <f>G158</f>
        <v>96.661732999999998</v>
      </c>
      <c r="H223" s="1173">
        <v>22.838382851183294</v>
      </c>
      <c r="I223" s="1174">
        <v>22.838382851183294</v>
      </c>
      <c r="J223" s="1174">
        <v>22.838382851183294</v>
      </c>
      <c r="K223" s="1175">
        <v>22.838382851183294</v>
      </c>
      <c r="M223" s="1217"/>
      <c r="N223" s="1172">
        <f t="shared" si="151"/>
        <v>22.838382851183294</v>
      </c>
      <c r="O223" s="1174">
        <f t="shared" si="151"/>
        <v>22.838382851183294</v>
      </c>
      <c r="P223" s="1174">
        <f t="shared" si="151"/>
        <v>22.838382851183294</v>
      </c>
      <c r="Q223" s="1175">
        <f t="shared" si="151"/>
        <v>22.838382851183294</v>
      </c>
    </row>
    <row r="224" spans="1:22">
      <c r="N224" s="963"/>
      <c r="O224" s="963"/>
      <c r="P224" s="963"/>
      <c r="Q224" s="963"/>
      <c r="R224" s="963"/>
    </row>
    <row r="225" spans="1:26" ht="15" customHeight="1">
      <c r="A225" s="1580"/>
      <c r="B225" s="1580"/>
      <c r="C225" s="1014"/>
      <c r="D225" s="1581" t="s">
        <v>908</v>
      </c>
      <c r="E225" s="1581"/>
      <c r="F225" s="1581"/>
      <c r="G225" s="1582"/>
      <c r="H225" s="1581" t="s">
        <v>687</v>
      </c>
      <c r="I225" s="1581"/>
      <c r="J225" s="1581"/>
      <c r="K225" s="1581"/>
      <c r="M225" s="1581" t="s">
        <v>10</v>
      </c>
      <c r="N225" s="1581"/>
      <c r="O225" s="1581"/>
      <c r="P225" s="1581"/>
      <c r="Q225" s="1582"/>
      <c r="R225" s="1580" t="s">
        <v>910</v>
      </c>
      <c r="S225" s="1580"/>
      <c r="T225" s="1580"/>
      <c r="U225" s="1015"/>
      <c r="W225" s="1581" t="s">
        <v>911</v>
      </c>
      <c r="X225" s="1581"/>
      <c r="Y225" s="1581"/>
      <c r="Z225" s="1581"/>
    </row>
    <row r="226" spans="1:26" ht="12.75" customHeight="1">
      <c r="A226" s="1018" t="s">
        <v>713</v>
      </c>
      <c r="B226" s="1585" t="s">
        <v>913</v>
      </c>
      <c r="C226" s="1595" t="str">
        <f t="shared" ref="C226:K226" si="161">C2</f>
        <v>2016 S</v>
      </c>
      <c r="D226" s="1587" t="str">
        <f t="shared" si="161"/>
        <v>2017 OS</v>
      </c>
      <c r="E226" s="1589" t="str">
        <f t="shared" si="161"/>
        <v>2018 N</v>
      </c>
      <c r="F226" s="1589" t="str">
        <f t="shared" si="161"/>
        <v>2019 N</v>
      </c>
      <c r="G226" s="1589" t="str">
        <f t="shared" si="161"/>
        <v>2020 N</v>
      </c>
      <c r="H226" s="1589" t="str">
        <f t="shared" si="161"/>
        <v>2017 O</v>
      </c>
      <c r="I226" s="1589" t="str">
        <f t="shared" si="161"/>
        <v>2018 O</v>
      </c>
      <c r="J226" s="1589" t="str">
        <f t="shared" si="161"/>
        <v>2019 O</v>
      </c>
      <c r="K226" s="1589" t="str">
        <f t="shared" si="161"/>
        <v>2020 O</v>
      </c>
      <c r="M226" s="1019" t="str">
        <f t="shared" ref="M226:T226" si="162">M2</f>
        <v>2017 úpravy</v>
      </c>
      <c r="N226" s="1594" t="str">
        <f t="shared" si="162"/>
        <v>2017 OS báza</v>
      </c>
      <c r="O226" s="1587" t="str">
        <f t="shared" si="162"/>
        <v>2018 NPC</v>
      </c>
      <c r="P226" s="1589" t="str">
        <f t="shared" si="162"/>
        <v>2019 NPC</v>
      </c>
      <c r="Q226" s="1591" t="str">
        <f t="shared" si="162"/>
        <v>2020 NPC</v>
      </c>
      <c r="R226" s="1587">
        <f t="shared" si="162"/>
        <v>2018</v>
      </c>
      <c r="S226" s="1589">
        <f t="shared" si="162"/>
        <v>2019</v>
      </c>
      <c r="T226" s="1591">
        <f t="shared" si="162"/>
        <v>2020</v>
      </c>
      <c r="U226" s="1599"/>
      <c r="W226" s="1597" t="str">
        <f>O226</f>
        <v>2018 NPC</v>
      </c>
      <c r="X226" s="1598" t="s">
        <v>918</v>
      </c>
      <c r="Y226" s="1597" t="s">
        <v>919</v>
      </c>
      <c r="Z226" s="1583" t="s">
        <v>920</v>
      </c>
    </row>
    <row r="227" spans="1:26" ht="15" customHeight="1">
      <c r="A227" s="1018"/>
      <c r="B227" s="1585"/>
      <c r="C227" s="1595"/>
      <c r="D227" s="1596"/>
      <c r="E227" s="1585"/>
      <c r="F227" s="1585"/>
      <c r="G227" s="1585"/>
      <c r="H227" s="1585"/>
      <c r="I227" s="1585"/>
      <c r="J227" s="1585"/>
      <c r="K227" s="1585"/>
      <c r="M227" s="1021" t="s">
        <v>921</v>
      </c>
      <c r="N227" s="1594"/>
      <c r="O227" s="1596"/>
      <c r="P227" s="1585"/>
      <c r="Q227" s="1586"/>
      <c r="R227" s="1588"/>
      <c r="S227" s="1590"/>
      <c r="T227" s="1592"/>
      <c r="U227" s="1600"/>
      <c r="W227" s="1597"/>
      <c r="X227" s="1594"/>
      <c r="Y227" s="1597"/>
      <c r="Z227" s="1584"/>
    </row>
    <row r="228" spans="1:26">
      <c r="A228" s="1022" t="s">
        <v>14</v>
      </c>
      <c r="B228" s="1023" t="s">
        <v>922</v>
      </c>
      <c r="C228" s="1218">
        <f t="shared" ref="C228:K243" si="163">C4/C$179*100</f>
        <v>39.320533022378726</v>
      </c>
      <c r="D228" s="1219">
        <f t="shared" si="163"/>
        <v>39.373836359512367</v>
      </c>
      <c r="E228" s="1220">
        <f t="shared" si="163"/>
        <v>38.47381817001164</v>
      </c>
      <c r="F228" s="1220">
        <f t="shared" si="163"/>
        <v>38.918655201092065</v>
      </c>
      <c r="G228" s="1031">
        <f t="shared" si="163"/>
        <v>38.311742066376638</v>
      </c>
      <c r="H228" s="1220">
        <f t="shared" si="163"/>
        <v>39.249072184093826</v>
      </c>
      <c r="I228" s="1220">
        <f t="shared" si="163"/>
        <v>39.150232273565699</v>
      </c>
      <c r="J228" s="1220">
        <f t="shared" si="163"/>
        <v>38.485876095838456</v>
      </c>
      <c r="K228" s="1031">
        <f t="shared" si="163"/>
        <v>38.007454078949031</v>
      </c>
      <c r="L228" s="1221"/>
      <c r="M228" s="1219">
        <f t="shared" ref="M228:T243" si="164">M4/M$179*100</f>
        <v>-0.10806209458834391</v>
      </c>
      <c r="N228" s="1218">
        <f t="shared" si="164"/>
        <v>38.98801985598562</v>
      </c>
      <c r="O228" s="1219">
        <f t="shared" si="164"/>
        <v>38.77354747209165</v>
      </c>
      <c r="P228" s="1220">
        <f t="shared" si="164"/>
        <v>38.317408852042725</v>
      </c>
      <c r="Q228" s="1220">
        <f t="shared" si="164"/>
        <v>37.921742950165601</v>
      </c>
      <c r="R228" s="1222">
        <f t="shared" si="164"/>
        <v>-26.985952655804109</v>
      </c>
      <c r="S228" s="1220">
        <f t="shared" si="164"/>
        <v>6.8191820217233774</v>
      </c>
      <c r="T228" s="1220">
        <f t="shared" si="164"/>
        <v>18.705155192827299</v>
      </c>
      <c r="U228" s="1223"/>
      <c r="V228" s="1221"/>
      <c r="W228" s="1219">
        <f t="shared" ref="W228:Z243" si="165">W4/W$179*100</f>
        <v>38.77354747209165</v>
      </c>
      <c r="X228" s="1220">
        <f t="shared" si="165"/>
        <v>38.708207932201347</v>
      </c>
      <c r="Y228" s="1219">
        <f t="shared" si="165"/>
        <v>47.887595987088446</v>
      </c>
      <c r="Z228" s="1031">
        <f t="shared" si="165"/>
        <v>47.887595987088446</v>
      </c>
    </row>
    <row r="229" spans="1:26">
      <c r="A229" s="1032" t="s">
        <v>419</v>
      </c>
      <c r="B229" s="1033" t="s">
        <v>923</v>
      </c>
      <c r="C229" s="1224">
        <f t="shared" si="163"/>
        <v>10.622741468975157</v>
      </c>
      <c r="D229" s="1225">
        <f t="shared" si="163"/>
        <v>10.951777458137462</v>
      </c>
      <c r="E229" s="1226">
        <f t="shared" si="163"/>
        <v>10.98526323291124</v>
      </c>
      <c r="F229" s="1226">
        <f t="shared" si="163"/>
        <v>10.748261220232507</v>
      </c>
      <c r="G229" s="1041">
        <f t="shared" si="163"/>
        <v>10.533067702631312</v>
      </c>
      <c r="H229" s="1227">
        <f t="shared" si="163"/>
        <v>10.78867717561223</v>
      </c>
      <c r="I229" s="1227">
        <f t="shared" si="163"/>
        <v>10.748811495872671</v>
      </c>
      <c r="J229" s="1227">
        <f t="shared" si="163"/>
        <v>10.508850877612959</v>
      </c>
      <c r="K229" s="1228">
        <f t="shared" si="163"/>
        <v>10.286301924874284</v>
      </c>
      <c r="L229" s="1221"/>
      <c r="M229" s="1225">
        <f t="shared" si="164"/>
        <v>0</v>
      </c>
      <c r="N229" s="1229">
        <f t="shared" si="164"/>
        <v>10.746623640366213</v>
      </c>
      <c r="O229" s="1225">
        <f t="shared" si="164"/>
        <v>10.536184975285041</v>
      </c>
      <c r="P229" s="1226">
        <f t="shared" si="164"/>
        <v>10.322205839764941</v>
      </c>
      <c r="Q229" s="1226">
        <f t="shared" si="164"/>
        <v>10.095119270606325</v>
      </c>
      <c r="R229" s="1225">
        <f t="shared" si="164"/>
        <v>-22.751235427591656</v>
      </c>
      <c r="S229" s="1226">
        <f t="shared" si="164"/>
        <v>-15.210498612575108</v>
      </c>
      <c r="T229" s="1226">
        <f t="shared" si="164"/>
        <v>-13.268790783315094</v>
      </c>
      <c r="U229" s="1230"/>
      <c r="V229" s="1221"/>
      <c r="W229" s="1225">
        <f t="shared" si="165"/>
        <v>10.536184975285041</v>
      </c>
      <c r="X229" s="1226">
        <f t="shared" si="165"/>
        <v>10.86475192197387</v>
      </c>
      <c r="Y229" s="1225">
        <f t="shared" si="165"/>
        <v>-35.294794207823351</v>
      </c>
      <c r="Z229" s="1041">
        <f t="shared" si="165"/>
        <v>-35.294794207823358</v>
      </c>
    </row>
    <row r="230" spans="1:26">
      <c r="A230" s="612" t="s">
        <v>420</v>
      </c>
      <c r="B230" s="1043"/>
      <c r="C230" s="1231">
        <f t="shared" si="163"/>
        <v>6.6782318439002717</v>
      </c>
      <c r="D230" s="1232">
        <f t="shared" si="163"/>
        <v>6.9504029921178461</v>
      </c>
      <c r="E230" s="1233">
        <f t="shared" si="163"/>
        <v>6.8209332713196495</v>
      </c>
      <c r="F230" s="1233">
        <f t="shared" si="163"/>
        <v>6.7205213354714672</v>
      </c>
      <c r="G230" s="1051">
        <f t="shared" si="163"/>
        <v>6.642642067730625</v>
      </c>
      <c r="H230" s="1234">
        <f t="shared" si="163"/>
        <v>6.8902814356383066</v>
      </c>
      <c r="I230" s="1234">
        <f t="shared" si="163"/>
        <v>6.8186067827628456</v>
      </c>
      <c r="J230" s="1234">
        <f t="shared" si="163"/>
        <v>6.7076561827757955</v>
      </c>
      <c r="K230" s="1076">
        <f t="shared" si="163"/>
        <v>6.6165591341115544</v>
      </c>
      <c r="L230" s="1221"/>
      <c r="M230" s="1232">
        <f t="shared" si="164"/>
        <v>0</v>
      </c>
      <c r="N230" s="1235">
        <f t="shared" si="164"/>
        <v>6.8634235837912243</v>
      </c>
      <c r="O230" s="1232">
        <f t="shared" si="164"/>
        <v>6.7292848905968166</v>
      </c>
      <c r="P230" s="1233">
        <f t="shared" si="164"/>
        <v>6.6135619565794554</v>
      </c>
      <c r="Q230" s="1233">
        <f t="shared" si="164"/>
        <v>6.5151243917609669</v>
      </c>
      <c r="R230" s="1232">
        <f t="shared" si="164"/>
        <v>-8.031888362715863</v>
      </c>
      <c r="S230" s="1233">
        <f t="shared" si="164"/>
        <v>-6.6692396715622504</v>
      </c>
      <c r="T230" s="1233">
        <f t="shared" si="164"/>
        <v>-6.1843337308910042</v>
      </c>
      <c r="U230" s="1236"/>
      <c r="V230" s="1221"/>
      <c r="W230" s="1232">
        <f t="shared" si="165"/>
        <v>6.7292848905968166</v>
      </c>
      <c r="X230" s="1233">
        <f t="shared" si="165"/>
        <v>6.8209332713196495</v>
      </c>
      <c r="Y230" s="1232">
        <f t="shared" si="165"/>
        <v>-6.054517836375882</v>
      </c>
      <c r="Z230" s="1051">
        <f t="shared" si="165"/>
        <v>-6.0545178363758829</v>
      </c>
    </row>
    <row r="231" spans="1:26">
      <c r="A231" s="612" t="s">
        <v>421</v>
      </c>
      <c r="B231" s="1043"/>
      <c r="C231" s="1231">
        <f t="shared" si="163"/>
        <v>2.6787156649867243</v>
      </c>
      <c r="D231" s="1232">
        <f t="shared" si="163"/>
        <v>2.685097592374921</v>
      </c>
      <c r="E231" s="1233">
        <f t="shared" si="163"/>
        <v>2.6159229765186911</v>
      </c>
      <c r="F231" s="1233">
        <f t="shared" si="163"/>
        <v>2.5612447538332401</v>
      </c>
      <c r="G231" s="1051">
        <f t="shared" si="163"/>
        <v>2.4805421550127846</v>
      </c>
      <c r="H231" s="1234">
        <f t="shared" si="163"/>
        <v>2.6688938793116006</v>
      </c>
      <c r="I231" s="1234">
        <f t="shared" si="163"/>
        <v>2.5830166979981124</v>
      </c>
      <c r="J231" s="1234">
        <f t="shared" si="163"/>
        <v>2.5179345437490381</v>
      </c>
      <c r="K231" s="1076">
        <f t="shared" si="163"/>
        <v>2.4282492569852097</v>
      </c>
      <c r="L231" s="1221"/>
      <c r="M231" s="1232">
        <f t="shared" si="164"/>
        <v>0</v>
      </c>
      <c r="N231" s="1235">
        <f t="shared" si="164"/>
        <v>2.6584907111571932</v>
      </c>
      <c r="O231" s="1232">
        <f t="shared" si="164"/>
        <v>2.5699201487699845</v>
      </c>
      <c r="P231" s="1233">
        <f t="shared" si="164"/>
        <v>2.5068679221490657</v>
      </c>
      <c r="Q231" s="1233">
        <f t="shared" si="164"/>
        <v>2.41643048337707</v>
      </c>
      <c r="R231" s="1232">
        <f t="shared" si="164"/>
        <v>-0.12888264939172894</v>
      </c>
      <c r="S231" s="1233">
        <f t="shared" si="164"/>
        <v>0.44072196517434592</v>
      </c>
      <c r="T231" s="1233">
        <f t="shared" si="164"/>
        <v>0.50290383632661084</v>
      </c>
      <c r="U231" s="1236"/>
      <c r="V231" s="1221"/>
      <c r="W231" s="1232">
        <f t="shared" si="165"/>
        <v>2.5699201487699845</v>
      </c>
      <c r="X231" s="1233">
        <f t="shared" si="165"/>
        <v>2.6159229765186911</v>
      </c>
      <c r="Y231" s="1232">
        <f t="shared" si="165"/>
        <v>-3.8468988957573695</v>
      </c>
      <c r="Z231" s="1051">
        <f t="shared" si="165"/>
        <v>-3.8468988957573695</v>
      </c>
    </row>
    <row r="232" spans="1:26">
      <c r="A232" s="612" t="s">
        <v>422</v>
      </c>
      <c r="B232" s="1043"/>
      <c r="C232" s="1231">
        <f t="shared" si="163"/>
        <v>0.27769560886278805</v>
      </c>
      <c r="D232" s="1232">
        <f t="shared" si="163"/>
        <v>0.28291790980585374</v>
      </c>
      <c r="E232" s="1233">
        <f t="shared" si="163"/>
        <v>0.27202088605180208</v>
      </c>
      <c r="F232" s="1233">
        <f t="shared" si="163"/>
        <v>0.26041262999758064</v>
      </c>
      <c r="G232" s="1051">
        <f t="shared" si="163"/>
        <v>0.25050915225998682</v>
      </c>
      <c r="H232" s="1234">
        <f t="shared" si="163"/>
        <v>0.27653584982895979</v>
      </c>
      <c r="I232" s="1234">
        <f t="shared" si="163"/>
        <v>0.26588483779514466</v>
      </c>
      <c r="J232" s="1234">
        <f t="shared" si="163"/>
        <v>0.25453237246746979</v>
      </c>
      <c r="K232" s="1076">
        <f t="shared" si="163"/>
        <v>0.24480899129412362</v>
      </c>
      <c r="L232" s="1221"/>
      <c r="M232" s="1232">
        <f t="shared" si="164"/>
        <v>0</v>
      </c>
      <c r="N232" s="1235">
        <f t="shared" si="164"/>
        <v>0.27545793175631073</v>
      </c>
      <c r="O232" s="1232">
        <f t="shared" si="164"/>
        <v>0.26463116715169283</v>
      </c>
      <c r="P232" s="1233">
        <f t="shared" si="164"/>
        <v>0.25360769490530921</v>
      </c>
      <c r="Q232" s="1233">
        <f t="shared" si="164"/>
        <v>0.24366314816808737</v>
      </c>
      <c r="R232" s="1232">
        <f t="shared" si="164"/>
        <v>4.4298096714830815E-14</v>
      </c>
      <c r="S232" s="1233">
        <f t="shared" si="164"/>
        <v>6.8103672080984293E-2</v>
      </c>
      <c r="T232" s="1233">
        <f t="shared" si="164"/>
        <v>5.5687245872421867E-2</v>
      </c>
      <c r="U232" s="1236"/>
      <c r="V232" s="1221"/>
      <c r="W232" s="1232">
        <f t="shared" si="165"/>
        <v>0.26463116715169283</v>
      </c>
      <c r="X232" s="1233">
        <f t="shared" si="165"/>
        <v>0.27202088605180208</v>
      </c>
      <c r="Y232" s="1232">
        <f t="shared" si="165"/>
        <v>-0.7661421851072473</v>
      </c>
      <c r="Z232" s="1051">
        <f t="shared" si="165"/>
        <v>-0.76614218510724741</v>
      </c>
    </row>
    <row r="233" spans="1:26">
      <c r="A233" s="612" t="s">
        <v>423</v>
      </c>
      <c r="B233" s="1043"/>
      <c r="C233" s="1231">
        <f t="shared" si="163"/>
        <v>0.17873433320560084</v>
      </c>
      <c r="D233" s="1232">
        <f t="shared" si="163"/>
        <v>0.17942053505862074</v>
      </c>
      <c r="E233" s="1233">
        <f t="shared" si="163"/>
        <v>0.17942052749273354</v>
      </c>
      <c r="F233" s="1233">
        <f t="shared" si="163"/>
        <v>0.17942099675870041</v>
      </c>
      <c r="G233" s="1051">
        <f t="shared" si="163"/>
        <v>0.17942059910224858</v>
      </c>
      <c r="H233" s="1234">
        <f t="shared" si="163"/>
        <v>0.17101937375565338</v>
      </c>
      <c r="I233" s="1234">
        <f t="shared" si="163"/>
        <v>0.17101947808680457</v>
      </c>
      <c r="J233" s="1234">
        <f t="shared" si="163"/>
        <v>0.17101916799918401</v>
      </c>
      <c r="K233" s="1076">
        <f t="shared" si="163"/>
        <v>0.17101922008896417</v>
      </c>
      <c r="L233" s="1221"/>
      <c r="M233" s="1232">
        <f t="shared" si="164"/>
        <v>0</v>
      </c>
      <c r="N233" s="1235">
        <f t="shared" si="164"/>
        <v>0.17035275178292045</v>
      </c>
      <c r="O233" s="1232">
        <f t="shared" si="164"/>
        <v>0.17035272933951667</v>
      </c>
      <c r="P233" s="1233">
        <f t="shared" si="164"/>
        <v>0.1703525376301091</v>
      </c>
      <c r="Q233" s="1233">
        <f t="shared" si="164"/>
        <v>0.17035261181622613</v>
      </c>
      <c r="R233" s="1232">
        <f t="shared" si="164"/>
        <v>1.9615326189166716E-2</v>
      </c>
      <c r="S233" s="1233">
        <f t="shared" si="164"/>
        <v>4.0254363916371598E-2</v>
      </c>
      <c r="T233" s="1233">
        <f t="shared" si="164"/>
        <v>5.3509056371494959E-2</v>
      </c>
      <c r="U233" s="1236"/>
      <c r="V233" s="1221"/>
      <c r="W233" s="1232">
        <f t="shared" si="165"/>
        <v>0.17035272933951667</v>
      </c>
      <c r="X233" s="1233">
        <f t="shared" si="165"/>
        <v>0.17942052749273354</v>
      </c>
      <c r="Y233" s="1232">
        <f t="shared" si="165"/>
        <v>-1.0944916884719147</v>
      </c>
      <c r="Z233" s="1051">
        <f t="shared" si="165"/>
        <v>-1.0944916884719147</v>
      </c>
    </row>
    <row r="234" spans="1:26">
      <c r="A234" s="612" t="s">
        <v>424</v>
      </c>
      <c r="B234" s="1043"/>
      <c r="C234" s="1231">
        <f t="shared" si="163"/>
        <v>1.4468054463290185E-2</v>
      </c>
      <c r="D234" s="1233">
        <f t="shared" si="163"/>
        <v>1.4479683635404013E-2</v>
      </c>
      <c r="E234" s="1233">
        <f t="shared" si="163"/>
        <v>1.368758512735088E-2</v>
      </c>
      <c r="F234" s="1233">
        <f t="shared" si="163"/>
        <v>1.2859162610403176E-2</v>
      </c>
      <c r="G234" s="1051">
        <f t="shared" si="163"/>
        <v>1.2127582293314332E-2</v>
      </c>
      <c r="H234" s="1234">
        <f t="shared" si="163"/>
        <v>1.4576816923201669E-2</v>
      </c>
      <c r="I234" s="1234">
        <f t="shared" si="163"/>
        <v>1.3779415019292543E-2</v>
      </c>
      <c r="J234" s="1234">
        <f t="shared" si="163"/>
        <v>1.2945425468120626E-2</v>
      </c>
      <c r="K234" s="1076">
        <f t="shared" si="163"/>
        <v>1.2208935988611646E-2</v>
      </c>
      <c r="L234" s="1221"/>
      <c r="M234" s="1232">
        <f t="shared" si="164"/>
        <v>0</v>
      </c>
      <c r="N234" s="1235">
        <f t="shared" si="164"/>
        <v>1.4519997474971231E-2</v>
      </c>
      <c r="O234" s="1232">
        <f t="shared" si="164"/>
        <v>1.3714443852689428E-2</v>
      </c>
      <c r="P234" s="1233">
        <f t="shared" si="164"/>
        <v>1.2869862432387314E-2</v>
      </c>
      <c r="Q234" s="1233">
        <f t="shared" si="164"/>
        <v>1.2126341229359272E-2</v>
      </c>
      <c r="R234" s="1232">
        <f t="shared" si="164"/>
        <v>0</v>
      </c>
      <c r="S234" s="1233">
        <f t="shared" si="164"/>
        <v>0</v>
      </c>
      <c r="T234" s="1233">
        <f t="shared" si="164"/>
        <v>0</v>
      </c>
      <c r="U234" s="1236"/>
      <c r="V234" s="1221"/>
      <c r="W234" s="1232">
        <f t="shared" si="165"/>
        <v>1.3714443852689428E-2</v>
      </c>
      <c r="X234" s="1233">
        <f t="shared" si="165"/>
        <v>1.368758512735088E-2</v>
      </c>
      <c r="Y234" s="1232">
        <f t="shared" si="165"/>
        <v>1.7460900075023923E-2</v>
      </c>
      <c r="Z234" s="1051">
        <f t="shared" si="165"/>
        <v>1.7460900075023923E-2</v>
      </c>
    </row>
    <row r="235" spans="1:26">
      <c r="A235" s="612" t="s">
        <v>924</v>
      </c>
      <c r="B235" s="1043"/>
      <c r="C235" s="1231">
        <f t="shared" si="163"/>
        <v>0.14758613275905702</v>
      </c>
      <c r="D235" s="1232">
        <f t="shared" si="163"/>
        <v>0.14896293321095408</v>
      </c>
      <c r="E235" s="1233">
        <f t="shared" si="163"/>
        <v>0.14933292531928696</v>
      </c>
      <c r="F235" s="1233">
        <f t="shared" si="163"/>
        <v>0.14859406810978104</v>
      </c>
      <c r="G235" s="1051">
        <f t="shared" si="163"/>
        <v>0.14916042621748341</v>
      </c>
      <c r="H235" s="1234">
        <f t="shared" si="163"/>
        <v>0.14973728488485316</v>
      </c>
      <c r="I235" s="1234">
        <f t="shared" si="163"/>
        <v>0.15010872113483956</v>
      </c>
      <c r="J235" s="1234">
        <f t="shared" si="163"/>
        <v>0.1493667949447014</v>
      </c>
      <c r="K235" s="1076">
        <f t="shared" si="163"/>
        <v>0.14993557032996452</v>
      </c>
      <c r="L235" s="1221"/>
      <c r="M235" s="1232">
        <f t="shared" si="164"/>
        <v>0</v>
      </c>
      <c r="N235" s="1235">
        <f t="shared" si="164"/>
        <v>0.14915361905770411</v>
      </c>
      <c r="O235" s="1232">
        <f t="shared" si="164"/>
        <v>0.14881541054580771</v>
      </c>
      <c r="P235" s="1233">
        <f t="shared" si="164"/>
        <v>0.14801318151688087</v>
      </c>
      <c r="Q235" s="1233">
        <f t="shared" si="164"/>
        <v>0.14818613898274682</v>
      </c>
      <c r="R235" s="1232">
        <f t="shared" si="164"/>
        <v>-8.2260290852314899E-2</v>
      </c>
      <c r="S235" s="1233">
        <f t="shared" si="164"/>
        <v>-5.8479178692672093E-2</v>
      </c>
      <c r="T235" s="1233">
        <f t="shared" si="164"/>
        <v>-8.0216504977453168E-2</v>
      </c>
      <c r="U235" s="1236"/>
      <c r="V235" s="1221"/>
      <c r="W235" s="1232">
        <f t="shared" si="165"/>
        <v>0.14881541054580771</v>
      </c>
      <c r="X235" s="1233">
        <f t="shared" si="165"/>
        <v>0.14933292531928696</v>
      </c>
      <c r="Y235" s="1232">
        <f t="shared" si="165"/>
        <v>7.662857297951757E-2</v>
      </c>
      <c r="Z235" s="1051">
        <f t="shared" si="165"/>
        <v>7.662857297951757E-2</v>
      </c>
    </row>
    <row r="236" spans="1:26">
      <c r="A236" s="612" t="s">
        <v>925</v>
      </c>
      <c r="B236" s="1043"/>
      <c r="C236" s="1231">
        <f t="shared" si="163"/>
        <v>0.22995302533951331</v>
      </c>
      <c r="D236" s="1232">
        <f t="shared" si="163"/>
        <v>0.22458743163956513</v>
      </c>
      <c r="E236" s="1233">
        <f t="shared" si="163"/>
        <v>0.29610482326153459</v>
      </c>
      <c r="F236" s="1233">
        <f t="shared" si="163"/>
        <v>0.2388178937420537</v>
      </c>
      <c r="G236" s="1051">
        <f t="shared" si="163"/>
        <v>0.22523112485797755</v>
      </c>
      <c r="H236" s="1234">
        <f t="shared" si="163"/>
        <v>0.22404502948341989</v>
      </c>
      <c r="I236" s="1234">
        <f t="shared" si="163"/>
        <v>0.29538991769551121</v>
      </c>
      <c r="J236" s="1234">
        <f t="shared" si="163"/>
        <v>0.23824113134255828</v>
      </c>
      <c r="K236" s="1076">
        <f t="shared" si="163"/>
        <v>0.22468714756255787</v>
      </c>
      <c r="L236" s="1221"/>
      <c r="M236" s="1232">
        <f t="shared" si="164"/>
        <v>0</v>
      </c>
      <c r="N236" s="1235">
        <f t="shared" si="164"/>
        <v>0.22317171708462327</v>
      </c>
      <c r="O236" s="1232">
        <f t="shared" si="164"/>
        <v>0.22188462488887664</v>
      </c>
      <c r="P236" s="1233">
        <f t="shared" si="164"/>
        <v>0.20822022597888368</v>
      </c>
      <c r="Q236" s="1233">
        <f t="shared" si="164"/>
        <v>0.19619087028623911</v>
      </c>
      <c r="R236" s="1232">
        <f t="shared" si="164"/>
        <v>-10.130904664670881</v>
      </c>
      <c r="S236" s="1233">
        <f t="shared" si="164"/>
        <v>-3.4753835907825978</v>
      </c>
      <c r="T236" s="1233">
        <f t="shared" si="164"/>
        <v>-2.9437309910534082</v>
      </c>
      <c r="U236" s="1236"/>
      <c r="V236" s="1221"/>
      <c r="W236" s="1232">
        <f t="shared" si="165"/>
        <v>0.22188462488887664</v>
      </c>
      <c r="X236" s="1233">
        <f t="shared" si="165"/>
        <v>0.29610482326153459</v>
      </c>
      <c r="Y236" s="1232">
        <f t="shared" si="165"/>
        <v>-10.130904664670881</v>
      </c>
      <c r="Z236" s="1051">
        <f t="shared" si="165"/>
        <v>-10.130904664670881</v>
      </c>
    </row>
    <row r="237" spans="1:26">
      <c r="A237" s="612" t="s">
        <v>427</v>
      </c>
      <c r="B237" s="1043"/>
      <c r="C237" s="1231">
        <f t="shared" si="163"/>
        <v>3.9526763239149644E-2</v>
      </c>
      <c r="D237" s="1232">
        <f t="shared" si="163"/>
        <v>4.6955321760263596E-2</v>
      </c>
      <c r="E237" s="1233">
        <f t="shared" si="163"/>
        <v>4.707061050836002E-2</v>
      </c>
      <c r="F237" s="1233">
        <f t="shared" si="163"/>
        <v>4.7389868110291306E-2</v>
      </c>
      <c r="G237" s="1051">
        <f t="shared" si="163"/>
        <v>4.7388628670118477E-2</v>
      </c>
      <c r="H237" s="1234">
        <f t="shared" si="163"/>
        <v>4.6251711554390833E-2</v>
      </c>
      <c r="I237" s="1234">
        <f t="shared" si="163"/>
        <v>4.6365307046653988E-2</v>
      </c>
      <c r="J237" s="1234">
        <f t="shared" si="163"/>
        <v>4.6679747899553897E-2</v>
      </c>
      <c r="K237" s="1076">
        <f t="shared" si="163"/>
        <v>4.6678521231487927E-2</v>
      </c>
      <c r="L237" s="1221"/>
      <c r="M237" s="1232">
        <f t="shared" si="164"/>
        <v>0</v>
      </c>
      <c r="N237" s="1235">
        <f t="shared" si="164"/>
        <v>4.6071425505380306E-2</v>
      </c>
      <c r="O237" s="1232">
        <f t="shared" si="164"/>
        <v>4.6333222837753957E-2</v>
      </c>
      <c r="P237" s="1233">
        <f t="shared" si="164"/>
        <v>4.6850295613421869E-2</v>
      </c>
      <c r="Q237" s="1233">
        <f t="shared" si="164"/>
        <v>4.70178191664243E-2</v>
      </c>
      <c r="R237" s="1232">
        <f t="shared" si="164"/>
        <v>2.6205459830158227E-2</v>
      </c>
      <c r="S237" s="1233">
        <f t="shared" si="164"/>
        <v>5.3777424201901881E-2</v>
      </c>
      <c r="T237" s="1233">
        <f t="shared" si="164"/>
        <v>7.1484690817621488E-2</v>
      </c>
      <c r="U237" s="1236"/>
      <c r="V237" s="1221"/>
      <c r="W237" s="1232">
        <f t="shared" si="165"/>
        <v>4.6333222837753957E-2</v>
      </c>
      <c r="X237" s="1233">
        <f t="shared" si="165"/>
        <v>4.707061050836002E-2</v>
      </c>
      <c r="Y237" s="1232">
        <f t="shared" si="165"/>
        <v>-5.6523133597371406E-2</v>
      </c>
      <c r="Z237" s="1051">
        <f t="shared" si="165"/>
        <v>-5.6523133597371406E-2</v>
      </c>
    </row>
    <row r="238" spans="1:26">
      <c r="A238" s="612" t="s">
        <v>428</v>
      </c>
      <c r="B238" s="1043"/>
      <c r="C238" s="1231">
        <f t="shared" si="163"/>
        <v>7.9445285520611517E-2</v>
      </c>
      <c r="D238" s="1232">
        <f t="shared" si="163"/>
        <v>9.8305464945979318E-2</v>
      </c>
      <c r="E238" s="1233">
        <f t="shared" si="163"/>
        <v>0.13035204745987686</v>
      </c>
      <c r="F238" s="1233">
        <f t="shared" si="163"/>
        <v>0.12246266666397471</v>
      </c>
      <c r="G238" s="1051">
        <f t="shared" si="163"/>
        <v>0.11549555074640352</v>
      </c>
      <c r="H238" s="1234">
        <f t="shared" si="163"/>
        <v>6.5270786463670488E-2</v>
      </c>
      <c r="I238" s="1234">
        <f t="shared" si="163"/>
        <v>6.5554727727981058E-2</v>
      </c>
      <c r="J238" s="1234">
        <f t="shared" si="163"/>
        <v>7.3904236080046135E-2</v>
      </c>
      <c r="K238" s="1076">
        <f t="shared" si="163"/>
        <v>7.4746198158940208E-2</v>
      </c>
      <c r="L238" s="1221"/>
      <c r="M238" s="1232">
        <f t="shared" si="164"/>
        <v>0</v>
      </c>
      <c r="N238" s="1235">
        <f t="shared" si="164"/>
        <v>6.5016365344713473E-2</v>
      </c>
      <c r="O238" s="1232">
        <f t="shared" si="164"/>
        <v>6.524563135989335E-2</v>
      </c>
      <c r="P238" s="1233">
        <f t="shared" si="164"/>
        <v>7.3472853701343196E-2</v>
      </c>
      <c r="Q238" s="1233">
        <f t="shared" si="164"/>
        <v>7.4240532124838096E-2</v>
      </c>
      <c r="R238" s="1232">
        <f t="shared" si="164"/>
        <v>0</v>
      </c>
      <c r="S238" s="1233">
        <f t="shared" si="164"/>
        <v>0</v>
      </c>
      <c r="T238" s="1233">
        <f t="shared" si="164"/>
        <v>0</v>
      </c>
      <c r="U238" s="1236"/>
      <c r="V238" s="1221"/>
      <c r="W238" s="1232">
        <f t="shared" si="165"/>
        <v>6.524563135989335E-2</v>
      </c>
      <c r="X238" s="1233">
        <f t="shared" si="165"/>
        <v>0.13035204745987686</v>
      </c>
      <c r="Y238" s="1232">
        <f t="shared" si="165"/>
        <v>-9.0162850309165048</v>
      </c>
      <c r="Z238" s="1051">
        <f t="shared" si="165"/>
        <v>-9.0162850309165066</v>
      </c>
    </row>
    <row r="239" spans="1:26">
      <c r="A239" s="1052" t="s">
        <v>926</v>
      </c>
      <c r="B239" s="1053"/>
      <c r="C239" s="1237">
        <f t="shared" si="163"/>
        <v>0</v>
      </c>
      <c r="D239" s="1232">
        <f t="shared" si="163"/>
        <v>1.0401944202253542E-2</v>
      </c>
      <c r="E239" s="1233">
        <f t="shared" si="163"/>
        <v>3.4135857926942954E-3</v>
      </c>
      <c r="F239" s="1233">
        <f t="shared" si="163"/>
        <v>3.3032451263214084E-3</v>
      </c>
      <c r="G239" s="1051">
        <f t="shared" si="163"/>
        <v>3.2087762583612794E-3</v>
      </c>
      <c r="H239" s="1234">
        <f t="shared" si="163"/>
        <v>1.0376822418179448E-2</v>
      </c>
      <c r="I239" s="1234">
        <f t="shared" si="163"/>
        <v>3.4053441455086288E-3</v>
      </c>
      <c r="J239" s="1234">
        <f t="shared" si="163"/>
        <v>3.2952675516291349E-3</v>
      </c>
      <c r="K239" s="1076">
        <f t="shared" si="163"/>
        <v>3.201026435011016E-3</v>
      </c>
      <c r="L239" s="1221"/>
      <c r="M239" s="1232">
        <f t="shared" si="164"/>
        <v>0</v>
      </c>
      <c r="N239" s="1235">
        <f t="shared" si="164"/>
        <v>1.0336374264972028E-2</v>
      </c>
      <c r="O239" s="1232">
        <f t="shared" si="164"/>
        <v>3.389287645177591E-3</v>
      </c>
      <c r="P239" s="1233">
        <f t="shared" si="164"/>
        <v>3.2760329254387663E-3</v>
      </c>
      <c r="Q239" s="1233">
        <f t="shared" si="164"/>
        <v>3.1793711484236482E-3</v>
      </c>
      <c r="R239" s="1232">
        <f t="shared" si="164"/>
        <v>0</v>
      </c>
      <c r="S239" s="1233">
        <f t="shared" si="164"/>
        <v>0</v>
      </c>
      <c r="T239" s="1233">
        <f t="shared" si="164"/>
        <v>0</v>
      </c>
      <c r="U239" s="1236"/>
      <c r="V239" s="1221"/>
      <c r="W239" s="1232">
        <f t="shared" si="165"/>
        <v>3.389287645177591E-3</v>
      </c>
      <c r="X239" s="1233">
        <f t="shared" si="165"/>
        <v>3.4135857926942954E-3</v>
      </c>
      <c r="Y239" s="1232">
        <f t="shared" si="165"/>
        <v>0</v>
      </c>
      <c r="Z239" s="1051">
        <f t="shared" si="165"/>
        <v>0</v>
      </c>
    </row>
    <row r="240" spans="1:26">
      <c r="A240" s="1052" t="s">
        <v>430</v>
      </c>
      <c r="B240" s="1053"/>
      <c r="C240" s="1237">
        <f t="shared" si="163"/>
        <v>2.6624549686210038E-2</v>
      </c>
      <c r="D240" s="1238">
        <f t="shared" si="163"/>
        <v>0</v>
      </c>
      <c r="E240" s="1239">
        <f t="shared" si="163"/>
        <v>0</v>
      </c>
      <c r="F240" s="1239">
        <f t="shared" si="163"/>
        <v>0</v>
      </c>
      <c r="G240" s="1240">
        <f t="shared" si="163"/>
        <v>0</v>
      </c>
      <c r="H240" s="1241">
        <f t="shared" si="163"/>
        <v>2.0676997852588253E-2</v>
      </c>
      <c r="I240" s="1241">
        <f t="shared" si="163"/>
        <v>1.954589511996524E-2</v>
      </c>
      <c r="J240" s="1241">
        <f t="shared" si="163"/>
        <v>1.8362893354249489E-2</v>
      </c>
      <c r="K240" s="1242">
        <f t="shared" si="163"/>
        <v>1.7318193989052537E-2</v>
      </c>
      <c r="L240" s="1221"/>
      <c r="M240" s="1232">
        <f t="shared" si="164"/>
        <v>0</v>
      </c>
      <c r="N240" s="1235">
        <f t="shared" si="164"/>
        <v>2.0596400310941419E-2</v>
      </c>
      <c r="O240" s="1232">
        <f t="shared" si="164"/>
        <v>1.9453734487132258E-2</v>
      </c>
      <c r="P240" s="1233">
        <f t="shared" si="164"/>
        <v>1.8255708312698623E-2</v>
      </c>
      <c r="Q240" s="1233">
        <f t="shared" si="164"/>
        <v>1.7201034552346017E-2</v>
      </c>
      <c r="R240" s="1232">
        <f t="shared" si="164"/>
        <v>0</v>
      </c>
      <c r="S240" s="1233">
        <f t="shared" si="164"/>
        <v>0</v>
      </c>
      <c r="T240" s="1233">
        <f t="shared" si="164"/>
        <v>0</v>
      </c>
      <c r="U240" s="1236"/>
      <c r="V240" s="1221"/>
      <c r="W240" s="1232">
        <f t="shared" si="165"/>
        <v>1.9453734487132258E-2</v>
      </c>
      <c r="X240" s="1233">
        <f t="shared" si="165"/>
        <v>1.9593200286381167E-2</v>
      </c>
      <c r="Y240" s="1232">
        <f t="shared" si="165"/>
        <v>0</v>
      </c>
      <c r="Z240" s="1051">
        <f t="shared" si="165"/>
        <v>0</v>
      </c>
    </row>
    <row r="241" spans="1:26">
      <c r="A241" s="1052" t="s">
        <v>927</v>
      </c>
      <c r="B241" s="1053"/>
      <c r="C241" s="1236">
        <f t="shared" si="163"/>
        <v>0</v>
      </c>
      <c r="D241" s="1232">
        <f t="shared" si="163"/>
        <v>0.107090379640428</v>
      </c>
      <c r="E241" s="1233">
        <f t="shared" si="163"/>
        <v>0.14010451122375109</v>
      </c>
      <c r="F241" s="1233">
        <f t="shared" si="163"/>
        <v>0.13755910679542294</v>
      </c>
      <c r="G241" s="1051">
        <f t="shared" si="163"/>
        <v>0.12973312791819508</v>
      </c>
      <c r="H241" s="1234">
        <f t="shared" si="163"/>
        <v>0</v>
      </c>
      <c r="I241" s="1234">
        <f t="shared" si="163"/>
        <v>0</v>
      </c>
      <c r="J241" s="1234">
        <f t="shared" si="163"/>
        <v>0</v>
      </c>
      <c r="K241" s="1076">
        <f t="shared" si="163"/>
        <v>0</v>
      </c>
      <c r="L241" s="1221"/>
      <c r="M241" s="1232">
        <f t="shared" si="164"/>
        <v>0</v>
      </c>
      <c r="N241" s="1235">
        <f t="shared" si="164"/>
        <v>0</v>
      </c>
      <c r="O241" s="1232">
        <f t="shared" si="164"/>
        <v>0</v>
      </c>
      <c r="P241" s="1233">
        <f t="shared" si="164"/>
        <v>0</v>
      </c>
      <c r="Q241" s="1233">
        <f t="shared" si="164"/>
        <v>0</v>
      </c>
      <c r="R241" s="1232">
        <f t="shared" si="164"/>
        <v>0</v>
      </c>
      <c r="S241" s="1233">
        <f t="shared" si="164"/>
        <v>0</v>
      </c>
      <c r="T241" s="1233">
        <f t="shared" si="164"/>
        <v>0</v>
      </c>
      <c r="U241" s="1236"/>
      <c r="V241" s="1221"/>
      <c r="W241" s="1232">
        <f t="shared" si="165"/>
        <v>0</v>
      </c>
      <c r="X241" s="1233">
        <f t="shared" si="165"/>
        <v>0</v>
      </c>
      <c r="Y241" s="1232">
        <f t="shared" si="165"/>
        <v>0</v>
      </c>
      <c r="Z241" s="1051">
        <f t="shared" si="165"/>
        <v>0</v>
      </c>
    </row>
    <row r="242" spans="1:26">
      <c r="A242" s="1052" t="s">
        <v>928</v>
      </c>
      <c r="B242" s="1053"/>
      <c r="C242" s="1236">
        <f t="shared" si="163"/>
        <v>0</v>
      </c>
      <c r="D242" s="1232">
        <f t="shared" si="163"/>
        <v>0</v>
      </c>
      <c r="E242" s="1233">
        <f t="shared" si="163"/>
        <v>6.6148700139935276E-2</v>
      </c>
      <c r="F242" s="1233">
        <f t="shared" si="163"/>
        <v>7.915107335450923E-2</v>
      </c>
      <c r="G242" s="1051">
        <f t="shared" si="163"/>
        <v>7.4648029952929712E-2</v>
      </c>
      <c r="H242" s="1234">
        <f t="shared" si="163"/>
        <v>4.834655899379061E-2</v>
      </c>
      <c r="I242" s="1234">
        <f t="shared" si="163"/>
        <v>6.5988992934242499E-2</v>
      </c>
      <c r="J242" s="1234">
        <f t="shared" si="163"/>
        <v>7.8959917816390751E-2</v>
      </c>
      <c r="K242" s="1076">
        <f t="shared" si="163"/>
        <v>7.4467740335019184E-2</v>
      </c>
      <c r="L242" s="1221"/>
      <c r="M242" s="1232">
        <f t="shared" si="164"/>
        <v>0</v>
      </c>
      <c r="N242" s="1235">
        <f t="shared" si="164"/>
        <v>4.8158107370892399E-2</v>
      </c>
      <c r="O242" s="1232">
        <f t="shared" si="164"/>
        <v>4.7705194351108475E-2</v>
      </c>
      <c r="P242" s="1233">
        <f t="shared" si="164"/>
        <v>4.4767348585459991E-2</v>
      </c>
      <c r="Q242" s="1233">
        <f t="shared" si="164"/>
        <v>4.218103711154142E-2</v>
      </c>
      <c r="R242" s="1232">
        <f t="shared" si="164"/>
        <v>-2.5249331625795119</v>
      </c>
      <c r="S242" s="1233">
        <f t="shared" si="164"/>
        <v>-4.0946337578674967</v>
      </c>
      <c r="T242" s="1233">
        <f t="shared" si="164"/>
        <v>-3.4682503312774697</v>
      </c>
      <c r="U242" s="1236"/>
      <c r="V242" s="1221"/>
      <c r="W242" s="1232">
        <f t="shared" si="165"/>
        <v>4.7705194351108475E-2</v>
      </c>
      <c r="X242" s="1233">
        <f t="shared" si="165"/>
        <v>6.6148700139935276E-2</v>
      </c>
      <c r="Y242" s="1232">
        <f t="shared" si="165"/>
        <v>-2.5249331625795119</v>
      </c>
      <c r="Z242" s="1051">
        <f t="shared" si="165"/>
        <v>-2.5249331625795119</v>
      </c>
    </row>
    <row r="243" spans="1:26">
      <c r="A243" s="1052" t="s">
        <v>929</v>
      </c>
      <c r="B243" s="1053"/>
      <c r="C243" s="1232">
        <f t="shared" si="163"/>
        <v>0.21852043558783066</v>
      </c>
      <c r="D243" s="1232">
        <f t="shared" si="163"/>
        <v>0.19257687862445766</v>
      </c>
      <c r="E243" s="1233">
        <f t="shared" si="163"/>
        <v>0.19565042393754031</v>
      </c>
      <c r="F243" s="1233">
        <f t="shared" si="163"/>
        <v>0.18361369419872572</v>
      </c>
      <c r="G243" s="1051">
        <f t="shared" si="163"/>
        <v>0.17309432706777617</v>
      </c>
      <c r="H243" s="1234">
        <f t="shared" si="163"/>
        <v>0.19211178530455517</v>
      </c>
      <c r="I243" s="1234">
        <f t="shared" si="163"/>
        <v>0.19517805210810799</v>
      </c>
      <c r="J243" s="1234">
        <f t="shared" si="163"/>
        <v>0.18317025391380024</v>
      </c>
      <c r="K243" s="1076">
        <f t="shared" si="163"/>
        <v>0.17267627035403293</v>
      </c>
      <c r="L243" s="1221"/>
      <c r="M243" s="1232">
        <f t="shared" si="164"/>
        <v>0</v>
      </c>
      <c r="N243" s="1235">
        <f t="shared" si="164"/>
        <v>0.19136294653563335</v>
      </c>
      <c r="O243" s="1232">
        <f t="shared" si="164"/>
        <v>0.18074633899021061</v>
      </c>
      <c r="P243" s="1233">
        <f t="shared" si="164"/>
        <v>0.16961537361250603</v>
      </c>
      <c r="Q243" s="1233">
        <f t="shared" si="164"/>
        <v>0.15981630798123278</v>
      </c>
      <c r="R243" s="1232">
        <f t="shared" si="164"/>
        <v>-1.8981870834007228</v>
      </c>
      <c r="S243" s="1233">
        <f t="shared" si="164"/>
        <v>-1.5156198390436939</v>
      </c>
      <c r="T243" s="1233">
        <f t="shared" si="164"/>
        <v>-1.2758440545039043</v>
      </c>
      <c r="U243" s="1236"/>
      <c r="V243" s="1221"/>
      <c r="W243" s="1232">
        <f t="shared" si="165"/>
        <v>0.18074633899021061</v>
      </c>
      <c r="X243" s="1233">
        <f t="shared" si="165"/>
        <v>0.19565042393754031</v>
      </c>
      <c r="Y243" s="1232">
        <f t="shared" si="165"/>
        <v>-1.8981870834007228</v>
      </c>
      <c r="Z243" s="1051">
        <f t="shared" si="165"/>
        <v>-1.8981870834007233</v>
      </c>
    </row>
    <row r="244" spans="1:26">
      <c r="A244" s="1052" t="s">
        <v>432</v>
      </c>
      <c r="B244" s="1053"/>
      <c r="C244" s="1232">
        <f t="shared" ref="C244:K259" si="166">C20/C$179*100</f>
        <v>5.3239771424109364E-2</v>
      </c>
      <c r="D244" s="1232">
        <f t="shared" si="166"/>
        <v>1.0578391120912838E-2</v>
      </c>
      <c r="E244" s="1233">
        <f t="shared" si="166"/>
        <v>5.5100358758029377E-2</v>
      </c>
      <c r="F244" s="1233">
        <f t="shared" si="166"/>
        <v>5.291072546003478E-2</v>
      </c>
      <c r="G244" s="1051">
        <f t="shared" si="166"/>
        <v>4.986615454310963E-2</v>
      </c>
      <c r="H244" s="1234">
        <f t="shared" si="166"/>
        <v>1.0552843199060564E-2</v>
      </c>
      <c r="I244" s="1234">
        <f t="shared" si="166"/>
        <v>5.4967326297659054E-2</v>
      </c>
      <c r="J244" s="1234">
        <f t="shared" si="166"/>
        <v>5.2782942250421773E-2</v>
      </c>
      <c r="K244" s="1076">
        <f t="shared" si="166"/>
        <v>4.9745718009755524E-2</v>
      </c>
      <c r="L244" s="1221"/>
      <c r="M244" s="1232">
        <f t="shared" ref="M244:T259" si="167">M20/M$179*100</f>
        <v>0</v>
      </c>
      <c r="N244" s="1235">
        <f t="shared" si="167"/>
        <v>1.0511708928733099E-2</v>
      </c>
      <c r="O244" s="1232">
        <f t="shared" si="167"/>
        <v>5.470815046837945E-2</v>
      </c>
      <c r="P244" s="1233">
        <f t="shared" si="167"/>
        <v>5.2474845821980719E-2</v>
      </c>
      <c r="Q244" s="1233">
        <f t="shared" si="167"/>
        <v>4.940918290082507E-2</v>
      </c>
      <c r="R244" s="1232">
        <f t="shared" si="167"/>
        <v>0</v>
      </c>
      <c r="S244" s="1233">
        <f t="shared" si="167"/>
        <v>0</v>
      </c>
      <c r="T244" s="1233">
        <f t="shared" si="167"/>
        <v>0</v>
      </c>
      <c r="U244" s="1236"/>
      <c r="V244" s="1221"/>
      <c r="W244" s="1232">
        <f t="shared" ref="W244:Z259" si="168">W20/W$179*100</f>
        <v>5.470815046837945E-2</v>
      </c>
      <c r="X244" s="1233">
        <f t="shared" si="168"/>
        <v>5.5100358758029377E-2</v>
      </c>
      <c r="Y244" s="1232">
        <f t="shared" si="168"/>
        <v>0</v>
      </c>
      <c r="Z244" s="1051">
        <f t="shared" si="168"/>
        <v>0</v>
      </c>
    </row>
    <row r="245" spans="1:26">
      <c r="A245" s="790" t="s">
        <v>433</v>
      </c>
      <c r="B245" s="1060" t="s">
        <v>930</v>
      </c>
      <c r="C245" s="1224">
        <f t="shared" si="166"/>
        <v>7.3401834729802369</v>
      </c>
      <c r="D245" s="1243">
        <f t="shared" si="166"/>
        <v>7.1494399784884619</v>
      </c>
      <c r="E245" s="1244">
        <f t="shared" si="166"/>
        <v>7.1421321403200801</v>
      </c>
      <c r="F245" s="1244">
        <f t="shared" si="166"/>
        <v>7.1123653375315623</v>
      </c>
      <c r="G245" s="1067">
        <f t="shared" si="166"/>
        <v>7.1369585500035431</v>
      </c>
      <c r="H245" s="1245">
        <f t="shared" si="166"/>
        <v>7.1742252642334403</v>
      </c>
      <c r="I245" s="1245">
        <f t="shared" si="166"/>
        <v>7.1380053193607917</v>
      </c>
      <c r="J245" s="1245">
        <f t="shared" si="166"/>
        <v>7.1043490209884208</v>
      </c>
      <c r="K245" s="1246">
        <f t="shared" si="166"/>
        <v>7.1450209151380655</v>
      </c>
      <c r="L245" s="1221"/>
      <c r="M245" s="1247">
        <f t="shared" si="167"/>
        <v>0</v>
      </c>
      <c r="N245" s="1248">
        <f t="shared" si="167"/>
        <v>7.1462606185126178</v>
      </c>
      <c r="O245" s="1247">
        <f t="shared" si="167"/>
        <v>7.0946423077022907</v>
      </c>
      <c r="P245" s="1244">
        <f t="shared" si="167"/>
        <v>7.0537504135007065</v>
      </c>
      <c r="Q245" s="1244">
        <f t="shared" si="167"/>
        <v>7.0872204133252303</v>
      </c>
      <c r="R245" s="1247">
        <f t="shared" si="167"/>
        <v>-1.3636674209907493</v>
      </c>
      <c r="S245" s="1244">
        <f t="shared" si="167"/>
        <v>-1.1083002308214991</v>
      </c>
      <c r="T245" s="1244">
        <f t="shared" si="167"/>
        <v>-1.0327048770397993</v>
      </c>
      <c r="U245" s="1224"/>
      <c r="V245" s="1221"/>
      <c r="W245" s="1247">
        <f t="shared" si="168"/>
        <v>7.0946423077022907</v>
      </c>
      <c r="X245" s="1244">
        <f t="shared" si="168"/>
        <v>7.1421321403200801</v>
      </c>
      <c r="Y245" s="1247">
        <f t="shared" si="168"/>
        <v>0.4704046841396865</v>
      </c>
      <c r="Z245" s="1067">
        <f t="shared" si="168"/>
        <v>0.4704046841396865</v>
      </c>
    </row>
    <row r="246" spans="1:26">
      <c r="A246" s="1052" t="s">
        <v>434</v>
      </c>
      <c r="B246" s="1053"/>
      <c r="C246" s="1236">
        <f t="shared" si="166"/>
        <v>3.3043375846844012</v>
      </c>
      <c r="D246" s="1249">
        <f t="shared" si="166"/>
        <v>3.3876212630128464</v>
      </c>
      <c r="E246" s="1233">
        <f t="shared" si="166"/>
        <v>3.438270878564083</v>
      </c>
      <c r="F246" s="1233">
        <f t="shared" si="166"/>
        <v>3.4602844250032989</v>
      </c>
      <c r="G246" s="1051">
        <f t="shared" si="166"/>
        <v>3.5068020827733548</v>
      </c>
      <c r="H246" s="1241">
        <f t="shared" si="166"/>
        <v>3.3530019666271054</v>
      </c>
      <c r="I246" s="1241">
        <f t="shared" si="166"/>
        <v>3.4287609485983159</v>
      </c>
      <c r="J246" s="1241">
        <f t="shared" si="166"/>
        <v>3.4632304089338954</v>
      </c>
      <c r="K246" s="1242">
        <f t="shared" si="166"/>
        <v>3.5253038257980749</v>
      </c>
      <c r="L246" s="1221"/>
      <c r="M246" s="1249">
        <f t="shared" si="167"/>
        <v>0</v>
      </c>
      <c r="N246" s="1235">
        <f t="shared" si="167"/>
        <v>3.3399321913350746</v>
      </c>
      <c r="O246" s="1232">
        <f t="shared" si="167"/>
        <v>3.4206991911025684</v>
      </c>
      <c r="P246" s="1233">
        <f t="shared" si="167"/>
        <v>3.4561578748545387</v>
      </c>
      <c r="Q246" s="1233">
        <f t="shared" si="167"/>
        <v>3.5101730267098468</v>
      </c>
      <c r="R246" s="1232">
        <f t="shared" si="167"/>
        <v>1.1386729142877867</v>
      </c>
      <c r="S246" s="1233">
        <f t="shared" si="167"/>
        <v>1.5953467241234427</v>
      </c>
      <c r="T246" s="1233">
        <f t="shared" si="167"/>
        <v>0.95136327718790881</v>
      </c>
      <c r="U246" s="1236"/>
      <c r="V246" s="1221"/>
      <c r="W246" s="1232">
        <f t="shared" si="168"/>
        <v>3.4206991911025684</v>
      </c>
      <c r="X246" s="1233">
        <f t="shared" si="168"/>
        <v>3.438270878564083</v>
      </c>
      <c r="Y246" s="1232">
        <f t="shared" si="168"/>
        <v>0.96966858569156777</v>
      </c>
      <c r="Z246" s="1051">
        <f t="shared" si="168"/>
        <v>0.96966858569156789</v>
      </c>
    </row>
    <row r="247" spans="1:26">
      <c r="A247" s="1052" t="s">
        <v>435</v>
      </c>
      <c r="B247" s="1053"/>
      <c r="C247" s="1236">
        <f t="shared" si="166"/>
        <v>3.3505669950868446</v>
      </c>
      <c r="D247" s="1249">
        <f t="shared" si="166"/>
        <v>3.0295343338502687</v>
      </c>
      <c r="E247" s="1233">
        <f t="shared" si="166"/>
        <v>2.9258195802840641</v>
      </c>
      <c r="F247" s="1233">
        <f t="shared" si="166"/>
        <v>2.961078395406612</v>
      </c>
      <c r="G247" s="1051">
        <f t="shared" si="166"/>
        <v>2.9613210091480844</v>
      </c>
      <c r="H247" s="1234">
        <f t="shared" si="166"/>
        <v>3.0819364974238406</v>
      </c>
      <c r="I247" s="1234">
        <f t="shared" si="166"/>
        <v>2.9357361425168129</v>
      </c>
      <c r="J247" s="1234">
        <f t="shared" si="166"/>
        <v>2.9609826747482435</v>
      </c>
      <c r="K247" s="1076">
        <f t="shared" si="166"/>
        <v>2.9579414041407399</v>
      </c>
      <c r="L247" s="1221"/>
      <c r="M247" s="1232">
        <f t="shared" si="167"/>
        <v>0</v>
      </c>
      <c r="N247" s="1235">
        <f t="shared" si="167"/>
        <v>3.0252889736131809</v>
      </c>
      <c r="O247" s="1232">
        <f t="shared" si="167"/>
        <v>2.8997054231722319</v>
      </c>
      <c r="P247" s="1233">
        <f t="shared" si="167"/>
        <v>2.9176717563018744</v>
      </c>
      <c r="Q247" s="1233">
        <f t="shared" si="167"/>
        <v>2.9163496180844035</v>
      </c>
      <c r="R247" s="1232">
        <f t="shared" si="167"/>
        <v>-3.1172014352833477</v>
      </c>
      <c r="S247" s="1233">
        <f t="shared" si="167"/>
        <v>-3.1594396279841224</v>
      </c>
      <c r="T247" s="1233">
        <f t="shared" si="167"/>
        <v>-2.3549847928426777</v>
      </c>
      <c r="U247" s="1236"/>
      <c r="V247" s="1221"/>
      <c r="W247" s="1232">
        <f t="shared" si="168"/>
        <v>2.8997054231722319</v>
      </c>
      <c r="X247" s="1233">
        <f t="shared" si="168"/>
        <v>2.9258195802840641</v>
      </c>
      <c r="Y247" s="1232">
        <f t="shared" si="168"/>
        <v>-0.74289284496786645</v>
      </c>
      <c r="Z247" s="1051">
        <f t="shared" si="168"/>
        <v>-0.74289284496786656</v>
      </c>
    </row>
    <row r="248" spans="1:26">
      <c r="A248" s="1052" t="s">
        <v>436</v>
      </c>
      <c r="B248" s="1053"/>
      <c r="C248" s="1236">
        <f t="shared" si="166"/>
        <v>0.22082839426479789</v>
      </c>
      <c r="D248" s="1249">
        <f t="shared" si="166"/>
        <v>0.20279535853584391</v>
      </c>
      <c r="E248" s="1233">
        <f t="shared" si="166"/>
        <v>0.27111804568502723</v>
      </c>
      <c r="F248" s="1233">
        <f t="shared" si="166"/>
        <v>0.25371383181765694</v>
      </c>
      <c r="G248" s="1051">
        <f t="shared" si="166"/>
        <v>0.2499481370039304</v>
      </c>
      <c r="H248" s="1234">
        <f t="shared" si="166"/>
        <v>0.19952428838607675</v>
      </c>
      <c r="I248" s="1234">
        <f t="shared" si="166"/>
        <v>0.25641169835137212</v>
      </c>
      <c r="J248" s="1234">
        <f t="shared" si="166"/>
        <v>0.23805388616796294</v>
      </c>
      <c r="K248" s="1076">
        <f t="shared" si="166"/>
        <v>0.23363445103106303</v>
      </c>
      <c r="L248" s="1221"/>
      <c r="M248" s="1249">
        <f t="shared" si="167"/>
        <v>0</v>
      </c>
      <c r="N248" s="1235">
        <f t="shared" si="167"/>
        <v>0.19874655618058937</v>
      </c>
      <c r="O248" s="1232">
        <f t="shared" si="167"/>
        <v>0.25621459097773375</v>
      </c>
      <c r="P248" s="1233">
        <f t="shared" si="167"/>
        <v>0.23754988195174831</v>
      </c>
      <c r="Q248" s="1233">
        <f t="shared" si="167"/>
        <v>0.23307157782692564</v>
      </c>
      <c r="R248" s="1232">
        <f t="shared" si="167"/>
        <v>0.14215881152224594</v>
      </c>
      <c r="S248" s="1233">
        <f t="shared" si="167"/>
        <v>0.10749270686925368</v>
      </c>
      <c r="T248" s="1233">
        <f t="shared" si="167"/>
        <v>0.11105334765559768</v>
      </c>
      <c r="U248" s="1236"/>
      <c r="V248" s="1221"/>
      <c r="W248" s="1232">
        <f t="shared" si="168"/>
        <v>0.25621459097773375</v>
      </c>
      <c r="X248" s="1233">
        <f t="shared" si="168"/>
        <v>0.27111804568502723</v>
      </c>
      <c r="Y248" s="1232">
        <f t="shared" si="168"/>
        <v>-1.8226309208115168</v>
      </c>
      <c r="Z248" s="1051">
        <f t="shared" si="168"/>
        <v>-1.8226309208115168</v>
      </c>
    </row>
    <row r="249" spans="1:26">
      <c r="A249" s="1052" t="s">
        <v>437</v>
      </c>
      <c r="B249" s="1053"/>
      <c r="C249" s="1236">
        <f t="shared" si="166"/>
        <v>0.13677458474426252</v>
      </c>
      <c r="D249" s="1232">
        <f t="shared" si="166"/>
        <v>0.14145895490292687</v>
      </c>
      <c r="E249" s="1233">
        <f t="shared" si="166"/>
        <v>0.13601044302590104</v>
      </c>
      <c r="F249" s="1233">
        <f t="shared" si="166"/>
        <v>0.13020631499879032</v>
      </c>
      <c r="G249" s="1051">
        <f t="shared" si="166"/>
        <v>0.12525457612999341</v>
      </c>
      <c r="H249" s="1234">
        <f t="shared" si="166"/>
        <v>0.13826792491447989</v>
      </c>
      <c r="I249" s="1234">
        <f t="shared" si="166"/>
        <v>0.13294241889757233</v>
      </c>
      <c r="J249" s="1234">
        <f t="shared" si="166"/>
        <v>0.1272661862337349</v>
      </c>
      <c r="K249" s="1076">
        <f t="shared" si="166"/>
        <v>0.12240449564706181</v>
      </c>
      <c r="L249" s="1221"/>
      <c r="M249" s="1249">
        <f t="shared" si="167"/>
        <v>0</v>
      </c>
      <c r="N249" s="1235">
        <f t="shared" si="167"/>
        <v>0.13772896587815536</v>
      </c>
      <c r="O249" s="1232">
        <f t="shared" si="167"/>
        <v>0.13231558357584641</v>
      </c>
      <c r="P249" s="1233">
        <f t="shared" si="167"/>
        <v>0.12680384745265461</v>
      </c>
      <c r="Q249" s="1233">
        <f t="shared" si="167"/>
        <v>0.12183157408404369</v>
      </c>
      <c r="R249" s="1232">
        <f t="shared" si="167"/>
        <v>2.2149048357415408E-14</v>
      </c>
      <c r="S249" s="1233">
        <f t="shared" si="167"/>
        <v>3.4051836040492146E-2</v>
      </c>
      <c r="T249" s="1233">
        <f t="shared" si="167"/>
        <v>2.7843622936210934E-2</v>
      </c>
      <c r="U249" s="1236"/>
      <c r="V249" s="1221"/>
      <c r="W249" s="1232">
        <f t="shared" si="168"/>
        <v>0.13231558357584641</v>
      </c>
      <c r="X249" s="1233">
        <f t="shared" si="168"/>
        <v>0.13601044302590104</v>
      </c>
      <c r="Y249" s="1232">
        <f t="shared" si="168"/>
        <v>-0.38307109255362365</v>
      </c>
      <c r="Z249" s="1051">
        <f t="shared" si="168"/>
        <v>-0.3830710925536237</v>
      </c>
    </row>
    <row r="250" spans="1:26">
      <c r="A250" s="1052" t="s">
        <v>438</v>
      </c>
      <c r="B250" s="1053"/>
      <c r="C250" s="1236">
        <f t="shared" si="166"/>
        <v>8.1985641958644384E-2</v>
      </c>
      <c r="D250" s="1233">
        <f t="shared" si="166"/>
        <v>8.2051540600622738E-2</v>
      </c>
      <c r="E250" s="1233">
        <f t="shared" si="166"/>
        <v>7.7562982388321655E-2</v>
      </c>
      <c r="F250" s="1233">
        <f t="shared" si="166"/>
        <v>7.2868588125618E-2</v>
      </c>
      <c r="G250" s="1051">
        <f t="shared" si="166"/>
        <v>6.8722966328781207E-2</v>
      </c>
      <c r="H250" s="1234">
        <f t="shared" si="166"/>
        <v>8.2601962564809464E-2</v>
      </c>
      <c r="I250" s="1234">
        <f t="shared" si="166"/>
        <v>7.8083351775991072E-2</v>
      </c>
      <c r="J250" s="1234">
        <f t="shared" si="166"/>
        <v>7.3357410986016891E-2</v>
      </c>
      <c r="K250" s="1076">
        <f t="shared" si="166"/>
        <v>6.9183970602132661E-2</v>
      </c>
      <c r="L250" s="1221"/>
      <c r="M250" s="1249">
        <f t="shared" si="167"/>
        <v>0</v>
      </c>
      <c r="N250" s="1235">
        <f t="shared" si="167"/>
        <v>8.2279985691503646E-2</v>
      </c>
      <c r="O250" s="1232">
        <f t="shared" si="167"/>
        <v>7.771518183190676E-2</v>
      </c>
      <c r="P250" s="1233">
        <f t="shared" si="167"/>
        <v>7.2929220450194787E-2</v>
      </c>
      <c r="Q250" s="1233">
        <f t="shared" si="167"/>
        <v>6.8715933633035881E-2</v>
      </c>
      <c r="R250" s="1232">
        <f t="shared" si="167"/>
        <v>0</v>
      </c>
      <c r="S250" s="1233">
        <f t="shared" si="167"/>
        <v>0</v>
      </c>
      <c r="T250" s="1233">
        <f t="shared" si="167"/>
        <v>0</v>
      </c>
      <c r="U250" s="1236"/>
      <c r="V250" s="1221"/>
      <c r="W250" s="1232">
        <f t="shared" si="168"/>
        <v>7.771518183190676E-2</v>
      </c>
      <c r="X250" s="1233">
        <f t="shared" si="168"/>
        <v>7.7562982388321655E-2</v>
      </c>
      <c r="Y250" s="1232">
        <f t="shared" si="168"/>
        <v>9.8945100425136198E-2</v>
      </c>
      <c r="Z250" s="1051">
        <f t="shared" si="168"/>
        <v>9.8945100425136198E-2</v>
      </c>
    </row>
    <row r="251" spans="1:26">
      <c r="A251" s="1052" t="s">
        <v>931</v>
      </c>
      <c r="B251" s="1053"/>
      <c r="C251" s="1236">
        <f t="shared" si="166"/>
        <v>0.11423471281736249</v>
      </c>
      <c r="D251" s="1249">
        <f t="shared" si="166"/>
        <v>0.2018757321052356</v>
      </c>
      <c r="E251" s="1250">
        <f t="shared" si="166"/>
        <v>0.1962705680013522</v>
      </c>
      <c r="F251" s="1250">
        <f t="shared" si="166"/>
        <v>0.14302305025444445</v>
      </c>
      <c r="G251" s="1251">
        <f t="shared" si="166"/>
        <v>0.13887602654704528</v>
      </c>
      <c r="H251" s="1234">
        <f t="shared" si="166"/>
        <v>0.21596564462092391</v>
      </c>
      <c r="I251" s="1234">
        <f t="shared" si="166"/>
        <v>0.21215490730286507</v>
      </c>
      <c r="J251" s="1234">
        <f t="shared" si="166"/>
        <v>0.15265471980747028</v>
      </c>
      <c r="K251" s="1076">
        <f t="shared" si="166"/>
        <v>0.15248610970035745</v>
      </c>
      <c r="L251" s="1221"/>
      <c r="M251" s="1249">
        <f t="shared" si="167"/>
        <v>0</v>
      </c>
      <c r="N251" s="1235">
        <f t="shared" si="167"/>
        <v>0.21512382511885142</v>
      </c>
      <c r="O251" s="1232">
        <f t="shared" si="167"/>
        <v>0.21115457805748389</v>
      </c>
      <c r="P251" s="1233">
        <f t="shared" si="167"/>
        <v>0.15176366728269414</v>
      </c>
      <c r="Q251" s="1233">
        <f t="shared" si="167"/>
        <v>0.1514545248405646</v>
      </c>
      <c r="R251" s="1232">
        <f t="shared" si="167"/>
        <v>0</v>
      </c>
      <c r="S251" s="1233">
        <f t="shared" si="167"/>
        <v>0</v>
      </c>
      <c r="T251" s="1233">
        <f t="shared" si="167"/>
        <v>0</v>
      </c>
      <c r="U251" s="1236"/>
      <c r="V251" s="1221"/>
      <c r="W251" s="1232">
        <f t="shared" si="168"/>
        <v>0.21115457805748389</v>
      </c>
      <c r="X251" s="1233">
        <f t="shared" si="168"/>
        <v>0.1962705680013522</v>
      </c>
      <c r="Y251" s="1232">
        <f t="shared" si="168"/>
        <v>2.2872878042330949</v>
      </c>
      <c r="Z251" s="1051">
        <f t="shared" si="168"/>
        <v>2.2872878042330949</v>
      </c>
    </row>
    <row r="252" spans="1:26">
      <c r="A252" s="1052" t="s">
        <v>432</v>
      </c>
      <c r="B252" s="1053"/>
      <c r="C252" s="1252">
        <f t="shared" si="166"/>
        <v>0.13145555942392317</v>
      </c>
      <c r="D252" s="1249">
        <f t="shared" si="166"/>
        <v>0.10410279548071565</v>
      </c>
      <c r="E252" s="1250">
        <f t="shared" si="166"/>
        <v>9.7079642371330946E-2</v>
      </c>
      <c r="F252" s="1250">
        <f t="shared" si="166"/>
        <v>9.119073192514178E-2</v>
      </c>
      <c r="G252" s="1251">
        <f t="shared" si="166"/>
        <v>8.6033752072353475E-2</v>
      </c>
      <c r="H252" s="1234">
        <f t="shared" si="166"/>
        <v>0.10292697969620324</v>
      </c>
      <c r="I252" s="1234">
        <f t="shared" si="166"/>
        <v>9.3915851917862642E-2</v>
      </c>
      <c r="J252" s="1234">
        <f t="shared" si="166"/>
        <v>8.8803734111096932E-2</v>
      </c>
      <c r="K252" s="1076">
        <f t="shared" si="166"/>
        <v>8.4066658218636209E-2</v>
      </c>
      <c r="L252" s="1221"/>
      <c r="M252" s="1232">
        <f t="shared" si="167"/>
        <v>0</v>
      </c>
      <c r="N252" s="1235">
        <f t="shared" si="167"/>
        <v>0.10252577727833825</v>
      </c>
      <c r="O252" s="1232">
        <f t="shared" si="167"/>
        <v>9.6837758984520572E-2</v>
      </c>
      <c r="P252" s="1233">
        <f t="shared" si="167"/>
        <v>9.0874165207002464E-2</v>
      </c>
      <c r="Q252" s="1233">
        <f t="shared" si="167"/>
        <v>8.5624158146410598E-2</v>
      </c>
      <c r="R252" s="1232">
        <f t="shared" si="167"/>
        <v>0.47270228848254353</v>
      </c>
      <c r="S252" s="1233">
        <f t="shared" si="167"/>
        <v>0.3142481301294347</v>
      </c>
      <c r="T252" s="1233">
        <f t="shared" si="167"/>
        <v>0.23201966802316129</v>
      </c>
      <c r="U252" s="1236"/>
      <c r="V252" s="1221"/>
      <c r="W252" s="1232">
        <f t="shared" si="168"/>
        <v>9.6837758984520572E-2</v>
      </c>
      <c r="X252" s="1233">
        <f t="shared" si="168"/>
        <v>9.7079642371330946E-2</v>
      </c>
      <c r="Y252" s="1232">
        <f t="shared" si="168"/>
        <v>6.3098052123060702E-2</v>
      </c>
      <c r="Z252" s="1051">
        <f t="shared" si="168"/>
        <v>6.3098052123060702E-2</v>
      </c>
    </row>
    <row r="253" spans="1:26">
      <c r="A253" s="790" t="s">
        <v>440</v>
      </c>
      <c r="B253" s="1060" t="s">
        <v>932</v>
      </c>
      <c r="C253" s="1224">
        <f t="shared" si="166"/>
        <v>4.9289026737152933E-6</v>
      </c>
      <c r="D253" s="1247">
        <f t="shared" si="166"/>
        <v>0</v>
      </c>
      <c r="E253" s="1244">
        <f t="shared" si="166"/>
        <v>0</v>
      </c>
      <c r="F253" s="1244">
        <f t="shared" si="166"/>
        <v>0</v>
      </c>
      <c r="G253" s="1067">
        <f t="shared" si="166"/>
        <v>0</v>
      </c>
      <c r="H253" s="1245">
        <f t="shared" si="166"/>
        <v>0</v>
      </c>
      <c r="I253" s="1245">
        <f t="shared" si="166"/>
        <v>0</v>
      </c>
      <c r="J253" s="1245">
        <f t="shared" si="166"/>
        <v>0</v>
      </c>
      <c r="K253" s="1246">
        <f t="shared" si="166"/>
        <v>0</v>
      </c>
      <c r="L253" s="1221"/>
      <c r="M253" s="1247">
        <f t="shared" si="167"/>
        <v>0</v>
      </c>
      <c r="N253" s="1248">
        <f t="shared" si="167"/>
        <v>0</v>
      </c>
      <c r="O253" s="1247">
        <f t="shared" si="167"/>
        <v>0</v>
      </c>
      <c r="P253" s="1244">
        <f t="shared" si="167"/>
        <v>0</v>
      </c>
      <c r="Q253" s="1244">
        <f t="shared" si="167"/>
        <v>0</v>
      </c>
      <c r="R253" s="1247">
        <f t="shared" si="167"/>
        <v>0</v>
      </c>
      <c r="S253" s="1244">
        <f t="shared" si="167"/>
        <v>0</v>
      </c>
      <c r="T253" s="1244">
        <f t="shared" si="167"/>
        <v>0</v>
      </c>
      <c r="U253" s="1224"/>
      <c r="V253" s="1221"/>
      <c r="W253" s="1247">
        <f t="shared" si="168"/>
        <v>0</v>
      </c>
      <c r="X253" s="1244">
        <f t="shared" si="168"/>
        <v>0</v>
      </c>
      <c r="Y253" s="1247">
        <f t="shared" si="168"/>
        <v>0</v>
      </c>
      <c r="Z253" s="1067">
        <f t="shared" si="168"/>
        <v>0</v>
      </c>
    </row>
    <row r="254" spans="1:26">
      <c r="A254" s="790" t="s">
        <v>441</v>
      </c>
      <c r="B254" s="1060" t="s">
        <v>933</v>
      </c>
      <c r="C254" s="1224">
        <f t="shared" si="166"/>
        <v>14.314880187124803</v>
      </c>
      <c r="D254" s="1243">
        <f t="shared" si="166"/>
        <v>14.777566948417819</v>
      </c>
      <c r="E254" s="1244">
        <f t="shared" si="166"/>
        <v>14.646436235543147</v>
      </c>
      <c r="F254" s="1244">
        <f t="shared" si="166"/>
        <v>14.504411097736183</v>
      </c>
      <c r="G254" s="1067">
        <f t="shared" si="166"/>
        <v>14.46273305460341</v>
      </c>
      <c r="H254" s="1245">
        <f t="shared" si="166"/>
        <v>14.635070943921679</v>
      </c>
      <c r="I254" s="1245">
        <f t="shared" si="166"/>
        <v>14.527444135586256</v>
      </c>
      <c r="J254" s="1245">
        <f t="shared" si="166"/>
        <v>14.308216421560513</v>
      </c>
      <c r="K254" s="1246">
        <f t="shared" si="166"/>
        <v>14.239734971581447</v>
      </c>
      <c r="L254" s="1221"/>
      <c r="M254" s="1247">
        <f t="shared" si="167"/>
        <v>-0.10806209458834391</v>
      </c>
      <c r="N254" s="1248">
        <f t="shared" si="167"/>
        <v>14.469962330863082</v>
      </c>
      <c r="O254" s="1247">
        <f t="shared" si="167"/>
        <v>14.3964047386545</v>
      </c>
      <c r="P254" s="1244">
        <f t="shared" si="167"/>
        <v>14.232096886572156</v>
      </c>
      <c r="Q254" s="1244">
        <f t="shared" si="167"/>
        <v>14.148557735884889</v>
      </c>
      <c r="R254" s="1247">
        <f t="shared" si="167"/>
        <v>-8.7862519252055229</v>
      </c>
      <c r="S254" s="1244">
        <f t="shared" si="167"/>
        <v>0.89805231900815929</v>
      </c>
      <c r="T254" s="1244">
        <f t="shared" si="167"/>
        <v>0.56264910660424516</v>
      </c>
      <c r="U254" s="1224"/>
      <c r="V254" s="1221"/>
      <c r="W254" s="1247">
        <f t="shared" si="168"/>
        <v>14.3964047386545</v>
      </c>
      <c r="X254" s="1244">
        <f t="shared" si="168"/>
        <v>14.537437330405709</v>
      </c>
      <c r="Y254" s="1247">
        <f t="shared" si="168"/>
        <v>-5.2758777043231584</v>
      </c>
      <c r="Z254" s="1067">
        <f t="shared" si="168"/>
        <v>-5.2758777043231584</v>
      </c>
    </row>
    <row r="255" spans="1:26">
      <c r="A255" s="1052" t="s">
        <v>442</v>
      </c>
      <c r="B255" s="1053"/>
      <c r="C255" s="1249">
        <f t="shared" si="166"/>
        <v>8.1132685782725638</v>
      </c>
      <c r="D255" s="1249">
        <f t="shared" si="166"/>
        <v>8.3471453265794917</v>
      </c>
      <c r="E255" s="1233">
        <f t="shared" si="166"/>
        <v>8.3336545969944211</v>
      </c>
      <c r="F255" s="1233">
        <f t="shared" si="166"/>
        <v>8.25357475094793</v>
      </c>
      <c r="G255" s="1051">
        <f t="shared" si="166"/>
        <v>8.2325401628742476</v>
      </c>
      <c r="H255" s="1234">
        <f t="shared" si="166"/>
        <v>8.3284511181756073</v>
      </c>
      <c r="I255" s="1234">
        <f t="shared" si="166"/>
        <v>8.2989118590822386</v>
      </c>
      <c r="J255" s="1234">
        <f t="shared" si="166"/>
        <v>8.2024838990027735</v>
      </c>
      <c r="K255" s="1076">
        <f t="shared" si="166"/>
        <v>8.1648744285450565</v>
      </c>
      <c r="L255" s="1221"/>
      <c r="M255" s="1249">
        <f t="shared" si="167"/>
        <v>0</v>
      </c>
      <c r="N255" s="1235">
        <f t="shared" si="167"/>
        <v>8.2959873780022857</v>
      </c>
      <c r="O255" s="1232">
        <f t="shared" si="167"/>
        <v>8.2675719671783412</v>
      </c>
      <c r="P255" s="1233">
        <f t="shared" si="167"/>
        <v>8.1655971898616784</v>
      </c>
      <c r="Q255" s="1233">
        <f t="shared" si="167"/>
        <v>8.116860254530879</v>
      </c>
      <c r="R255" s="1232">
        <f t="shared" si="167"/>
        <v>1.0944277864552998</v>
      </c>
      <c r="S255" s="1233">
        <f t="shared" si="167"/>
        <v>1.3342479011576436</v>
      </c>
      <c r="T255" s="1233">
        <f t="shared" si="167"/>
        <v>0.78809517413601982</v>
      </c>
      <c r="U255" s="1236"/>
      <c r="V255" s="1221"/>
      <c r="W255" s="1232">
        <f t="shared" si="168"/>
        <v>8.2675719671783412</v>
      </c>
      <c r="X255" s="1233">
        <f t="shared" si="168"/>
        <v>8.3336545969944211</v>
      </c>
      <c r="Y255" s="1232">
        <f t="shared" si="168"/>
        <v>-0.95012829752312322</v>
      </c>
      <c r="Z255" s="1051">
        <f t="shared" si="168"/>
        <v>-0.95012829752312322</v>
      </c>
    </row>
    <row r="256" spans="1:26">
      <c r="A256" s="1052" t="s">
        <v>443</v>
      </c>
      <c r="B256" s="1053"/>
      <c r="C256" s="1236">
        <f t="shared" si="166"/>
        <v>3.6735641484237505</v>
      </c>
      <c r="D256" s="1249">
        <f t="shared" si="166"/>
        <v>3.9362198002396989</v>
      </c>
      <c r="E256" s="1233">
        <f t="shared" si="166"/>
        <v>3.9700438545944357</v>
      </c>
      <c r="F256" s="1233">
        <f t="shared" si="166"/>
        <v>3.9873549916175191</v>
      </c>
      <c r="G256" s="1051">
        <f t="shared" si="166"/>
        <v>4.0241901524471091</v>
      </c>
      <c r="H256" s="1234">
        <f t="shared" si="166"/>
        <v>3.9362705811861214</v>
      </c>
      <c r="I256" s="1234">
        <f t="shared" si="166"/>
        <v>3.9444524773737415</v>
      </c>
      <c r="J256" s="1234">
        <f t="shared" si="166"/>
        <v>3.9507006393130206</v>
      </c>
      <c r="K256" s="1076">
        <f t="shared" si="166"/>
        <v>3.9718036563880519</v>
      </c>
      <c r="L256" s="1221"/>
      <c r="M256" s="1249">
        <f t="shared" si="167"/>
        <v>0</v>
      </c>
      <c r="N256" s="1235">
        <f t="shared" si="167"/>
        <v>3.9209272642132156</v>
      </c>
      <c r="O256" s="1232">
        <f t="shared" si="167"/>
        <v>3.9310443681716731</v>
      </c>
      <c r="P256" s="1233">
        <f t="shared" si="167"/>
        <v>3.9355460141855101</v>
      </c>
      <c r="Q256" s="1233">
        <f t="shared" si="167"/>
        <v>3.9499536795056902</v>
      </c>
      <c r="R256" s="1249">
        <f t="shared" si="167"/>
        <v>0.72917712065892726</v>
      </c>
      <c r="S256" s="1250">
        <f t="shared" si="167"/>
        <v>0.9596715355751595</v>
      </c>
      <c r="T256" s="1250">
        <f t="shared" si="167"/>
        <v>0.54776515600658493</v>
      </c>
      <c r="U256" s="1252"/>
      <c r="V256" s="1221"/>
      <c r="W256" s="1232">
        <f t="shared" si="168"/>
        <v>3.9310443681716731</v>
      </c>
      <c r="X256" s="1233">
        <f t="shared" si="168"/>
        <v>3.9700438545944357</v>
      </c>
      <c r="Y256" s="1232">
        <f t="shared" si="168"/>
        <v>-1.5088961626884716</v>
      </c>
      <c r="Z256" s="1051">
        <f t="shared" si="168"/>
        <v>-1.5088961626884718</v>
      </c>
    </row>
    <row r="257" spans="1:26">
      <c r="A257" s="1052" t="s">
        <v>934</v>
      </c>
      <c r="B257" s="1053"/>
      <c r="C257" s="1236">
        <f t="shared" si="166"/>
        <v>1.7153813530197646</v>
      </c>
      <c r="D257" s="1232">
        <f t="shared" si="166"/>
        <v>1.5588589989319934</v>
      </c>
      <c r="E257" s="1233">
        <f t="shared" si="166"/>
        <v>1.3876365919388751</v>
      </c>
      <c r="F257" s="1233">
        <f t="shared" si="166"/>
        <v>1.3491090503479404</v>
      </c>
      <c r="G257" s="1051">
        <f t="shared" si="166"/>
        <v>1.3267499291826312</v>
      </c>
      <c r="H257" s="1234">
        <f t="shared" si="166"/>
        <v>1.5550941912756859</v>
      </c>
      <c r="I257" s="1234">
        <f t="shared" si="166"/>
        <v>1.4400202753709432</v>
      </c>
      <c r="J257" s="1234">
        <f t="shared" si="166"/>
        <v>1.3458508549050971</v>
      </c>
      <c r="K257" s="1076">
        <f t="shared" si="166"/>
        <v>1.3235455681573505</v>
      </c>
      <c r="L257" s="1221"/>
      <c r="M257" s="1232">
        <f t="shared" si="167"/>
        <v>-0.10806209458834391</v>
      </c>
      <c r="N257" s="1235">
        <f t="shared" si="167"/>
        <v>1.4409704445200571</v>
      </c>
      <c r="O257" s="1232">
        <f t="shared" si="167"/>
        <v>1.4057266161989566</v>
      </c>
      <c r="P257" s="1233">
        <f t="shared" si="167"/>
        <v>1.373572659240881</v>
      </c>
      <c r="Q257" s="1233">
        <f t="shared" si="167"/>
        <v>1.3529256951273236</v>
      </c>
      <c r="R257" s="1232">
        <f t="shared" si="167"/>
        <v>-3.8639448668147023</v>
      </c>
      <c r="S257" s="1233">
        <f t="shared" si="167"/>
        <v>4.3187070331184119</v>
      </c>
      <c r="T257" s="1233">
        <f t="shared" si="167"/>
        <v>4.1831302143065709</v>
      </c>
      <c r="U257" s="1236"/>
      <c r="V257" s="1221"/>
      <c r="W257" s="1232">
        <f t="shared" si="168"/>
        <v>1.4057266161989566</v>
      </c>
      <c r="X257" s="1233">
        <f t="shared" si="168"/>
        <v>1.3876365919388751</v>
      </c>
      <c r="Y257" s="1232">
        <f t="shared" si="168"/>
        <v>3.929058721393667</v>
      </c>
      <c r="Z257" s="1051">
        <f t="shared" si="168"/>
        <v>3.929058721393667</v>
      </c>
    </row>
    <row r="258" spans="1:26">
      <c r="A258" s="1052" t="s">
        <v>935</v>
      </c>
      <c r="B258" s="1053"/>
      <c r="C258" s="1232">
        <f t="shared" si="166"/>
        <v>0.26398513536602758</v>
      </c>
      <c r="D258" s="1232">
        <f t="shared" si="166"/>
        <v>0.25382989727815036</v>
      </c>
      <c r="E258" s="1233">
        <f t="shared" si="166"/>
        <v>0.31163747665081232</v>
      </c>
      <c r="F258" s="1233">
        <f t="shared" si="166"/>
        <v>0.30729197018557203</v>
      </c>
      <c r="G258" s="1051">
        <f t="shared" si="166"/>
        <v>0.30124242188312456</v>
      </c>
      <c r="H258" s="1234">
        <f t="shared" si="166"/>
        <v>0.25321687150652689</v>
      </c>
      <c r="I258" s="1234">
        <f t="shared" si="166"/>
        <v>0.31088506956677647</v>
      </c>
      <c r="J258" s="1234">
        <f t="shared" si="166"/>
        <v>0.30654983796384938</v>
      </c>
      <c r="K258" s="1076">
        <f t="shared" si="166"/>
        <v>0.30051486241271391</v>
      </c>
      <c r="L258" s="1221"/>
      <c r="M258" s="1232">
        <f t="shared" si="167"/>
        <v>0</v>
      </c>
      <c r="N258" s="1235">
        <f t="shared" si="167"/>
        <v>0.2522298492370259</v>
      </c>
      <c r="O258" s="1232">
        <f t="shared" si="167"/>
        <v>0.24606071125243134</v>
      </c>
      <c r="P258" s="1233">
        <f t="shared" si="167"/>
        <v>0.24043242946028776</v>
      </c>
      <c r="Q258" s="1233">
        <f t="shared" si="167"/>
        <v>0.23681835072233043</v>
      </c>
      <c r="R258" s="1232">
        <f t="shared" si="167"/>
        <v>-8.9010777947857438</v>
      </c>
      <c r="S258" s="1233">
        <f t="shared" si="167"/>
        <v>-7.8086797221209316</v>
      </c>
      <c r="T258" s="1233">
        <f t="shared" si="167"/>
        <v>-6.7289108557682038</v>
      </c>
      <c r="U258" s="1236"/>
      <c r="V258" s="1221"/>
      <c r="W258" s="1232">
        <f t="shared" si="168"/>
        <v>0.24606071125243134</v>
      </c>
      <c r="X258" s="1233">
        <f t="shared" si="168"/>
        <v>0.31163747665081232</v>
      </c>
      <c r="Y258" s="1232">
        <f t="shared" si="168"/>
        <v>-8.9010777947857438</v>
      </c>
      <c r="Z258" s="1051">
        <f t="shared" si="168"/>
        <v>-8.9010777947857438</v>
      </c>
    </row>
    <row r="259" spans="1:26">
      <c r="A259" s="1052" t="s">
        <v>417</v>
      </c>
      <c r="B259" s="1053"/>
      <c r="C259" s="1236">
        <f t="shared" si="166"/>
        <v>0.2225830836166405</v>
      </c>
      <c r="D259" s="1232">
        <f t="shared" si="166"/>
        <v>0.20886158326833995</v>
      </c>
      <c r="E259" s="1233">
        <f t="shared" si="166"/>
        <v>0.1859158382007309</v>
      </c>
      <c r="F259" s="1233">
        <f t="shared" si="166"/>
        <v>0.1751054786876077</v>
      </c>
      <c r="G259" s="1051">
        <f t="shared" si="166"/>
        <v>0.16890948326656879</v>
      </c>
      <c r="H259" s="1234">
        <f t="shared" si="166"/>
        <v>0.20835716068211768</v>
      </c>
      <c r="I259" s="1234">
        <f t="shared" si="166"/>
        <v>0.18546696922900119</v>
      </c>
      <c r="J259" s="1234">
        <f t="shared" si="166"/>
        <v>0.17468258635542028</v>
      </c>
      <c r="K259" s="1076">
        <f t="shared" si="166"/>
        <v>0.1685015337705299</v>
      </c>
      <c r="L259" s="1221"/>
      <c r="M259" s="1232">
        <f t="shared" si="167"/>
        <v>0</v>
      </c>
      <c r="N259" s="1235">
        <f t="shared" si="167"/>
        <v>0.20754499853676106</v>
      </c>
      <c r="O259" s="1232">
        <f t="shared" si="167"/>
        <v>0.19993310030761441</v>
      </c>
      <c r="P259" s="1233">
        <f t="shared" si="167"/>
        <v>0.19091424068267332</v>
      </c>
      <c r="Q259" s="1233">
        <f t="shared" si="167"/>
        <v>0.18360536508702235</v>
      </c>
      <c r="R259" s="1232">
        <f t="shared" si="167"/>
        <v>2.1551658292806946</v>
      </c>
      <c r="S259" s="1233">
        <f t="shared" si="167"/>
        <v>2.0941055712778751</v>
      </c>
      <c r="T259" s="1233">
        <f t="shared" si="167"/>
        <v>1.7725694179232729</v>
      </c>
      <c r="U259" s="1236"/>
      <c r="V259" s="1221"/>
      <c r="W259" s="1232">
        <f t="shared" si="168"/>
        <v>0.19993310030761441</v>
      </c>
      <c r="X259" s="1233">
        <f t="shared" si="168"/>
        <v>0.1859158382007309</v>
      </c>
      <c r="Y259" s="1232">
        <f t="shared" si="168"/>
        <v>2.1551658292806946</v>
      </c>
      <c r="Z259" s="1051">
        <f t="shared" si="168"/>
        <v>2.1551658292806946</v>
      </c>
    </row>
    <row r="260" spans="1:26">
      <c r="A260" s="1052" t="s">
        <v>936</v>
      </c>
      <c r="B260" s="1053"/>
      <c r="C260" s="1252">
        <f t="shared" ref="C260:K275" si="169">C36/C$179*100</f>
        <v>0.32422427759106687</v>
      </c>
      <c r="D260" s="1249">
        <f t="shared" si="169"/>
        <v>0.46981208416857845</v>
      </c>
      <c r="E260" s="1250">
        <f t="shared" si="169"/>
        <v>0.45787310752797605</v>
      </c>
      <c r="F260" s="1250">
        <f t="shared" si="169"/>
        <v>0.43197485594961021</v>
      </c>
      <c r="G260" s="1251">
        <f t="shared" si="169"/>
        <v>0.40910090494972834</v>
      </c>
      <c r="H260" s="1253">
        <f t="shared" si="169"/>
        <v>0.35368102109562372</v>
      </c>
      <c r="I260" s="1253">
        <f t="shared" si="169"/>
        <v>0.34770744706446738</v>
      </c>
      <c r="J260" s="1253">
        <f t="shared" si="169"/>
        <v>0.32794860402034981</v>
      </c>
      <c r="K260" s="1254">
        <f t="shared" si="169"/>
        <v>0.31049492230774528</v>
      </c>
      <c r="L260" s="1221"/>
      <c r="M260" s="1249">
        <f t="shared" ref="M260:T275" si="170">M36/M$179*100</f>
        <v>0</v>
      </c>
      <c r="N260" s="1235">
        <f t="shared" si="170"/>
        <v>0.35230239635374033</v>
      </c>
      <c r="O260" s="1249">
        <f t="shared" si="170"/>
        <v>0.34606797554548485</v>
      </c>
      <c r="P260" s="1250">
        <f t="shared" si="170"/>
        <v>0.32603435314112572</v>
      </c>
      <c r="Q260" s="1250">
        <f t="shared" si="170"/>
        <v>0.30839439091164211</v>
      </c>
      <c r="R260" s="1249">
        <f t="shared" si="170"/>
        <v>0</v>
      </c>
      <c r="S260" s="1250">
        <f t="shared" si="170"/>
        <v>0</v>
      </c>
      <c r="T260" s="1250">
        <f t="shared" si="170"/>
        <v>0</v>
      </c>
      <c r="U260" s="1252"/>
      <c r="V260" s="1221"/>
      <c r="W260" s="1232">
        <f t="shared" ref="W260:Z275" si="171">W36/W$179*100</f>
        <v>0.34606797554548485</v>
      </c>
      <c r="X260" s="1233">
        <f t="shared" si="171"/>
        <v>0.34854897202643442</v>
      </c>
      <c r="Y260" s="1232">
        <f t="shared" si="171"/>
        <v>0</v>
      </c>
      <c r="Z260" s="1051">
        <f t="shared" si="171"/>
        <v>0</v>
      </c>
    </row>
    <row r="261" spans="1:26">
      <c r="A261" s="1052" t="s">
        <v>432</v>
      </c>
      <c r="B261" s="1053"/>
      <c r="C261" s="1236">
        <f t="shared" si="169"/>
        <v>1.8736108349877781E-3</v>
      </c>
      <c r="D261" s="1232">
        <f t="shared" si="169"/>
        <v>2.8392579515675613E-3</v>
      </c>
      <c r="E261" s="1233">
        <f t="shared" si="169"/>
        <v>-3.2523036410330076E-4</v>
      </c>
      <c r="F261" s="1233">
        <f t="shared" si="169"/>
        <v>0</v>
      </c>
      <c r="G261" s="1051">
        <f t="shared" si="169"/>
        <v>0</v>
      </c>
      <c r="H261" s="1234">
        <f t="shared" si="169"/>
        <v>-2.093604886822502E-15</v>
      </c>
      <c r="I261" s="1234">
        <f t="shared" si="169"/>
        <v>3.7899084032483582E-8</v>
      </c>
      <c r="J261" s="1234">
        <f t="shared" si="169"/>
        <v>0</v>
      </c>
      <c r="K261" s="1076">
        <f t="shared" si="169"/>
        <v>0</v>
      </c>
      <c r="L261" s="1221"/>
      <c r="M261" s="1232">
        <f t="shared" si="170"/>
        <v>0</v>
      </c>
      <c r="N261" s="1235">
        <f t="shared" si="170"/>
        <v>-2.0854441563208757E-15</v>
      </c>
      <c r="O261" s="1232">
        <f t="shared" si="170"/>
        <v>3.7720386482599755E-8</v>
      </c>
      <c r="P261" s="1233">
        <f t="shared" si="170"/>
        <v>0</v>
      </c>
      <c r="Q261" s="1233">
        <f t="shared" si="170"/>
        <v>0</v>
      </c>
      <c r="R261" s="1232">
        <f t="shared" si="170"/>
        <v>0</v>
      </c>
      <c r="S261" s="1233">
        <f t="shared" si="170"/>
        <v>0</v>
      </c>
      <c r="T261" s="1233">
        <f t="shared" si="170"/>
        <v>0</v>
      </c>
      <c r="U261" s="1236"/>
      <c r="V261" s="1221"/>
      <c r="W261" s="1232">
        <f t="shared" si="171"/>
        <v>3.7720386482599755E-8</v>
      </c>
      <c r="X261" s="1233">
        <f t="shared" si="171"/>
        <v>-3.2523036410330076E-4</v>
      </c>
      <c r="Y261" s="1232">
        <f t="shared" si="171"/>
        <v>4.537086689054913E-2</v>
      </c>
      <c r="Z261" s="1051">
        <f t="shared" si="171"/>
        <v>4.537086689054913E-2</v>
      </c>
    </row>
    <row r="262" spans="1:26">
      <c r="A262" s="790" t="s">
        <v>445</v>
      </c>
      <c r="B262" s="1060" t="s">
        <v>937</v>
      </c>
      <c r="C262" s="1224">
        <f t="shared" si="169"/>
        <v>0.76048655465587467</v>
      </c>
      <c r="D262" s="1247">
        <f t="shared" si="169"/>
        <v>0.66245963691165566</v>
      </c>
      <c r="E262" s="1244">
        <f t="shared" si="169"/>
        <v>0.62718018483860216</v>
      </c>
      <c r="F262" s="1244">
        <f t="shared" si="169"/>
        <v>0.59732921632965774</v>
      </c>
      <c r="G262" s="1067">
        <f t="shared" si="169"/>
        <v>0.56487471100919551</v>
      </c>
      <c r="H262" s="1245">
        <f t="shared" si="169"/>
        <v>0.76219687180305717</v>
      </c>
      <c r="I262" s="1245">
        <f t="shared" si="169"/>
        <v>0.7357612481000162</v>
      </c>
      <c r="J262" s="1245">
        <f t="shared" si="169"/>
        <v>0.67512817442092299</v>
      </c>
      <c r="K262" s="1246">
        <f t="shared" si="169"/>
        <v>0.63586669328475021</v>
      </c>
      <c r="L262" s="1221"/>
      <c r="M262" s="1247">
        <f t="shared" si="170"/>
        <v>0</v>
      </c>
      <c r="N262" s="1248">
        <f t="shared" si="170"/>
        <v>0.75922587985557077</v>
      </c>
      <c r="O262" s="1247">
        <f t="shared" si="170"/>
        <v>0.73083930100051098</v>
      </c>
      <c r="P262" s="1244">
        <f t="shared" si="170"/>
        <v>0.7162156587743771</v>
      </c>
      <c r="Q262" s="1244">
        <f t="shared" si="170"/>
        <v>0.70149339217378959</v>
      </c>
      <c r="R262" s="1247">
        <f t="shared" si="170"/>
        <v>-0.20409565005722824</v>
      </c>
      <c r="S262" s="1244">
        <f t="shared" si="170"/>
        <v>5.4659051213104526</v>
      </c>
      <c r="T262" s="1244">
        <f t="shared" si="170"/>
        <v>7.6308031741358127</v>
      </c>
      <c r="U262" s="1224"/>
      <c r="V262" s="1221"/>
      <c r="W262" s="1247">
        <f t="shared" si="171"/>
        <v>0.73083930100051098</v>
      </c>
      <c r="X262" s="1244">
        <f t="shared" si="171"/>
        <v>0.81464093638134105</v>
      </c>
      <c r="Y262" s="1247">
        <f t="shared" si="171"/>
        <v>-10.958440601784774</v>
      </c>
      <c r="Z262" s="1067">
        <f t="shared" si="171"/>
        <v>-10.958440601784774</v>
      </c>
    </row>
    <row r="263" spans="1:26">
      <c r="A263" s="1052" t="s">
        <v>938</v>
      </c>
      <c r="B263" s="1053"/>
      <c r="C263" s="1236">
        <f t="shared" si="169"/>
        <v>3.4970564470009999E-2</v>
      </c>
      <c r="D263" s="1232">
        <f t="shared" si="169"/>
        <v>0</v>
      </c>
      <c r="E263" s="1233">
        <f t="shared" si="169"/>
        <v>0</v>
      </c>
      <c r="F263" s="1233">
        <f t="shared" si="169"/>
        <v>0</v>
      </c>
      <c r="G263" s="1051">
        <f t="shared" si="169"/>
        <v>0</v>
      </c>
      <c r="H263" s="1234">
        <f t="shared" si="169"/>
        <v>3.3465252298628713E-2</v>
      </c>
      <c r="I263" s="1234">
        <f t="shared" si="169"/>
        <v>3.1634588166787193E-2</v>
      </c>
      <c r="J263" s="1234">
        <f t="shared" si="169"/>
        <v>2.9719926626381551E-2</v>
      </c>
      <c r="K263" s="1076">
        <f t="shared" si="169"/>
        <v>2.8029104386045677E-2</v>
      </c>
      <c r="L263" s="1221"/>
      <c r="M263" s="1255">
        <f t="shared" si="170"/>
        <v>0</v>
      </c>
      <c r="N263" s="1235">
        <f t="shared" si="170"/>
        <v>3.3334807004534783E-2</v>
      </c>
      <c r="O263" s="1232">
        <f t="shared" si="170"/>
        <v>3.1485428271731591E-2</v>
      </c>
      <c r="P263" s="1233">
        <f t="shared" si="170"/>
        <v>2.9546450066403589E-2</v>
      </c>
      <c r="Q263" s="1233">
        <f t="shared" si="170"/>
        <v>2.7839484493617332E-2</v>
      </c>
      <c r="R263" s="1232">
        <f t="shared" si="170"/>
        <v>0</v>
      </c>
      <c r="S263" s="1233">
        <f t="shared" si="170"/>
        <v>0</v>
      </c>
      <c r="T263" s="1233">
        <f t="shared" si="170"/>
        <v>0</v>
      </c>
      <c r="U263" s="1236"/>
      <c r="V263" s="1221"/>
      <c r="W263" s="1232">
        <f t="shared" si="171"/>
        <v>3.1485428271731591E-2</v>
      </c>
      <c r="X263" s="1233">
        <f t="shared" si="171"/>
        <v>3.1711150506273024E-2</v>
      </c>
      <c r="Y263" s="1232">
        <f t="shared" si="171"/>
        <v>0</v>
      </c>
      <c r="Z263" s="1051">
        <f t="shared" si="171"/>
        <v>0</v>
      </c>
    </row>
    <row r="264" spans="1:26">
      <c r="A264" s="1052" t="s">
        <v>939</v>
      </c>
      <c r="B264" s="1053"/>
      <c r="C264" s="1236">
        <f t="shared" si="169"/>
        <v>2.4374655947190554E-2</v>
      </c>
      <c r="D264" s="1232">
        <f t="shared" si="169"/>
        <v>0</v>
      </c>
      <c r="E264" s="1233">
        <f t="shared" si="169"/>
        <v>0</v>
      </c>
      <c r="F264" s="1233">
        <f t="shared" si="169"/>
        <v>0</v>
      </c>
      <c r="G264" s="1051">
        <f t="shared" si="169"/>
        <v>0</v>
      </c>
      <c r="H264" s="1234">
        <f t="shared" si="169"/>
        <v>2.3325445937955411E-2</v>
      </c>
      <c r="I264" s="1234">
        <f t="shared" si="169"/>
        <v>2.2049464007301532E-2</v>
      </c>
      <c r="J264" s="1234">
        <f t="shared" si="169"/>
        <v>2.0714935468514922E-2</v>
      </c>
      <c r="K264" s="1076">
        <f t="shared" si="169"/>
        <v>1.9536424026087719E-2</v>
      </c>
      <c r="L264" s="1221"/>
      <c r="M264" s="1255">
        <f t="shared" si="170"/>
        <v>0</v>
      </c>
      <c r="N264" s="1235">
        <f t="shared" si="170"/>
        <v>2.3234524924478597E-2</v>
      </c>
      <c r="O264" s="1232">
        <f t="shared" si="170"/>
        <v>2.1945498824634341E-2</v>
      </c>
      <c r="P264" s="1233">
        <f t="shared" si="170"/>
        <v>2.0594021450441487E-2</v>
      </c>
      <c r="Q264" s="1233">
        <f t="shared" si="170"/>
        <v>1.9404258025660478E-2</v>
      </c>
      <c r="R264" s="1232">
        <f t="shared" si="170"/>
        <v>0</v>
      </c>
      <c r="S264" s="1233">
        <f t="shared" si="170"/>
        <v>0</v>
      </c>
      <c r="T264" s="1233">
        <f t="shared" si="170"/>
        <v>0</v>
      </c>
      <c r="U264" s="1236"/>
      <c r="V264" s="1221"/>
      <c r="W264" s="1232">
        <f t="shared" si="171"/>
        <v>2.1945498824634341E-2</v>
      </c>
      <c r="X264" s="1233">
        <f t="shared" si="171"/>
        <v>2.2102828335609111E-2</v>
      </c>
      <c r="Y264" s="1232">
        <f t="shared" si="171"/>
        <v>0</v>
      </c>
      <c r="Z264" s="1051">
        <f t="shared" si="171"/>
        <v>0</v>
      </c>
    </row>
    <row r="265" spans="1:26">
      <c r="A265" s="1052" t="s">
        <v>940</v>
      </c>
      <c r="B265" s="1053"/>
      <c r="C265" s="1236">
        <f t="shared" si="169"/>
        <v>8.3279478910494641E-4</v>
      </c>
      <c r="D265" s="1232">
        <f t="shared" si="169"/>
        <v>7.5520478986588497E-3</v>
      </c>
      <c r="E265" s="1233">
        <f t="shared" si="169"/>
        <v>1.2374946858949038E-2</v>
      </c>
      <c r="F265" s="1233">
        <f t="shared" si="169"/>
        <v>1.1565084551016288E-2</v>
      </c>
      <c r="G265" s="1051">
        <f t="shared" si="169"/>
        <v>1.1274426592890761E-2</v>
      </c>
      <c r="H265" s="1234">
        <f t="shared" si="169"/>
        <v>1.6378870839603688E-3</v>
      </c>
      <c r="I265" s="1234">
        <f t="shared" si="169"/>
        <v>6.7716745283027549E-3</v>
      </c>
      <c r="J265" s="1234">
        <f t="shared" si="169"/>
        <v>6.3010852188491112E-3</v>
      </c>
      <c r="K265" s="1076">
        <f t="shared" si="169"/>
        <v>6.3090175763939327E-3</v>
      </c>
      <c r="L265" s="1221"/>
      <c r="M265" s="1232">
        <f t="shared" si="170"/>
        <v>0</v>
      </c>
      <c r="N265" s="1235">
        <f t="shared" si="170"/>
        <v>1.631502710687061E-3</v>
      </c>
      <c r="O265" s="1232">
        <f t="shared" si="170"/>
        <v>1.633359064132329E-3</v>
      </c>
      <c r="P265" s="1233">
        <f t="shared" si="170"/>
        <v>1.6345619758262569E-3</v>
      </c>
      <c r="Q265" s="1233">
        <f t="shared" si="170"/>
        <v>1.6431265293480304E-3</v>
      </c>
      <c r="R265" s="1232">
        <f t="shared" si="170"/>
        <v>-0.71738341833022179</v>
      </c>
      <c r="S265" s="1233">
        <f t="shared" si="170"/>
        <v>-0.56199709070176374</v>
      </c>
      <c r="T265" s="1233">
        <f t="shared" si="170"/>
        <v>-0.50449891505332867</v>
      </c>
      <c r="U265" s="1236"/>
      <c r="V265" s="1221"/>
      <c r="W265" s="1232">
        <f t="shared" si="171"/>
        <v>1.633359064132329E-3</v>
      </c>
      <c r="X265" s="1233">
        <f t="shared" si="171"/>
        <v>1.2374946858949038E-2</v>
      </c>
      <c r="Y265" s="1232">
        <f t="shared" si="171"/>
        <v>-1.4966837771510588</v>
      </c>
      <c r="Z265" s="1051">
        <f t="shared" si="171"/>
        <v>-1.496683777151059</v>
      </c>
    </row>
    <row r="266" spans="1:26">
      <c r="A266" s="1052" t="s">
        <v>941</v>
      </c>
      <c r="B266" s="1053"/>
      <c r="C266" s="1252">
        <f t="shared" si="169"/>
        <v>6.7420995789657407E-4</v>
      </c>
      <c r="D266" s="1249">
        <f t="shared" si="169"/>
        <v>0</v>
      </c>
      <c r="E266" s="1250">
        <f t="shared" si="169"/>
        <v>0</v>
      </c>
      <c r="F266" s="1250">
        <f t="shared" si="169"/>
        <v>0</v>
      </c>
      <c r="G266" s="1251">
        <f t="shared" si="169"/>
        <v>0</v>
      </c>
      <c r="H266" s="1253">
        <f t="shared" si="169"/>
        <v>6.4518850882735665E-4</v>
      </c>
      <c r="I266" s="1253">
        <f t="shared" si="169"/>
        <v>6.0989448352473082E-4</v>
      </c>
      <c r="J266" s="1253">
        <f t="shared" si="169"/>
        <v>5.7298104228902782E-4</v>
      </c>
      <c r="K266" s="1254">
        <f t="shared" si="169"/>
        <v>5.4038307858029057E-4</v>
      </c>
      <c r="L266" s="1221"/>
      <c r="M266" s="1232">
        <f t="shared" si="170"/>
        <v>0</v>
      </c>
      <c r="N266" s="1235">
        <f t="shared" si="170"/>
        <v>6.4267360757907111E-4</v>
      </c>
      <c r="O266" s="1232">
        <f t="shared" si="170"/>
        <v>6.191029788964247E-4</v>
      </c>
      <c r="P266" s="1233">
        <f t="shared" si="170"/>
        <v>5.9117562293856249E-4</v>
      </c>
      <c r="Q266" s="1233">
        <f t="shared" si="170"/>
        <v>5.6854331919951732E-4</v>
      </c>
      <c r="R266" s="1232">
        <f t="shared" si="170"/>
        <v>1.6976792358839123E-3</v>
      </c>
      <c r="S266" s="1233">
        <f t="shared" si="170"/>
        <v>2.6145962046351303E-3</v>
      </c>
      <c r="T266" s="1233">
        <f t="shared" si="170"/>
        <v>3.4718589248892311E-3</v>
      </c>
      <c r="U266" s="1236"/>
      <c r="V266" s="1221"/>
      <c r="W266" s="1256">
        <f t="shared" si="171"/>
        <v>6.191029788964247E-4</v>
      </c>
      <c r="X266" s="1234">
        <f t="shared" si="171"/>
        <v>6.1137055611502238E-4</v>
      </c>
      <c r="Y266" s="1256">
        <f t="shared" si="171"/>
        <v>1.6976792358839123E-3</v>
      </c>
      <c r="Z266" s="1076">
        <f t="shared" si="171"/>
        <v>1.6976792358839123E-3</v>
      </c>
    </row>
    <row r="267" spans="1:26">
      <c r="A267" s="1052" t="s">
        <v>942</v>
      </c>
      <c r="B267" s="1053"/>
      <c r="C267" s="1252">
        <f t="shared" si="169"/>
        <v>7.0315789249289426E-3</v>
      </c>
      <c r="D267" s="1249">
        <f t="shared" si="169"/>
        <v>9.6927207339180706E-3</v>
      </c>
      <c r="E267" s="1250">
        <f t="shared" si="169"/>
        <v>0</v>
      </c>
      <c r="F267" s="1250">
        <f t="shared" si="169"/>
        <v>0</v>
      </c>
      <c r="G267" s="1251">
        <f t="shared" si="169"/>
        <v>0</v>
      </c>
      <c r="H267" s="1253">
        <f t="shared" si="169"/>
        <v>6.728903760826261E-3</v>
      </c>
      <c r="I267" s="1253">
        <f t="shared" si="169"/>
        <v>6.3608096358624125E-3</v>
      </c>
      <c r="J267" s="1253">
        <f t="shared" si="169"/>
        <v>5.9758260378014218E-3</v>
      </c>
      <c r="K267" s="1254">
        <f t="shared" si="169"/>
        <v>5.6358501120155301E-3</v>
      </c>
      <c r="L267" s="1221"/>
      <c r="M267" s="1232">
        <f t="shared" si="170"/>
        <v>0</v>
      </c>
      <c r="N267" s="1235">
        <f t="shared" si="170"/>
        <v>6.7026749482603778E-3</v>
      </c>
      <c r="O267" s="1232">
        <f t="shared" si="170"/>
        <v>6.4568483567794379E-3</v>
      </c>
      <c r="P267" s="1233">
        <f t="shared" si="170"/>
        <v>6.1655838845148239E-3</v>
      </c>
      <c r="Q267" s="1233">
        <f t="shared" si="170"/>
        <v>5.9295434224448862E-3</v>
      </c>
      <c r="R267" s="1232">
        <f t="shared" si="170"/>
        <v>1.770570932172735E-2</v>
      </c>
      <c r="S267" s="1233">
        <f t="shared" si="170"/>
        <v>2.7268567238414802E-2</v>
      </c>
      <c r="T267" s="1233">
        <f t="shared" si="170"/>
        <v>3.6209269472585411E-2</v>
      </c>
      <c r="U267" s="1236"/>
      <c r="V267" s="1221"/>
      <c r="W267" s="1232">
        <f t="shared" si="171"/>
        <v>6.4568483567794379E-3</v>
      </c>
      <c r="X267" s="1233">
        <f t="shared" si="171"/>
        <v>6.3762041295153107E-3</v>
      </c>
      <c r="Y267" s="1232">
        <f t="shared" si="171"/>
        <v>1.770570932172735E-2</v>
      </c>
      <c r="Z267" s="1051">
        <f t="shared" si="171"/>
        <v>1.770570932172735E-2</v>
      </c>
    </row>
    <row r="268" spans="1:26">
      <c r="A268" s="1052" t="s">
        <v>943</v>
      </c>
      <c r="B268" s="1053"/>
      <c r="C268" s="1236">
        <f t="shared" si="169"/>
        <v>0.4123618554883689</v>
      </c>
      <c r="D268" s="1232">
        <f t="shared" si="169"/>
        <v>0.53837271685256816</v>
      </c>
      <c r="E268" s="1233">
        <f t="shared" si="169"/>
        <v>0.51904605551356442</v>
      </c>
      <c r="F268" s="1233">
        <f t="shared" si="169"/>
        <v>0.49462597478175635</v>
      </c>
      <c r="G268" s="1051">
        <f t="shared" si="169"/>
        <v>0.46732141817840123</v>
      </c>
      <c r="H268" s="1234">
        <f t="shared" si="169"/>
        <v>0.4604255066164506</v>
      </c>
      <c r="I268" s="1234">
        <f t="shared" si="169"/>
        <v>0.4464534362839303</v>
      </c>
      <c r="J268" s="1234">
        <f t="shared" si="169"/>
        <v>0.42222088149604114</v>
      </c>
      <c r="K268" s="1076">
        <f t="shared" si="169"/>
        <v>0.39903351007715465</v>
      </c>
      <c r="L268" s="1221"/>
      <c r="M268" s="1232">
        <f t="shared" si="170"/>
        <v>0</v>
      </c>
      <c r="N268" s="1235">
        <f t="shared" si="170"/>
        <v>0.4586307990767321</v>
      </c>
      <c r="O268" s="1232">
        <f t="shared" si="170"/>
        <v>0.45789824088202108</v>
      </c>
      <c r="P268" s="1233">
        <f t="shared" si="170"/>
        <v>0.47282672396023451</v>
      </c>
      <c r="Q268" s="1233">
        <f t="shared" si="170"/>
        <v>0.47278917688651906</v>
      </c>
      <c r="R268" s="1232">
        <f t="shared" si="170"/>
        <v>1.903587560189296</v>
      </c>
      <c r="S268" s="1233">
        <f t="shared" si="170"/>
        <v>6.4421259043491279</v>
      </c>
      <c r="T268" s="1233">
        <f t="shared" si="170"/>
        <v>8.3430240117766665</v>
      </c>
      <c r="U268" s="1236"/>
      <c r="V268" s="1221"/>
      <c r="W268" s="1232">
        <f t="shared" si="171"/>
        <v>0.45789824088202108</v>
      </c>
      <c r="X268" s="1233">
        <f t="shared" si="171"/>
        <v>0.51904605551356442</v>
      </c>
      <c r="Y268" s="1232">
        <f t="shared" si="171"/>
        <v>-8.0714570327174169</v>
      </c>
      <c r="Z268" s="1051">
        <f t="shared" si="171"/>
        <v>-8.0714570327174169</v>
      </c>
    </row>
    <row r="269" spans="1:26">
      <c r="A269" s="1052" t="s">
        <v>944</v>
      </c>
      <c r="B269" s="1053"/>
      <c r="C269" s="1236">
        <f t="shared" si="169"/>
        <v>0.211127821787539</v>
      </c>
      <c r="D269" s="1232">
        <f t="shared" si="169"/>
        <v>4.5276826218536327E-2</v>
      </c>
      <c r="E269" s="1233">
        <f t="shared" si="169"/>
        <v>4.1893804296395158E-2</v>
      </c>
      <c r="F269" s="1233">
        <f t="shared" si="169"/>
        <v>3.9492606507559577E-2</v>
      </c>
      <c r="G269" s="1051">
        <f t="shared" si="169"/>
        <v>3.7358665918750693E-2</v>
      </c>
      <c r="H269" s="1234">
        <f t="shared" si="169"/>
        <v>0.17455204909317465</v>
      </c>
      <c r="I269" s="1234">
        <f t="shared" si="169"/>
        <v>0.16814605358922236</v>
      </c>
      <c r="J269" s="1234">
        <f t="shared" si="169"/>
        <v>0.13810171576273297</v>
      </c>
      <c r="K269" s="1076">
        <f t="shared" si="169"/>
        <v>0.12798035557788479</v>
      </c>
      <c r="L269" s="1221"/>
      <c r="M269" s="1232">
        <f t="shared" si="170"/>
        <v>0</v>
      </c>
      <c r="N269" s="1235">
        <f t="shared" si="170"/>
        <v>0.17387165699048038</v>
      </c>
      <c r="O269" s="1232">
        <f t="shared" si="170"/>
        <v>0.1530176286087547</v>
      </c>
      <c r="P269" s="1233">
        <f t="shared" si="170"/>
        <v>0.13063243056459709</v>
      </c>
      <c r="Q269" s="1233">
        <f t="shared" si="170"/>
        <v>0.12222723305705786</v>
      </c>
      <c r="R269" s="1232">
        <f t="shared" si="170"/>
        <v>-2.0139726787035834</v>
      </c>
      <c r="S269" s="1233">
        <f t="shared" si="170"/>
        <v>-0.80883256643445012</v>
      </c>
      <c r="T269" s="1233">
        <f t="shared" si="170"/>
        <v>-0.53331961378874937</v>
      </c>
      <c r="U269" s="1236"/>
      <c r="V269" s="1221"/>
      <c r="W269" s="1232">
        <f t="shared" si="171"/>
        <v>0.1530176286087547</v>
      </c>
      <c r="X269" s="1233">
        <f t="shared" si="171"/>
        <v>0.1685530023116216</v>
      </c>
      <c r="Y269" s="1232">
        <f t="shared" si="171"/>
        <v>-2.0139726787035834</v>
      </c>
      <c r="Z269" s="1051">
        <f t="shared" si="171"/>
        <v>-2.0139726787035834</v>
      </c>
    </row>
    <row r="270" spans="1:26">
      <c r="A270" s="1052" t="s">
        <v>945</v>
      </c>
      <c r="B270" s="1053"/>
      <c r="C270" s="1236">
        <f t="shared" si="169"/>
        <v>6.9113073290835839E-2</v>
      </c>
      <c r="D270" s="1232">
        <f t="shared" si="169"/>
        <v>6.1565325207974191E-2</v>
      </c>
      <c r="E270" s="1233">
        <f t="shared" si="169"/>
        <v>5.3865378169693563E-2</v>
      </c>
      <c r="F270" s="1233">
        <f t="shared" si="169"/>
        <v>5.1645550489325509E-2</v>
      </c>
      <c r="G270" s="1051">
        <f t="shared" si="169"/>
        <v>4.892020031915284E-2</v>
      </c>
      <c r="H270" s="1234">
        <f t="shared" si="169"/>
        <v>6.1416638503233832E-2</v>
      </c>
      <c r="I270" s="1234">
        <f t="shared" si="169"/>
        <v>5.3735327405084923E-2</v>
      </c>
      <c r="J270" s="1234">
        <f t="shared" si="169"/>
        <v>5.1520822768312859E-2</v>
      </c>
      <c r="K270" s="1076">
        <f t="shared" si="169"/>
        <v>4.8802048450587686E-2</v>
      </c>
      <c r="L270" s="1221"/>
      <c r="M270" s="1232">
        <f t="shared" si="170"/>
        <v>0</v>
      </c>
      <c r="N270" s="1235">
        <f t="shared" si="170"/>
        <v>6.1177240592818462E-2</v>
      </c>
      <c r="O270" s="1232">
        <f t="shared" si="170"/>
        <v>5.7783194013561197E-2</v>
      </c>
      <c r="P270" s="1233">
        <f t="shared" si="170"/>
        <v>5.4224711249420833E-2</v>
      </c>
      <c r="Q270" s="1233">
        <f t="shared" si="170"/>
        <v>5.1092026439942345E-2</v>
      </c>
      <c r="R270" s="1232">
        <f t="shared" si="170"/>
        <v>0.60426949822966958</v>
      </c>
      <c r="S270" s="1233">
        <f t="shared" si="170"/>
        <v>0.36472571065448961</v>
      </c>
      <c r="T270" s="1233">
        <f t="shared" si="170"/>
        <v>0.28591656280375011</v>
      </c>
      <c r="U270" s="1236"/>
      <c r="V270" s="1221"/>
      <c r="W270" s="1232">
        <f t="shared" si="171"/>
        <v>5.7783194013561197E-2</v>
      </c>
      <c r="X270" s="1233">
        <f t="shared" si="171"/>
        <v>5.3865378169693563E-2</v>
      </c>
      <c r="Y270" s="1232">
        <f t="shared" si="171"/>
        <v>0.60426949822966958</v>
      </c>
      <c r="Z270" s="1051">
        <f t="shared" si="171"/>
        <v>0.60426949822966969</v>
      </c>
    </row>
    <row r="271" spans="1:26">
      <c r="A271" s="790" t="s">
        <v>31</v>
      </c>
      <c r="B271" s="1060" t="s">
        <v>946</v>
      </c>
      <c r="C271" s="1224">
        <f t="shared" si="169"/>
        <v>4.3813792168826353</v>
      </c>
      <c r="D271" s="1247">
        <f t="shared" si="169"/>
        <v>3.9637636756716206</v>
      </c>
      <c r="E271" s="1244">
        <f t="shared" si="169"/>
        <v>4.0231605903807885</v>
      </c>
      <c r="F271" s="1244">
        <f t="shared" si="169"/>
        <v>3.8879290663960475</v>
      </c>
      <c r="G271" s="1067">
        <f t="shared" si="169"/>
        <v>3.7204964239039922</v>
      </c>
      <c r="H271" s="1245">
        <f t="shared" si="169"/>
        <v>4.1742030215511043</v>
      </c>
      <c r="I271" s="1245">
        <f t="shared" si="169"/>
        <v>4.1874221087159551</v>
      </c>
      <c r="J271" s="1245">
        <f t="shared" si="169"/>
        <v>4.0319403681906731</v>
      </c>
      <c r="K271" s="1246">
        <f t="shared" si="169"/>
        <v>3.8676897558509093</v>
      </c>
      <c r="L271" s="1221"/>
      <c r="M271" s="1247">
        <f t="shared" si="170"/>
        <v>0</v>
      </c>
      <c r="N271" s="1248">
        <f t="shared" si="170"/>
        <v>4.1579322599893773</v>
      </c>
      <c r="O271" s="1247">
        <f t="shared" si="170"/>
        <v>4.0830624355294098</v>
      </c>
      <c r="P271" s="1244">
        <f t="shared" si="170"/>
        <v>3.9833259686506208</v>
      </c>
      <c r="Q271" s="1244">
        <f t="shared" si="170"/>
        <v>3.9143902330196574</v>
      </c>
      <c r="R271" s="1247">
        <f t="shared" si="170"/>
        <v>-11.88743419260966</v>
      </c>
      <c r="S271" s="1244">
        <f t="shared" si="170"/>
        <v>-3.0443940834976311</v>
      </c>
      <c r="T271" s="1244">
        <f t="shared" si="170"/>
        <v>7.9513421208041581</v>
      </c>
      <c r="U271" s="1224"/>
      <c r="V271" s="1221"/>
      <c r="W271" s="1247">
        <f t="shared" si="171"/>
        <v>4.0830624355294098</v>
      </c>
      <c r="X271" s="1244">
        <f t="shared" si="171"/>
        <v>4.1365952001437636</v>
      </c>
      <c r="Y271" s="1247">
        <f t="shared" si="171"/>
        <v>-3.38408861353299</v>
      </c>
      <c r="Z271" s="1067">
        <f t="shared" si="171"/>
        <v>-3.3840886135329908</v>
      </c>
    </row>
    <row r="272" spans="1:26">
      <c r="A272" s="1052" t="s">
        <v>947</v>
      </c>
      <c r="B272" s="1060"/>
      <c r="C272" s="1236">
        <f t="shared" si="169"/>
        <v>0.2159746573568567</v>
      </c>
      <c r="D272" s="1232">
        <f t="shared" si="169"/>
        <v>0.26917985721115767</v>
      </c>
      <c r="E272" s="1233">
        <f t="shared" si="169"/>
        <v>0.2903045208556832</v>
      </c>
      <c r="F272" s="1233">
        <f t="shared" si="169"/>
        <v>0.34572223072184832</v>
      </c>
      <c r="G272" s="1051">
        <f t="shared" si="169"/>
        <v>0.3344132739199005</v>
      </c>
      <c r="H272" s="1234">
        <f t="shared" si="169"/>
        <v>0.2159746573568567</v>
      </c>
      <c r="I272" s="1234">
        <f t="shared" si="169"/>
        <v>0.2159746573568567</v>
      </c>
      <c r="J272" s="1234">
        <f t="shared" si="169"/>
        <v>0.2159746573568567</v>
      </c>
      <c r="K272" s="1076">
        <f t="shared" si="169"/>
        <v>0.2159746573568567</v>
      </c>
      <c r="L272" s="1221"/>
      <c r="M272" s="1232">
        <f t="shared" si="170"/>
        <v>0</v>
      </c>
      <c r="N272" s="1235">
        <f t="shared" si="170"/>
        <v>0.21513280272374802</v>
      </c>
      <c r="O272" s="1232">
        <f t="shared" si="170"/>
        <v>0.21513280272374807</v>
      </c>
      <c r="P272" s="1233">
        <f t="shared" si="170"/>
        <v>0.21513280272374807</v>
      </c>
      <c r="Q272" s="1233">
        <f t="shared" si="170"/>
        <v>0.2151328027237481</v>
      </c>
      <c r="R272" s="1232">
        <f t="shared" si="170"/>
        <v>2.4793945234464414E-2</v>
      </c>
      <c r="S272" s="1233">
        <f t="shared" si="170"/>
        <v>5.0837363481268043E-2</v>
      </c>
      <c r="T272" s="1233">
        <f t="shared" si="170"/>
        <v>6.7573056098614512E-2</v>
      </c>
      <c r="U272" s="1236"/>
      <c r="V272" s="1221"/>
      <c r="W272" s="1232">
        <f t="shared" si="171"/>
        <v>0.21513280272374807</v>
      </c>
      <c r="X272" s="1233">
        <f t="shared" si="171"/>
        <v>0.21649736133358341</v>
      </c>
      <c r="Y272" s="1232">
        <f t="shared" si="171"/>
        <v>2.4793945234464414E-2</v>
      </c>
      <c r="Z272" s="1051">
        <f t="shared" si="171"/>
        <v>2.4793945234464414E-2</v>
      </c>
    </row>
    <row r="273" spans="1:26">
      <c r="A273" s="1052" t="s">
        <v>948</v>
      </c>
      <c r="B273" s="1060"/>
      <c r="C273" s="1236">
        <f t="shared" si="169"/>
        <v>8.8446694028484082E-2</v>
      </c>
      <c r="D273" s="1232">
        <f t="shared" si="169"/>
        <v>8.232193204792565E-2</v>
      </c>
      <c r="E273" s="1233">
        <f t="shared" si="169"/>
        <v>8.4277019583690507E-2</v>
      </c>
      <c r="F273" s="1233">
        <f t="shared" si="169"/>
        <v>7.5768782129731649E-2</v>
      </c>
      <c r="G273" s="1051">
        <f t="shared" si="169"/>
        <v>7.2996665046278678E-2</v>
      </c>
      <c r="H273" s="1234">
        <f t="shared" si="169"/>
        <v>8.2123115964964716E-2</v>
      </c>
      <c r="I273" s="1234">
        <f t="shared" si="169"/>
        <v>8.4073543970815984E-2</v>
      </c>
      <c r="J273" s="1234">
        <f t="shared" si="169"/>
        <v>7.5585795068321623E-2</v>
      </c>
      <c r="K273" s="1076">
        <f t="shared" si="169"/>
        <v>7.2820363798164908E-2</v>
      </c>
      <c r="L273" s="1221"/>
      <c r="M273" s="1232">
        <f t="shared" si="170"/>
        <v>0</v>
      </c>
      <c r="N273" s="1235">
        <f t="shared" si="170"/>
        <v>8.1803005603376347E-2</v>
      </c>
      <c r="O273" s="1232">
        <f t="shared" si="170"/>
        <v>8.3677129738093173E-2</v>
      </c>
      <c r="P273" s="1233">
        <f t="shared" si="170"/>
        <v>7.5144597353519318E-2</v>
      </c>
      <c r="Q273" s="1233">
        <f t="shared" si="170"/>
        <v>7.2327726239724915E-2</v>
      </c>
      <c r="R273" s="1232">
        <f t="shared" si="170"/>
        <v>0</v>
      </c>
      <c r="S273" s="1233">
        <f t="shared" si="170"/>
        <v>0</v>
      </c>
      <c r="T273" s="1233">
        <f t="shared" si="170"/>
        <v>0</v>
      </c>
      <c r="U273" s="1236"/>
      <c r="V273" s="1221"/>
      <c r="W273" s="1232">
        <f t="shared" si="171"/>
        <v>8.3677129738093173E-2</v>
      </c>
      <c r="X273" s="1233">
        <f t="shared" si="171"/>
        <v>8.4277019583690507E-2</v>
      </c>
      <c r="Y273" s="1232">
        <f t="shared" si="171"/>
        <v>0</v>
      </c>
      <c r="Z273" s="1051">
        <f t="shared" si="171"/>
        <v>0</v>
      </c>
    </row>
    <row r="274" spans="1:26">
      <c r="A274" s="1052" t="s">
        <v>927</v>
      </c>
      <c r="B274" s="1060"/>
      <c r="C274" s="1236">
        <f t="shared" si="169"/>
        <v>7.2531267295057406E-2</v>
      </c>
      <c r="D274" s="1232">
        <f t="shared" si="169"/>
        <v>0</v>
      </c>
      <c r="E274" s="1233">
        <f t="shared" si="169"/>
        <v>0</v>
      </c>
      <c r="F274" s="1233">
        <f t="shared" si="169"/>
        <v>0</v>
      </c>
      <c r="G274" s="1051">
        <f t="shared" si="169"/>
        <v>0</v>
      </c>
      <c r="H274" s="1234">
        <f t="shared" si="169"/>
        <v>0.10683174516388882</v>
      </c>
      <c r="I274" s="1234">
        <f t="shared" si="169"/>
        <v>0.10482468568892564</v>
      </c>
      <c r="J274" s="1234">
        <f t="shared" si="169"/>
        <v>0.10292016873998516</v>
      </c>
      <c r="K274" s="1076">
        <f t="shared" si="169"/>
        <v>9.7064847747024993E-2</v>
      </c>
      <c r="L274" s="1221"/>
      <c r="M274" s="1232">
        <f t="shared" si="170"/>
        <v>0</v>
      </c>
      <c r="N274" s="1235">
        <f t="shared" si="170"/>
        <v>0.10641532223385632</v>
      </c>
      <c r="O274" s="1232">
        <f t="shared" si="170"/>
        <v>0.10051151622841223</v>
      </c>
      <c r="P274" s="1233">
        <f t="shared" si="170"/>
        <v>9.432168016617451E-2</v>
      </c>
      <c r="Q274" s="1233">
        <f t="shared" si="170"/>
        <v>8.8872502330963471E-2</v>
      </c>
      <c r="R274" s="1232">
        <f t="shared" si="170"/>
        <v>-0.53650933203020545</v>
      </c>
      <c r="S274" s="1233">
        <f t="shared" si="170"/>
        <v>-0.9708326088869792</v>
      </c>
      <c r="T274" s="1233">
        <f t="shared" si="170"/>
        <v>-0.82231787175535598</v>
      </c>
      <c r="U274" s="1236"/>
      <c r="V274" s="1221"/>
      <c r="W274" s="1232">
        <f t="shared" si="171"/>
        <v>0.10051151622841223</v>
      </c>
      <c r="X274" s="1233">
        <f t="shared" si="171"/>
        <v>0.14010451122375109</v>
      </c>
      <c r="Y274" s="1232">
        <f t="shared" si="171"/>
        <v>-5.4222160366036194</v>
      </c>
      <c r="Z274" s="1051">
        <f t="shared" si="171"/>
        <v>-5.4222160366036203</v>
      </c>
    </row>
    <row r="275" spans="1:26">
      <c r="A275" s="1052" t="s">
        <v>447</v>
      </c>
      <c r="B275" s="1053"/>
      <c r="C275" s="1236">
        <f t="shared" si="169"/>
        <v>0.73209853970661143</v>
      </c>
      <c r="D275" s="1232">
        <f t="shared" si="169"/>
        <v>0.65647970103447384</v>
      </c>
      <c r="E275" s="1233">
        <f t="shared" si="169"/>
        <v>0.66807505437274894</v>
      </c>
      <c r="F275" s="1233">
        <f t="shared" si="169"/>
        <v>0.61852364830615048</v>
      </c>
      <c r="G275" s="1051">
        <f t="shared" si="169"/>
        <v>0.58797203911001572</v>
      </c>
      <c r="H275" s="1234">
        <f t="shared" si="169"/>
        <v>0.65489423383932766</v>
      </c>
      <c r="I275" s="1234">
        <f t="shared" si="169"/>
        <v>0.6664620763414163</v>
      </c>
      <c r="J275" s="1234">
        <f t="shared" si="169"/>
        <v>0.61702986918452796</v>
      </c>
      <c r="K275" s="1076">
        <f t="shared" si="169"/>
        <v>0.58655197143589133</v>
      </c>
      <c r="L275" s="1221"/>
      <c r="M275" s="1232">
        <f t="shared" si="170"/>
        <v>0</v>
      </c>
      <c r="N275" s="1235">
        <f t="shared" si="170"/>
        <v>0.65234150033021587</v>
      </c>
      <c r="O275" s="1232">
        <f t="shared" si="170"/>
        <v>0.62841629304422619</v>
      </c>
      <c r="P275" s="1233">
        <f t="shared" si="170"/>
        <v>0.60006881919286459</v>
      </c>
      <c r="Q275" s="1233">
        <f t="shared" si="170"/>
        <v>0.5770960522969697</v>
      </c>
      <c r="R275" s="1232">
        <f t="shared" si="170"/>
        <v>-4.9034848406287175</v>
      </c>
      <c r="S275" s="1233">
        <f t="shared" si="170"/>
        <v>-1.6216782592301262</v>
      </c>
      <c r="T275" s="1233">
        <f t="shared" si="170"/>
        <v>-0.59884917482093769</v>
      </c>
      <c r="U275" s="1236"/>
      <c r="V275" s="1221"/>
      <c r="W275" s="1232">
        <f t="shared" si="171"/>
        <v>0.62841629304422619</v>
      </c>
      <c r="X275" s="1233">
        <f t="shared" si="171"/>
        <v>0.66807505437274894</v>
      </c>
      <c r="Y275" s="1232">
        <f t="shared" si="171"/>
        <v>-4.9034848406287175</v>
      </c>
      <c r="Z275" s="1051">
        <f t="shared" si="171"/>
        <v>-4.9034848406287175</v>
      </c>
    </row>
    <row r="276" spans="1:26">
      <c r="A276" s="1052" t="s">
        <v>949</v>
      </c>
      <c r="B276" s="1053"/>
      <c r="C276" s="1236">
        <f t="shared" ref="C276:K291" si="172">C52/C$179*100</f>
        <v>4.3336399652975678E-2</v>
      </c>
      <c r="D276" s="1232">
        <f t="shared" si="172"/>
        <v>-3.1796852163706847E-2</v>
      </c>
      <c r="E276" s="1233">
        <f t="shared" si="172"/>
        <v>0</v>
      </c>
      <c r="F276" s="1233">
        <f t="shared" si="172"/>
        <v>0</v>
      </c>
      <c r="G276" s="1051">
        <f t="shared" si="172"/>
        <v>0</v>
      </c>
      <c r="H276" s="1234">
        <f t="shared" si="172"/>
        <v>0</v>
      </c>
      <c r="I276" s="1234">
        <f t="shared" si="172"/>
        <v>0</v>
      </c>
      <c r="J276" s="1234">
        <f t="shared" si="172"/>
        <v>0</v>
      </c>
      <c r="K276" s="1076">
        <f t="shared" si="172"/>
        <v>0</v>
      </c>
      <c r="L276" s="1221"/>
      <c r="M276" s="1232">
        <f t="shared" ref="M276:T291" si="173">M52/M$179*100</f>
        <v>0</v>
      </c>
      <c r="N276" s="1235">
        <f t="shared" si="173"/>
        <v>0</v>
      </c>
      <c r="O276" s="1232">
        <f t="shared" si="173"/>
        <v>0</v>
      </c>
      <c r="P276" s="1233">
        <f t="shared" si="173"/>
        <v>0</v>
      </c>
      <c r="Q276" s="1233">
        <f t="shared" si="173"/>
        <v>0</v>
      </c>
      <c r="R276" s="1232">
        <f t="shared" si="173"/>
        <v>0</v>
      </c>
      <c r="S276" s="1233">
        <f t="shared" si="173"/>
        <v>0</v>
      </c>
      <c r="T276" s="1233">
        <f t="shared" si="173"/>
        <v>0</v>
      </c>
      <c r="U276" s="1236"/>
      <c r="V276" s="1221"/>
      <c r="W276" s="1232">
        <f t="shared" ref="W276:Z291" si="174">W52/W$179*100</f>
        <v>0</v>
      </c>
      <c r="X276" s="1233">
        <f t="shared" si="174"/>
        <v>0</v>
      </c>
      <c r="Y276" s="1232">
        <f t="shared" si="174"/>
        <v>0</v>
      </c>
      <c r="Z276" s="1051">
        <f t="shared" si="174"/>
        <v>0</v>
      </c>
    </row>
    <row r="277" spans="1:26">
      <c r="A277" s="1052" t="s">
        <v>940</v>
      </c>
      <c r="B277" s="1053"/>
      <c r="C277" s="1236">
        <f t="shared" si="172"/>
        <v>1.8209202492950252</v>
      </c>
      <c r="D277" s="1232">
        <f t="shared" si="172"/>
        <v>1.7321423869112846</v>
      </c>
      <c r="E277" s="1233">
        <f t="shared" si="172"/>
        <v>1.7485235636465757</v>
      </c>
      <c r="F277" s="1233">
        <f t="shared" si="172"/>
        <v>1.6772941745517456</v>
      </c>
      <c r="G277" s="1051">
        <f t="shared" si="172"/>
        <v>1.6069661592867064</v>
      </c>
      <c r="H277" s="1234">
        <f t="shared" si="172"/>
        <v>1.7751264563626215</v>
      </c>
      <c r="I277" s="1234">
        <f t="shared" si="172"/>
        <v>1.7888891443165584</v>
      </c>
      <c r="J277" s="1234">
        <f t="shared" si="172"/>
        <v>1.7151319389824116</v>
      </c>
      <c r="K277" s="1076">
        <f t="shared" si="172"/>
        <v>1.6425904537022344</v>
      </c>
      <c r="L277" s="1221"/>
      <c r="M277" s="1232">
        <f t="shared" si="173"/>
        <v>0</v>
      </c>
      <c r="N277" s="1235">
        <f t="shared" si="173"/>
        <v>1.7682071332812404</v>
      </c>
      <c r="O277" s="1232">
        <f t="shared" si="173"/>
        <v>1.7702190315038495</v>
      </c>
      <c r="P277" s="1233">
        <f t="shared" si="173"/>
        <v>1.7715227357661707</v>
      </c>
      <c r="Q277" s="1233">
        <f t="shared" si="173"/>
        <v>1.7808049174820637</v>
      </c>
      <c r="R277" s="1232">
        <f t="shared" si="173"/>
        <v>-1.4379374507546849</v>
      </c>
      <c r="S277" s="1233">
        <f t="shared" si="173"/>
        <v>8.0604436672253001</v>
      </c>
      <c r="T277" s="1233">
        <f t="shared" si="173"/>
        <v>16.294996901562591</v>
      </c>
      <c r="U277" s="1236"/>
      <c r="V277" s="1221"/>
      <c r="W277" s="1232">
        <f t="shared" si="174"/>
        <v>1.7702190315038495</v>
      </c>
      <c r="X277" s="1233">
        <f t="shared" si="174"/>
        <v>1.7485235636465757</v>
      </c>
      <c r="Y277" s="1232">
        <f t="shared" si="174"/>
        <v>4.7964654198120105</v>
      </c>
      <c r="Z277" s="1051">
        <f t="shared" si="174"/>
        <v>4.7964654198120114</v>
      </c>
    </row>
    <row r="278" spans="1:26">
      <c r="A278" s="1052" t="s">
        <v>941</v>
      </c>
      <c r="B278" s="1053"/>
      <c r="C278" s="1252">
        <f t="shared" si="172"/>
        <v>1.6678911798346369E-2</v>
      </c>
      <c r="D278" s="1249">
        <f t="shared" si="172"/>
        <v>0</v>
      </c>
      <c r="E278" s="1250">
        <f t="shared" si="172"/>
        <v>0</v>
      </c>
      <c r="F278" s="1250">
        <f t="shared" si="172"/>
        <v>0</v>
      </c>
      <c r="G278" s="1251">
        <f t="shared" si="172"/>
        <v>0</v>
      </c>
      <c r="H278" s="1253">
        <f t="shared" si="172"/>
        <v>1.5960966025495692E-2</v>
      </c>
      <c r="I278" s="1253">
        <f t="shared" si="172"/>
        <v>1.5087846416186386E-2</v>
      </c>
      <c r="J278" s="1253">
        <f t="shared" si="172"/>
        <v>1.4174664960865639E-2</v>
      </c>
      <c r="K278" s="1254">
        <f t="shared" si="172"/>
        <v>1.33682417463525E-2</v>
      </c>
      <c r="L278" s="1221"/>
      <c r="M278" s="1232">
        <f t="shared" si="173"/>
        <v>0</v>
      </c>
      <c r="N278" s="1235">
        <f t="shared" si="173"/>
        <v>1.5898751257513669E-2</v>
      </c>
      <c r="O278" s="1232">
        <f t="shared" si="173"/>
        <v>1.5315650352187467E-2</v>
      </c>
      <c r="P278" s="1233">
        <f t="shared" si="173"/>
        <v>1.4624770751068222E-2</v>
      </c>
      <c r="Q278" s="1233">
        <f t="shared" si="173"/>
        <v>1.4064882553874275E-2</v>
      </c>
      <c r="R278" s="1232">
        <f t="shared" si="173"/>
        <v>4.1997959100947474E-2</v>
      </c>
      <c r="S278" s="1233">
        <f t="shared" si="173"/>
        <v>6.4681067039490614E-2</v>
      </c>
      <c r="T278" s="1233">
        <f t="shared" si="173"/>
        <v>8.5888421116159422E-2</v>
      </c>
      <c r="U278" s="1236"/>
      <c r="V278" s="1221"/>
      <c r="W278" s="1256">
        <f t="shared" si="174"/>
        <v>1.5315650352187467E-2</v>
      </c>
      <c r="X278" s="1234">
        <f t="shared" si="174"/>
        <v>1.5124362169555315E-2</v>
      </c>
      <c r="Y278" s="1256">
        <f t="shared" si="174"/>
        <v>4.1997959100947474E-2</v>
      </c>
      <c r="Z278" s="1076">
        <f t="shared" si="174"/>
        <v>4.1997959100947474E-2</v>
      </c>
    </row>
    <row r="279" spans="1:26">
      <c r="A279" s="1052" t="s">
        <v>942</v>
      </c>
      <c r="B279" s="1053"/>
      <c r="C279" s="1252">
        <f t="shared" si="172"/>
        <v>3.53033245966069E-2</v>
      </c>
      <c r="D279" s="1249">
        <f t="shared" si="172"/>
        <v>3.1205832606760624E-2</v>
      </c>
      <c r="E279" s="1250">
        <f t="shared" si="172"/>
        <v>0</v>
      </c>
      <c r="F279" s="1250">
        <f t="shared" si="172"/>
        <v>0</v>
      </c>
      <c r="G279" s="1251">
        <f t="shared" si="172"/>
        <v>0</v>
      </c>
      <c r="H279" s="1253">
        <f t="shared" si="172"/>
        <v>3.3783688725385244E-2</v>
      </c>
      <c r="I279" s="1253">
        <f t="shared" si="172"/>
        <v>3.1935605028332231E-2</v>
      </c>
      <c r="J279" s="1253">
        <f t="shared" si="172"/>
        <v>3.0002724650849424E-2</v>
      </c>
      <c r="K279" s="1254">
        <f t="shared" si="172"/>
        <v>2.829581350170484E-2</v>
      </c>
      <c r="L279" s="1221"/>
      <c r="M279" s="1249">
        <f t="shared" si="173"/>
        <v>0</v>
      </c>
      <c r="N279" s="1235">
        <f t="shared" si="173"/>
        <v>3.3652002187598666E-2</v>
      </c>
      <c r="O279" s="1249">
        <f t="shared" si="173"/>
        <v>3.2417784944759886E-2</v>
      </c>
      <c r="P279" s="1250">
        <f t="shared" si="173"/>
        <v>3.0955438533292846E-2</v>
      </c>
      <c r="Q279" s="1250">
        <f t="shared" si="173"/>
        <v>2.9770354338213248E-2</v>
      </c>
      <c r="R279" s="1232">
        <f t="shared" si="173"/>
        <v>8.8894743281918584E-2</v>
      </c>
      <c r="S279" s="1233">
        <f t="shared" si="173"/>
        <v>0.13690681577777855</v>
      </c>
      <c r="T279" s="1233">
        <f t="shared" si="173"/>
        <v>0.18179524218447257</v>
      </c>
      <c r="U279" s="1236"/>
      <c r="V279" s="1221"/>
      <c r="W279" s="1232">
        <f t="shared" si="174"/>
        <v>3.2417784944759886E-2</v>
      </c>
      <c r="X279" s="1233">
        <f t="shared" si="174"/>
        <v>3.2012895891768582E-2</v>
      </c>
      <c r="Y279" s="1232">
        <f t="shared" si="174"/>
        <v>8.8894743281918584E-2</v>
      </c>
      <c r="Z279" s="1051">
        <f t="shared" si="174"/>
        <v>8.8894743281918598E-2</v>
      </c>
    </row>
    <row r="280" spans="1:26">
      <c r="A280" s="1052" t="s">
        <v>950</v>
      </c>
      <c r="B280" s="1053"/>
      <c r="C280" s="1252">
        <f t="shared" si="172"/>
        <v>7.1202928024491127E-3</v>
      </c>
      <c r="D280" s="1249">
        <f t="shared" si="172"/>
        <v>3.0035613884007101E-3</v>
      </c>
      <c r="E280" s="1250">
        <f t="shared" si="172"/>
        <v>1.5687968749403567E-2</v>
      </c>
      <c r="F280" s="1250">
        <f t="shared" si="172"/>
        <v>1.481300790590822E-2</v>
      </c>
      <c r="G280" s="1251">
        <f t="shared" si="172"/>
        <v>1.3981160198876304E-2</v>
      </c>
      <c r="H280" s="1253">
        <f t="shared" si="172"/>
        <v>2.9963074732493153E-3</v>
      </c>
      <c r="I280" s="1253">
        <f t="shared" si="172"/>
        <v>1.5650092243188592E-2</v>
      </c>
      <c r="J280" s="1253">
        <f t="shared" si="172"/>
        <v>1.4777233425823471E-2</v>
      </c>
      <c r="K280" s="1254">
        <f t="shared" si="172"/>
        <v>1.3947392957707437E-2</v>
      </c>
      <c r="L280" s="1221"/>
      <c r="M280" s="1249">
        <f t="shared" si="173"/>
        <v>0</v>
      </c>
      <c r="N280" s="1235">
        <f t="shared" si="173"/>
        <v>2.9846280690106726E-3</v>
      </c>
      <c r="O280" s="1249">
        <f t="shared" si="173"/>
        <v>2.8751641682983669E-3</v>
      </c>
      <c r="P280" s="1250">
        <f t="shared" si="173"/>
        <v>2.7454672747242318E-3</v>
      </c>
      <c r="Q280" s="1250">
        <f t="shared" si="173"/>
        <v>2.6403610307314468E-3</v>
      </c>
      <c r="R280" s="1232">
        <f t="shared" si="173"/>
        <v>-1.7843508059168816</v>
      </c>
      <c r="S280" s="1233">
        <f t="shared" si="173"/>
        <v>-1.4500462641741625</v>
      </c>
      <c r="T280" s="1233">
        <f t="shared" si="173"/>
        <v>-1.2235618110320075</v>
      </c>
      <c r="U280" s="1236"/>
      <c r="V280" s="1221"/>
      <c r="W280" s="1232">
        <f t="shared" si="174"/>
        <v>2.8751641682983669E-3</v>
      </c>
      <c r="X280" s="1233">
        <f t="shared" si="174"/>
        <v>1.5687968749403567E-2</v>
      </c>
      <c r="Y280" s="1232">
        <f t="shared" si="174"/>
        <v>-1.7843508059168816</v>
      </c>
      <c r="Z280" s="1051">
        <f t="shared" si="174"/>
        <v>-1.7843508059168816</v>
      </c>
    </row>
    <row r="281" spans="1:26">
      <c r="A281" s="1052" t="s">
        <v>432</v>
      </c>
      <c r="B281" s="1053"/>
      <c r="C281" s="1236">
        <f t="shared" si="172"/>
        <v>1.348968880350222</v>
      </c>
      <c r="D281" s="1232">
        <f t="shared" si="172"/>
        <v>1.2212272566353239</v>
      </c>
      <c r="E281" s="1233">
        <f t="shared" si="172"/>
        <v>1.2162924631726866</v>
      </c>
      <c r="F281" s="1233">
        <f t="shared" si="172"/>
        <v>1.1558072227806628</v>
      </c>
      <c r="G281" s="1051">
        <f t="shared" si="172"/>
        <v>1.1041671263422144</v>
      </c>
      <c r="H281" s="1234">
        <f t="shared" si="172"/>
        <v>1.2865118506393147</v>
      </c>
      <c r="I281" s="1234">
        <f t="shared" si="172"/>
        <v>1.2645244573536747</v>
      </c>
      <c r="J281" s="1234">
        <f t="shared" si="172"/>
        <v>1.2463433158210317</v>
      </c>
      <c r="K281" s="1076">
        <f t="shared" si="172"/>
        <v>1.1970760136049723</v>
      </c>
      <c r="L281" s="1221"/>
      <c r="M281" s="1232">
        <f t="shared" si="173"/>
        <v>0</v>
      </c>
      <c r="N281" s="1235">
        <f t="shared" si="173"/>
        <v>1.2814971143028175</v>
      </c>
      <c r="O281" s="1232">
        <f t="shared" si="173"/>
        <v>1.2344970628258345</v>
      </c>
      <c r="P281" s="1233">
        <f t="shared" si="173"/>
        <v>1.1788096568890583</v>
      </c>
      <c r="Q281" s="1233">
        <f t="shared" si="173"/>
        <v>1.1336806340233687</v>
      </c>
      <c r="R281" s="1232">
        <f t="shared" si="173"/>
        <v>-3.3808384108964993</v>
      </c>
      <c r="S281" s="1233">
        <f t="shared" si="173"/>
        <v>-7.3147058647302003</v>
      </c>
      <c r="T281" s="1233">
        <f t="shared" si="173"/>
        <v>-6.0341826425493776</v>
      </c>
      <c r="U281" s="1236"/>
      <c r="V281" s="1221"/>
      <c r="W281" s="1232">
        <f t="shared" si="174"/>
        <v>1.2344970628258345</v>
      </c>
      <c r="X281" s="1233">
        <f t="shared" si="174"/>
        <v>1.2162924631726866</v>
      </c>
      <c r="Y281" s="1232">
        <f t="shared" si="174"/>
        <v>3.7738110021868874</v>
      </c>
      <c r="Z281" s="1051">
        <f t="shared" si="174"/>
        <v>3.7738110021868878</v>
      </c>
    </row>
    <row r="282" spans="1:26">
      <c r="A282" s="790" t="s">
        <v>951</v>
      </c>
      <c r="B282" s="1060" t="s">
        <v>952</v>
      </c>
      <c r="C282" s="1224">
        <f t="shared" si="172"/>
        <v>1.9008571928573401</v>
      </c>
      <c r="D282" s="1247">
        <f t="shared" si="172"/>
        <v>1.8688286618853516</v>
      </c>
      <c r="E282" s="1244">
        <f t="shared" si="172"/>
        <v>1.0496457860177864</v>
      </c>
      <c r="F282" s="1244">
        <f t="shared" si="172"/>
        <v>2.0683592628660961</v>
      </c>
      <c r="G282" s="1067">
        <f t="shared" si="172"/>
        <v>1.8936116242251892</v>
      </c>
      <c r="H282" s="1245">
        <f t="shared" si="172"/>
        <v>1.7146989069723184</v>
      </c>
      <c r="I282" s="1245">
        <f t="shared" si="172"/>
        <v>1.8127879659300117</v>
      </c>
      <c r="J282" s="1245">
        <f t="shared" si="172"/>
        <v>1.857391233064962</v>
      </c>
      <c r="K282" s="1246">
        <f t="shared" si="172"/>
        <v>1.8328398182195726</v>
      </c>
      <c r="L282" s="1221"/>
      <c r="M282" s="1247">
        <f t="shared" si="173"/>
        <v>0</v>
      </c>
      <c r="N282" s="1248">
        <f t="shared" si="173"/>
        <v>1.7080151263987677</v>
      </c>
      <c r="O282" s="1247">
        <f t="shared" si="173"/>
        <v>1.9324137139198945</v>
      </c>
      <c r="P282" s="1244">
        <f t="shared" si="173"/>
        <v>2.0098140847799257</v>
      </c>
      <c r="Q282" s="1244">
        <f t="shared" si="173"/>
        <v>1.9749619051557101</v>
      </c>
      <c r="R282" s="1247">
        <f t="shared" si="173"/>
        <v>18.006731960650711</v>
      </c>
      <c r="S282" s="1244">
        <f t="shared" si="173"/>
        <v>19.818417508299003</v>
      </c>
      <c r="T282" s="1244">
        <f t="shared" si="173"/>
        <v>16.861856451637973</v>
      </c>
      <c r="U282" s="1224"/>
      <c r="V282" s="1221"/>
      <c r="W282" s="1247">
        <f t="shared" si="174"/>
        <v>1.9324137139198945</v>
      </c>
      <c r="X282" s="1244">
        <f t="shared" si="174"/>
        <v>1.2126504029765801</v>
      </c>
      <c r="Y282" s="1247">
        <f t="shared" si="174"/>
        <v>102.33039243041304</v>
      </c>
      <c r="Z282" s="1067">
        <f t="shared" si="174"/>
        <v>102.33039243041304</v>
      </c>
    </row>
    <row r="283" spans="1:26">
      <c r="A283" s="1052" t="s">
        <v>953</v>
      </c>
      <c r="B283" s="1060"/>
      <c r="C283" s="1236">
        <f t="shared" si="172"/>
        <v>0.98127674992495129</v>
      </c>
      <c r="D283" s="1232">
        <f t="shared" si="172"/>
        <v>0.95759943714211937</v>
      </c>
      <c r="E283" s="1233">
        <f t="shared" si="172"/>
        <v>0.38666038247506118</v>
      </c>
      <c r="F283" s="1233">
        <f t="shared" si="172"/>
        <v>1.3976305478624247</v>
      </c>
      <c r="G283" s="1051">
        <f t="shared" si="172"/>
        <v>1.2142789106843204</v>
      </c>
      <c r="H283" s="1234">
        <f t="shared" si="172"/>
        <v>0.79779164510917244</v>
      </c>
      <c r="I283" s="1234">
        <f t="shared" si="172"/>
        <v>1.016659161431531</v>
      </c>
      <c r="J283" s="1234">
        <f t="shared" si="172"/>
        <v>1.0564575094239887</v>
      </c>
      <c r="K283" s="1076">
        <f t="shared" si="172"/>
        <v>1.0258845438143478</v>
      </c>
      <c r="L283" s="1221"/>
      <c r="M283" s="1232">
        <f t="shared" si="173"/>
        <v>0</v>
      </c>
      <c r="N283" s="1235">
        <f t="shared" si="173"/>
        <v>0.79468190713847708</v>
      </c>
      <c r="O283" s="1232">
        <f t="shared" si="173"/>
        <v>1.0121789072347946</v>
      </c>
      <c r="P283" s="1233">
        <f t="shared" si="173"/>
        <v>1.0503204428366923</v>
      </c>
      <c r="Q283" s="1233">
        <f t="shared" si="173"/>
        <v>1.0188466992096645</v>
      </c>
      <c r="R283" s="1232">
        <f t="shared" si="173"/>
        <v>4.4026548254724095E-2</v>
      </c>
      <c r="S283" s="1233">
        <f t="shared" si="173"/>
        <v>3.5838490752332641E-3</v>
      </c>
      <c r="T283" s="1233">
        <f t="shared" si="173"/>
        <v>-1.0653230229228042E-2</v>
      </c>
      <c r="U283" s="1236"/>
      <c r="V283" s="1221"/>
      <c r="W283" s="1232">
        <f t="shared" si="174"/>
        <v>1.0121789072347946</v>
      </c>
      <c r="X283" s="1233">
        <f t="shared" si="174"/>
        <v>0.38666038247506118</v>
      </c>
      <c r="Y283" s="1232">
        <f t="shared" si="174"/>
        <v>88.264188812121233</v>
      </c>
      <c r="Z283" s="1051">
        <f t="shared" si="174"/>
        <v>88.264188812121247</v>
      </c>
    </row>
    <row r="284" spans="1:26">
      <c r="A284" s="1052" t="s">
        <v>954</v>
      </c>
      <c r="B284" s="1060"/>
      <c r="C284" s="1236">
        <f t="shared" si="172"/>
        <v>7.4161501854388731E-2</v>
      </c>
      <c r="D284" s="1232">
        <f t="shared" si="172"/>
        <v>6.4544063774983229E-2</v>
      </c>
      <c r="E284" s="1233">
        <f t="shared" si="172"/>
        <v>0.10626207641600993</v>
      </c>
      <c r="F284" s="1233">
        <f t="shared" si="172"/>
        <v>0.11405963600100155</v>
      </c>
      <c r="G284" s="1051">
        <f t="shared" si="172"/>
        <v>0.11091370614929266</v>
      </c>
      <c r="H284" s="1234">
        <f t="shared" si="172"/>
        <v>6.4388183104803459E-2</v>
      </c>
      <c r="I284" s="1234">
        <f t="shared" si="172"/>
        <v>0.10600552081840012</v>
      </c>
      <c r="J284" s="1234">
        <f t="shared" si="172"/>
        <v>0.11378417377195867</v>
      </c>
      <c r="K284" s="1076">
        <f t="shared" si="172"/>
        <v>0.11064582781793811</v>
      </c>
      <c r="L284" s="1221"/>
      <c r="M284" s="1232">
        <f t="shared" si="173"/>
        <v>0</v>
      </c>
      <c r="N284" s="1235">
        <f t="shared" si="173"/>
        <v>6.4137202314151417E-2</v>
      </c>
      <c r="O284" s="1232">
        <f t="shared" si="173"/>
        <v>0.10550569536541105</v>
      </c>
      <c r="P284" s="1233">
        <f t="shared" si="173"/>
        <v>0.1131200103877741</v>
      </c>
      <c r="Q284" s="1233">
        <f t="shared" si="173"/>
        <v>0.10989729694518828</v>
      </c>
      <c r="R284" s="1232">
        <f t="shared" si="173"/>
        <v>0</v>
      </c>
      <c r="S284" s="1233">
        <f t="shared" si="173"/>
        <v>0</v>
      </c>
      <c r="T284" s="1233">
        <f t="shared" si="173"/>
        <v>0</v>
      </c>
      <c r="U284" s="1236"/>
      <c r="V284" s="1221"/>
      <c r="W284" s="1232">
        <f t="shared" si="174"/>
        <v>0.10550569536541105</v>
      </c>
      <c r="X284" s="1233">
        <f t="shared" si="174"/>
        <v>0.10626207641600993</v>
      </c>
      <c r="Y284" s="1232">
        <f t="shared" si="174"/>
        <v>0</v>
      </c>
      <c r="Z284" s="1051">
        <f t="shared" si="174"/>
        <v>0</v>
      </c>
    </row>
    <row r="285" spans="1:26">
      <c r="A285" s="1052" t="s">
        <v>955</v>
      </c>
      <c r="B285" s="1060"/>
      <c r="C285" s="1236">
        <f t="shared" si="172"/>
        <v>5.0218124891148269E-2</v>
      </c>
      <c r="D285" s="1232">
        <f t="shared" si="172"/>
        <v>1.3729384307860783E-2</v>
      </c>
      <c r="E285" s="1233">
        <f t="shared" si="172"/>
        <v>2.4940785234506296E-2</v>
      </c>
      <c r="F285" s="1233">
        <f t="shared" si="172"/>
        <v>0.10177382738989431</v>
      </c>
      <c r="G285" s="1051">
        <f t="shared" si="172"/>
        <v>0.13806258478658895</v>
      </c>
      <c r="H285" s="1234">
        <f t="shared" si="172"/>
        <v>1.3696226407631167E-2</v>
      </c>
      <c r="I285" s="1234">
        <f t="shared" si="172"/>
        <v>2.4880569038131153E-2</v>
      </c>
      <c r="J285" s="1234">
        <f t="shared" si="172"/>
        <v>0.10152803627277378</v>
      </c>
      <c r="K285" s="1076">
        <f t="shared" si="172"/>
        <v>0.1377291365941235</v>
      </c>
      <c r="L285" s="1221"/>
      <c r="M285" s="1232">
        <f t="shared" si="173"/>
        <v>0</v>
      </c>
      <c r="N285" s="1235">
        <f t="shared" si="173"/>
        <v>1.364283944177842E-2</v>
      </c>
      <c r="O285" s="1232">
        <f t="shared" si="173"/>
        <v>2.1272078988096601E-2</v>
      </c>
      <c r="P285" s="1233">
        <f t="shared" si="173"/>
        <v>9.7932218884648356E-2</v>
      </c>
      <c r="Q285" s="1233">
        <f t="shared" si="173"/>
        <v>0.13679604621578309</v>
      </c>
      <c r="R285" s="1232">
        <f t="shared" si="173"/>
        <v>-0.49046655237028075</v>
      </c>
      <c r="S285" s="1233">
        <f t="shared" si="173"/>
        <v>-0.36455282611805001</v>
      </c>
      <c r="T285" s="1233">
        <f t="shared" si="173"/>
        <v>-1.4600905715574141E-4</v>
      </c>
      <c r="U285" s="1236"/>
      <c r="V285" s="1221"/>
      <c r="W285" s="1232">
        <f t="shared" si="174"/>
        <v>2.1272078988096601E-2</v>
      </c>
      <c r="X285" s="1233">
        <f t="shared" si="174"/>
        <v>2.4940785234506296E-2</v>
      </c>
      <c r="Y285" s="1232">
        <f t="shared" si="174"/>
        <v>-0.49046655237028075</v>
      </c>
      <c r="Z285" s="1051">
        <f t="shared" si="174"/>
        <v>-0.4904665523702807</v>
      </c>
    </row>
    <row r="286" spans="1:26">
      <c r="A286" s="1052" t="s">
        <v>940</v>
      </c>
      <c r="B286" s="1053"/>
      <c r="C286" s="1236">
        <f t="shared" si="172"/>
        <v>-3.648620204217746E-3</v>
      </c>
      <c r="D286" s="1232">
        <f t="shared" si="172"/>
        <v>4.6993147011908154E-2</v>
      </c>
      <c r="E286" s="1233">
        <f t="shared" si="172"/>
        <v>5.1067466934044965E-2</v>
      </c>
      <c r="F286" s="1233">
        <f t="shared" si="172"/>
        <v>4.6017846188880919E-2</v>
      </c>
      <c r="G286" s="1051">
        <f t="shared" si="172"/>
        <v>4.4548241429601829E-2</v>
      </c>
      <c r="H286" s="1234">
        <f t="shared" si="172"/>
        <v>1.740004450030181E-2</v>
      </c>
      <c r="I286" s="1234">
        <f t="shared" si="172"/>
        <v>2.3077197985094975E-2</v>
      </c>
      <c r="J286" s="1234">
        <f t="shared" si="172"/>
        <v>1.9726365675163827E-2</v>
      </c>
      <c r="K286" s="1076">
        <f t="shared" si="172"/>
        <v>1.9749753361795467E-2</v>
      </c>
      <c r="L286" s="1221"/>
      <c r="M286" s="1232">
        <f t="shared" si="173"/>
        <v>0</v>
      </c>
      <c r="N286" s="1235">
        <f t="shared" si="173"/>
        <v>1.7332220301582636E-2</v>
      </c>
      <c r="O286" s="1232">
        <f t="shared" si="173"/>
        <v>1.7351941216945038E-2</v>
      </c>
      <c r="P286" s="1233">
        <f t="shared" si="173"/>
        <v>1.7364720313385356E-2</v>
      </c>
      <c r="Q286" s="1233">
        <f t="shared" si="173"/>
        <v>1.7455705591835534E-2</v>
      </c>
      <c r="R286" s="1232">
        <f t="shared" si="173"/>
        <v>-0.78904037152695228</v>
      </c>
      <c r="S286" s="1233">
        <f t="shared" si="173"/>
        <v>-0.27269921040724782</v>
      </c>
      <c r="T286" s="1233">
        <f t="shared" si="173"/>
        <v>-0.23575371823977481</v>
      </c>
      <c r="U286" s="1236"/>
      <c r="V286" s="1221"/>
      <c r="W286" s="1232">
        <f t="shared" si="174"/>
        <v>1.7351941216945038E-2</v>
      </c>
      <c r="X286" s="1233">
        <f t="shared" si="174"/>
        <v>5.1067466934044965E-2</v>
      </c>
      <c r="Y286" s="1232">
        <f t="shared" si="174"/>
        <v>-4.6855421656311371</v>
      </c>
      <c r="Z286" s="1051">
        <f t="shared" si="174"/>
        <v>-4.6855421656311371</v>
      </c>
    </row>
    <row r="287" spans="1:26">
      <c r="A287" s="1052" t="s">
        <v>941</v>
      </c>
      <c r="B287" s="1053"/>
      <c r="C287" s="1252">
        <f t="shared" si="172"/>
        <v>2.5737497536472833E-2</v>
      </c>
      <c r="D287" s="1249">
        <f t="shared" si="172"/>
        <v>0</v>
      </c>
      <c r="E287" s="1250">
        <f t="shared" si="172"/>
        <v>0</v>
      </c>
      <c r="F287" s="1250">
        <f t="shared" si="172"/>
        <v>0</v>
      </c>
      <c r="G287" s="1251">
        <f t="shared" si="172"/>
        <v>0</v>
      </c>
      <c r="H287" s="1253">
        <f t="shared" si="172"/>
        <v>2.6578815602927814E-2</v>
      </c>
      <c r="I287" s="1253">
        <f t="shared" si="172"/>
        <v>2.5124863188138946E-2</v>
      </c>
      <c r="J287" s="1253">
        <f t="shared" si="172"/>
        <v>2.3604198243785773E-2</v>
      </c>
      <c r="K287" s="1254">
        <f t="shared" si="172"/>
        <v>2.2261311235428807E-2</v>
      </c>
      <c r="L287" s="1221"/>
      <c r="M287" s="1249">
        <f t="shared" si="173"/>
        <v>0</v>
      </c>
      <c r="N287" s="1235">
        <f t="shared" si="173"/>
        <v>2.6475213174144255E-2</v>
      </c>
      <c r="O287" s="1249">
        <f t="shared" si="173"/>
        <v>2.5504211079671466E-2</v>
      </c>
      <c r="P287" s="1250">
        <f t="shared" si="173"/>
        <v>2.4353731748242499E-2</v>
      </c>
      <c r="Q287" s="1250">
        <f t="shared" si="173"/>
        <v>2.3421384349739009E-2</v>
      </c>
      <c r="R287" s="1249">
        <f t="shared" si="173"/>
        <v>6.9936619679554918E-2</v>
      </c>
      <c r="S287" s="1250">
        <f t="shared" si="173"/>
        <v>0.10770940500074418</v>
      </c>
      <c r="T287" s="1250">
        <f t="shared" si="173"/>
        <v>0.14302470813022861</v>
      </c>
      <c r="U287" s="1252"/>
      <c r="V287" s="1221"/>
      <c r="W287" s="1232">
        <f t="shared" si="174"/>
        <v>2.5504211079671466E-2</v>
      </c>
      <c r="X287" s="1233">
        <f t="shared" si="174"/>
        <v>2.5185670627603733E-2</v>
      </c>
      <c r="Y287" s="1232">
        <f t="shared" si="174"/>
        <v>6.9936619679554918E-2</v>
      </c>
      <c r="Z287" s="1051">
        <f t="shared" si="174"/>
        <v>6.9936619679554918E-2</v>
      </c>
    </row>
    <row r="288" spans="1:26">
      <c r="A288" s="1052" t="s">
        <v>942</v>
      </c>
      <c r="B288" s="1053"/>
      <c r="C288" s="1252">
        <f t="shared" si="172"/>
        <v>2.8762027563754556E-2</v>
      </c>
      <c r="D288" s="1249">
        <f t="shared" si="172"/>
        <v>3.7825251644558332E-3</v>
      </c>
      <c r="E288" s="1250">
        <f t="shared" si="172"/>
        <v>0</v>
      </c>
      <c r="F288" s="1250">
        <f t="shared" si="172"/>
        <v>0</v>
      </c>
      <c r="G288" s="1251">
        <f t="shared" si="172"/>
        <v>0</v>
      </c>
      <c r="H288" s="1253">
        <f t="shared" si="172"/>
        <v>2.7523962613374548E-2</v>
      </c>
      <c r="I288" s="1253">
        <f t="shared" si="172"/>
        <v>2.6018307413980857E-2</v>
      </c>
      <c r="J288" s="1253">
        <f t="shared" si="172"/>
        <v>2.4443567376609309E-2</v>
      </c>
      <c r="K288" s="1254">
        <f t="shared" si="172"/>
        <v>2.3052927087584094E-2</v>
      </c>
      <c r="L288" s="1221"/>
      <c r="M288" s="1249">
        <f t="shared" si="173"/>
        <v>0</v>
      </c>
      <c r="N288" s="1235">
        <f t="shared" si="173"/>
        <v>2.7416676065354733E-2</v>
      </c>
      <c r="O288" s="1249">
        <f t="shared" si="173"/>
        <v>2.6411144978302326E-2</v>
      </c>
      <c r="P288" s="1250">
        <f t="shared" si="173"/>
        <v>2.5219754414524797E-2</v>
      </c>
      <c r="Q288" s="1250">
        <f t="shared" si="173"/>
        <v>2.4254252590724178E-2</v>
      </c>
      <c r="R288" s="1249">
        <f t="shared" si="173"/>
        <v>7.2423577262555716E-2</v>
      </c>
      <c r="S288" s="1250">
        <f t="shared" si="173"/>
        <v>0.11153956897999365</v>
      </c>
      <c r="T288" s="1250">
        <f t="shared" si="173"/>
        <v>0.14811069003885816</v>
      </c>
      <c r="U288" s="1252"/>
      <c r="V288" s="1221"/>
      <c r="W288" s="1232">
        <f t="shared" si="174"/>
        <v>2.6411144978302326E-2</v>
      </c>
      <c r="X288" s="1233">
        <f t="shared" si="174"/>
        <v>2.6081277175893782E-2</v>
      </c>
      <c r="Y288" s="1232">
        <f t="shared" si="174"/>
        <v>7.2423577262555716E-2</v>
      </c>
      <c r="Z288" s="1051">
        <f t="shared" si="174"/>
        <v>7.2423577262555716E-2</v>
      </c>
    </row>
    <row r="289" spans="1:26">
      <c r="A289" s="1052" t="s">
        <v>950</v>
      </c>
      <c r="B289" s="1053"/>
      <c r="C289" s="1252">
        <f t="shared" si="172"/>
        <v>0.12210863483862266</v>
      </c>
      <c r="D289" s="1249">
        <f t="shared" si="172"/>
        <v>8.5752209556441528E-2</v>
      </c>
      <c r="E289" s="1250">
        <f t="shared" si="172"/>
        <v>4.4158726850173002E-3</v>
      </c>
      <c r="F289" s="1250">
        <f t="shared" si="172"/>
        <v>3.2739571296822728E-3</v>
      </c>
      <c r="G289" s="1251">
        <f t="shared" si="172"/>
        <v>3.0564111149958169E-3</v>
      </c>
      <c r="H289" s="1253">
        <f t="shared" si="172"/>
        <v>0.12092063996529882</v>
      </c>
      <c r="I289" s="1253">
        <f t="shared" si="172"/>
        <v>0.11587310461993877</v>
      </c>
      <c r="J289" s="1253">
        <f t="shared" si="172"/>
        <v>0.11322349552263644</v>
      </c>
      <c r="K289" s="1254">
        <f t="shared" si="172"/>
        <v>0.11168896876411645</v>
      </c>
      <c r="L289" s="1221"/>
      <c r="M289" s="1249">
        <f t="shared" si="173"/>
        <v>0</v>
      </c>
      <c r="N289" s="1235">
        <f t="shared" si="173"/>
        <v>0.12044929947452516</v>
      </c>
      <c r="O289" s="1249">
        <f t="shared" si="173"/>
        <v>0.11603171381437401</v>
      </c>
      <c r="P289" s="1250">
        <f t="shared" si="173"/>
        <v>0.11079759431478597</v>
      </c>
      <c r="Q289" s="1250">
        <f t="shared" si="173"/>
        <v>0.10655586865698033</v>
      </c>
      <c r="R289" s="1249">
        <f t="shared" si="173"/>
        <v>9.9038228081819724E-2</v>
      </c>
      <c r="S289" s="1250">
        <f t="shared" si="173"/>
        <v>-0.21425177808318457</v>
      </c>
      <c r="T289" s="1250">
        <f t="shared" si="173"/>
        <v>-0.47768763612506676</v>
      </c>
      <c r="U289" s="1252"/>
      <c r="V289" s="1221"/>
      <c r="W289" s="1232">
        <f t="shared" si="174"/>
        <v>0.11603171381437401</v>
      </c>
      <c r="X289" s="1233">
        <f t="shared" si="174"/>
        <v>0.11615354184031337</v>
      </c>
      <c r="Y289" s="1232">
        <f t="shared" si="174"/>
        <v>9.9038228081819724E-2</v>
      </c>
      <c r="Z289" s="1051">
        <f t="shared" si="174"/>
        <v>9.9038228081819724E-2</v>
      </c>
    </row>
    <row r="290" spans="1:26">
      <c r="A290" s="1052" t="s">
        <v>956</v>
      </c>
      <c r="B290" s="1060"/>
      <c r="C290" s="1236">
        <f t="shared" si="172"/>
        <v>0.1050694182955889</v>
      </c>
      <c r="D290" s="1232">
        <f t="shared" si="172"/>
        <v>7.2157828299856633E-2</v>
      </c>
      <c r="E290" s="1233">
        <f t="shared" si="172"/>
        <v>2.4113113032525654E-2</v>
      </c>
      <c r="F290" s="1233">
        <f t="shared" si="172"/>
        <v>2.1791842023493976E-2</v>
      </c>
      <c r="G290" s="1051">
        <f t="shared" si="172"/>
        <v>2.0575301837702897E-2</v>
      </c>
      <c r="H290" s="1234">
        <f t="shared" si="172"/>
        <v>7.1983559591376936E-2</v>
      </c>
      <c r="I290" s="1234">
        <f t="shared" si="172"/>
        <v>2.4054895140188659E-2</v>
      </c>
      <c r="J290" s="1234">
        <f t="shared" si="172"/>
        <v>2.1739213156795778E-2</v>
      </c>
      <c r="K290" s="1076">
        <f t="shared" si="172"/>
        <v>2.0525608452505024E-2</v>
      </c>
      <c r="L290" s="1221"/>
      <c r="M290" s="1232">
        <f t="shared" si="173"/>
        <v>0</v>
      </c>
      <c r="N290" s="1235">
        <f t="shared" si="173"/>
        <v>7.1702972535972895E-2</v>
      </c>
      <c r="O290" s="1232">
        <f t="shared" si="173"/>
        <v>6.7724969829409759E-2</v>
      </c>
      <c r="P290" s="1233">
        <f t="shared" si="173"/>
        <v>6.3554239187844294E-2</v>
      </c>
      <c r="Q290" s="1233">
        <f t="shared" si="173"/>
        <v>5.9882566345439842E-2</v>
      </c>
      <c r="R290" s="1232">
        <f t="shared" si="173"/>
        <v>6.1510334740401147</v>
      </c>
      <c r="S290" s="1233">
        <f t="shared" si="173"/>
        <v>5.0912618011635304</v>
      </c>
      <c r="T290" s="1233">
        <f t="shared" si="173"/>
        <v>4.3099051972563833</v>
      </c>
      <c r="U290" s="1236"/>
      <c r="V290" s="1221"/>
      <c r="W290" s="1232">
        <f t="shared" si="174"/>
        <v>6.7724969829409759E-2</v>
      </c>
      <c r="X290" s="1233">
        <f t="shared" si="174"/>
        <v>2.4113113032525654E-2</v>
      </c>
      <c r="Y290" s="1232">
        <f t="shared" si="174"/>
        <v>6.1510334740401147</v>
      </c>
      <c r="Z290" s="1051">
        <f t="shared" si="174"/>
        <v>6.1510334740401147</v>
      </c>
    </row>
    <row r="291" spans="1:26">
      <c r="A291" s="1052" t="s">
        <v>957</v>
      </c>
      <c r="B291" s="1060"/>
      <c r="C291" s="1236">
        <f t="shared" si="172"/>
        <v>0.26473013037957999</v>
      </c>
      <c r="D291" s="1232">
        <f t="shared" si="172"/>
        <v>0.33306197908236113</v>
      </c>
      <c r="E291" s="1233">
        <f t="shared" si="172"/>
        <v>0.23193901421154572</v>
      </c>
      <c r="F291" s="1233">
        <f t="shared" si="172"/>
        <v>0.17814919857173889</v>
      </c>
      <c r="G291" s="1051">
        <f t="shared" si="172"/>
        <v>0.16935055511092528</v>
      </c>
      <c r="H291" s="1234">
        <f t="shared" si="172"/>
        <v>0.33225759953954598</v>
      </c>
      <c r="I291" s="1234">
        <f t="shared" si="172"/>
        <v>0.23137902842539268</v>
      </c>
      <c r="J291" s="1234">
        <f t="shared" si="172"/>
        <v>0.17771895543699537</v>
      </c>
      <c r="K291" s="1076">
        <f t="shared" si="172"/>
        <v>0.16894154033996434</v>
      </c>
      <c r="L291" s="1221"/>
      <c r="M291" s="1232">
        <f t="shared" si="173"/>
        <v>0</v>
      </c>
      <c r="N291" s="1235">
        <f t="shared" si="173"/>
        <v>0.33096248184851174</v>
      </c>
      <c r="O291" s="1232">
        <f t="shared" si="173"/>
        <v>0.31260104435156938</v>
      </c>
      <c r="P291" s="1233">
        <f t="shared" si="173"/>
        <v>0.29335002426922036</v>
      </c>
      <c r="Q291" s="1233">
        <f t="shared" si="173"/>
        <v>0.27640252664841658</v>
      </c>
      <c r="R291" s="1232">
        <f t="shared" si="173"/>
        <v>11.563945287799703</v>
      </c>
      <c r="S291" s="1233">
        <f t="shared" si="173"/>
        <v>14.162191418256304</v>
      </c>
      <c r="T291" s="1233">
        <f t="shared" si="173"/>
        <v>11.851191752401295</v>
      </c>
      <c r="U291" s="1236"/>
      <c r="V291" s="1221"/>
      <c r="W291" s="1232">
        <f t="shared" si="174"/>
        <v>0.31260104435156938</v>
      </c>
      <c r="X291" s="1233">
        <f t="shared" si="174"/>
        <v>0.23193901421154572</v>
      </c>
      <c r="Y291" s="1232">
        <f t="shared" si="174"/>
        <v>11.563945287799703</v>
      </c>
      <c r="Z291" s="1051">
        <f t="shared" si="174"/>
        <v>11.563945287799704</v>
      </c>
    </row>
    <row r="292" spans="1:26">
      <c r="A292" s="1079" t="s">
        <v>432</v>
      </c>
      <c r="B292" s="1080"/>
      <c r="C292" s="1257">
        <f t="shared" ref="C292:K307" si="175">C68/C$179*100</f>
        <v>0.2524417277770506</v>
      </c>
      <c r="D292" s="1258">
        <f t="shared" si="175"/>
        <v>0.29120808754536465</v>
      </c>
      <c r="E292" s="1259">
        <f t="shared" si="175"/>
        <v>0.22024707502907551</v>
      </c>
      <c r="F292" s="1259">
        <f t="shared" si="175"/>
        <v>0.20566240769897964</v>
      </c>
      <c r="G292" s="1087">
        <f t="shared" si="175"/>
        <v>0.19282591311176123</v>
      </c>
      <c r="H292" s="1260">
        <f t="shared" si="175"/>
        <v>0.2421582305378854</v>
      </c>
      <c r="I292" s="1260">
        <f t="shared" si="175"/>
        <v>0.21971531786921461</v>
      </c>
      <c r="J292" s="1260">
        <f t="shared" si="175"/>
        <v>0.20516571818425428</v>
      </c>
      <c r="K292" s="1261">
        <f t="shared" si="175"/>
        <v>0.19236020075176877</v>
      </c>
      <c r="L292" s="1221"/>
      <c r="M292" s="1258">
        <f t="shared" ref="M292:T307" si="176">M68/M$179*100</f>
        <v>0</v>
      </c>
      <c r="N292" s="1262">
        <f t="shared" si="176"/>
        <v>0.24121431410426944</v>
      </c>
      <c r="O292" s="1258">
        <f t="shared" si="176"/>
        <v>0.22783200706132006</v>
      </c>
      <c r="P292" s="1259">
        <f t="shared" si="176"/>
        <v>0.2138013484228076</v>
      </c>
      <c r="Q292" s="1259">
        <f t="shared" si="176"/>
        <v>0.20144955860193878</v>
      </c>
      <c r="R292" s="1258">
        <f t="shared" si="176"/>
        <v>1.2858351494294751</v>
      </c>
      <c r="S292" s="1259">
        <f t="shared" si="176"/>
        <v>1.1936352804316792</v>
      </c>
      <c r="T292" s="1259">
        <f t="shared" si="176"/>
        <v>1.1338646974624313</v>
      </c>
      <c r="U292" s="1257"/>
      <c r="V292" s="1221"/>
      <c r="W292" s="1258">
        <f t="shared" ref="W292:Z307" si="177">W68/W$179*100</f>
        <v>0.22783200706132006</v>
      </c>
      <c r="X292" s="1259">
        <f t="shared" si="177"/>
        <v>0.22024707502907551</v>
      </c>
      <c r="Y292" s="1258">
        <f t="shared" si="177"/>
        <v>1.2858351494294751</v>
      </c>
      <c r="Z292" s="1087">
        <f t="shared" si="177"/>
        <v>1.2858351494294751</v>
      </c>
    </row>
    <row r="293" spans="1:26">
      <c r="A293" s="1088" t="s">
        <v>39</v>
      </c>
      <c r="B293" s="1089" t="s">
        <v>958</v>
      </c>
      <c r="C293" s="1263">
        <f t="shared" si="175"/>
        <v>41.506394154538299</v>
      </c>
      <c r="D293" s="1264">
        <f t="shared" si="175"/>
        <v>40.999790262627123</v>
      </c>
      <c r="E293" s="1265">
        <f t="shared" si="175"/>
        <v>39.303817867640788</v>
      </c>
      <c r="F293" s="1265">
        <f t="shared" si="175"/>
        <v>39.24349687478346</v>
      </c>
      <c r="G293" s="1094">
        <f t="shared" si="175"/>
        <v>38.582047136960036</v>
      </c>
      <c r="H293" s="1265">
        <f t="shared" si="175"/>
        <v>40.936784943377326</v>
      </c>
      <c r="I293" s="1265">
        <f t="shared" si="175"/>
        <v>40.542783463250316</v>
      </c>
      <c r="J293" s="1265">
        <f t="shared" si="175"/>
        <v>39.366518248286084</v>
      </c>
      <c r="K293" s="1094">
        <f t="shared" si="175"/>
        <v>38.788372659699391</v>
      </c>
      <c r="L293" s="1221"/>
      <c r="M293" s="1264">
        <f t="shared" si="176"/>
        <v>-0.23819234823240312</v>
      </c>
      <c r="N293" s="1263">
        <f t="shared" si="176"/>
        <v>40.539023771233268</v>
      </c>
      <c r="O293" s="1264">
        <f t="shared" si="176"/>
        <v>40.123879540369089</v>
      </c>
      <c r="P293" s="1265">
        <f t="shared" si="176"/>
        <v>39.066991339930411</v>
      </c>
      <c r="Q293" s="1265">
        <f t="shared" si="176"/>
        <v>38.366253394870768</v>
      </c>
      <c r="R293" s="1264">
        <f t="shared" si="176"/>
        <v>-31.994775175231155</v>
      </c>
      <c r="S293" s="1265">
        <f t="shared" si="176"/>
        <v>-8.4659604732664118</v>
      </c>
      <c r="T293" s="1265">
        <f t="shared" si="176"/>
        <v>-17.428240817170984</v>
      </c>
      <c r="U293" s="1263"/>
      <c r="V293" s="1221"/>
      <c r="W293" s="1264">
        <f t="shared" si="177"/>
        <v>40.123879540369089</v>
      </c>
      <c r="X293" s="1265">
        <f t="shared" si="177"/>
        <v>39.531869870916253</v>
      </c>
      <c r="Y293" s="1264">
        <f t="shared" si="177"/>
        <v>122.70182327549431</v>
      </c>
      <c r="Z293" s="1094">
        <f t="shared" si="177"/>
        <v>122.70182327549431</v>
      </c>
    </row>
    <row r="294" spans="1:26">
      <c r="A294" s="790" t="s">
        <v>41</v>
      </c>
      <c r="B294" s="1060" t="s">
        <v>959</v>
      </c>
      <c r="C294" s="1266">
        <f t="shared" si="175"/>
        <v>9.1186461546438782</v>
      </c>
      <c r="D294" s="1267">
        <f t="shared" si="175"/>
        <v>8.9810457164603914</v>
      </c>
      <c r="E294" s="1267">
        <f t="shared" si="175"/>
        <v>9.0565928469224204</v>
      </c>
      <c r="F294" s="1267">
        <f t="shared" si="175"/>
        <v>9.2014550433234525</v>
      </c>
      <c r="G294" s="1268">
        <f t="shared" si="175"/>
        <v>8.9711012370508456</v>
      </c>
      <c r="H294" s="1269">
        <f t="shared" si="175"/>
        <v>9.001849499961537</v>
      </c>
      <c r="I294" s="1269">
        <f t="shared" si="175"/>
        <v>8.9904255657884971</v>
      </c>
      <c r="J294" s="1269">
        <f t="shared" si="175"/>
        <v>8.9151355236838157</v>
      </c>
      <c r="K294" s="1270">
        <f t="shared" si="175"/>
        <v>8.9150601698336018</v>
      </c>
      <c r="L294" s="1221"/>
      <c r="M294" s="1247">
        <f t="shared" si="176"/>
        <v>-1.644423178518277E-2</v>
      </c>
      <c r="N294" s="1224">
        <f t="shared" si="176"/>
        <v>8.9503166665745084</v>
      </c>
      <c r="O294" s="1247">
        <f t="shared" si="176"/>
        <v>8.8542506034313373</v>
      </c>
      <c r="P294" s="1244">
        <f t="shared" si="176"/>
        <v>8.7218085873969624</v>
      </c>
      <c r="Q294" s="1244">
        <f t="shared" si="176"/>
        <v>8.659985347198413</v>
      </c>
      <c r="R294" s="1247">
        <f t="shared" si="176"/>
        <v>-13.175521989971342</v>
      </c>
      <c r="S294" s="1244">
        <f t="shared" si="176"/>
        <v>-17.150829711268578</v>
      </c>
      <c r="T294" s="1244">
        <f t="shared" si="176"/>
        <v>-21.253192087248713</v>
      </c>
      <c r="U294" s="1224"/>
      <c r="V294" s="1271"/>
      <c r="W294" s="1247">
        <f t="shared" si="177"/>
        <v>8.8542506034313373</v>
      </c>
      <c r="X294" s="1244">
        <f t="shared" si="177"/>
        <v>9.1000707035788402</v>
      </c>
      <c r="Y294" s="1247">
        <f t="shared" si="177"/>
        <v>-25.434578526175056</v>
      </c>
      <c r="Z294" s="1067">
        <f t="shared" si="177"/>
        <v>-25.434578526175056</v>
      </c>
    </row>
    <row r="295" spans="1:26">
      <c r="A295" s="1052" t="s">
        <v>953</v>
      </c>
      <c r="B295" s="1060"/>
      <c r="C295" s="1236">
        <f t="shared" si="175"/>
        <v>0.11260176955694648</v>
      </c>
      <c r="D295" s="1232">
        <f t="shared" si="175"/>
        <v>0.11924528784858404</v>
      </c>
      <c r="E295" s="1233">
        <f t="shared" si="175"/>
        <v>0.12839705167903503</v>
      </c>
      <c r="F295" s="1233">
        <f t="shared" si="175"/>
        <v>0.31395445404899375</v>
      </c>
      <c r="G295" s="1051">
        <f t="shared" si="175"/>
        <v>0.22854658443744849</v>
      </c>
      <c r="H295" s="1234">
        <f t="shared" si="175"/>
        <v>8.5297226223838993E-2</v>
      </c>
      <c r="I295" s="1234">
        <f t="shared" si="175"/>
        <v>8.437664971371088E-2</v>
      </c>
      <c r="J295" s="1234">
        <f t="shared" si="175"/>
        <v>8.3097682199324618E-2</v>
      </c>
      <c r="K295" s="1076">
        <f t="shared" si="175"/>
        <v>8.2512163377085598E-2</v>
      </c>
      <c r="L295" s="1221"/>
      <c r="M295" s="1232">
        <f t="shared" si="176"/>
        <v>0</v>
      </c>
      <c r="N295" s="1235">
        <f t="shared" si="176"/>
        <v>8.496474339475775E-2</v>
      </c>
      <c r="O295" s="1232">
        <f t="shared" si="176"/>
        <v>8.3978806310468668E-2</v>
      </c>
      <c r="P295" s="1233">
        <f t="shared" si="176"/>
        <v>8.2612637258558025E-2</v>
      </c>
      <c r="Q295" s="1233">
        <f t="shared" si="176"/>
        <v>8.1953959756730796E-2</v>
      </c>
      <c r="R295" s="1232">
        <f t="shared" si="176"/>
        <v>0</v>
      </c>
      <c r="S295" s="1233">
        <f t="shared" si="176"/>
        <v>0</v>
      </c>
      <c r="T295" s="1233">
        <f t="shared" si="176"/>
        <v>0</v>
      </c>
      <c r="U295" s="1236"/>
      <c r="V295" s="1221"/>
      <c r="W295" s="1232">
        <f t="shared" si="177"/>
        <v>8.3978806310468668E-2</v>
      </c>
      <c r="X295" s="1233">
        <f t="shared" si="177"/>
        <v>0.12839705167903503</v>
      </c>
      <c r="Y295" s="1232">
        <f t="shared" si="177"/>
        <v>-6.1118108169376519</v>
      </c>
      <c r="Z295" s="1051">
        <f t="shared" si="177"/>
        <v>-6.111810816937651</v>
      </c>
    </row>
    <row r="296" spans="1:26">
      <c r="A296" s="1052" t="s">
        <v>960</v>
      </c>
      <c r="B296" s="1060"/>
      <c r="C296" s="1236">
        <f t="shared" si="175"/>
        <v>1.3268972905156599E-2</v>
      </c>
      <c r="D296" s="1232">
        <f t="shared" si="175"/>
        <v>2.5637246341213303E-2</v>
      </c>
      <c r="E296" s="1233">
        <f t="shared" si="175"/>
        <v>7.9217929006180753E-3</v>
      </c>
      <c r="F296" s="1233">
        <f t="shared" si="175"/>
        <v>2.093931954310926E-2</v>
      </c>
      <c r="G296" s="1051">
        <f t="shared" si="175"/>
        <v>1.7142167658229242E-2</v>
      </c>
      <c r="H296" s="1234">
        <f t="shared" si="175"/>
        <v>1.9514222342683747E-2</v>
      </c>
      <c r="I296" s="1234">
        <f t="shared" si="175"/>
        <v>1.9303613680510499E-2</v>
      </c>
      <c r="J296" s="1234">
        <f t="shared" si="175"/>
        <v>1.9011012648217758E-2</v>
      </c>
      <c r="K296" s="1076">
        <f t="shared" si="175"/>
        <v>1.887705818112859E-2</v>
      </c>
      <c r="L296" s="1221"/>
      <c r="M296" s="1232">
        <f t="shared" si="176"/>
        <v>0</v>
      </c>
      <c r="N296" s="1235">
        <f t="shared" si="176"/>
        <v>1.9438157221471138E-2</v>
      </c>
      <c r="O296" s="1232">
        <f t="shared" si="176"/>
        <v>1.92125954261998E-2</v>
      </c>
      <c r="P296" s="1233">
        <f t="shared" si="176"/>
        <v>1.8900044504945736E-2</v>
      </c>
      <c r="Q296" s="1233">
        <f t="shared" si="176"/>
        <v>1.8749352861245041E-2</v>
      </c>
      <c r="R296" s="1232">
        <f t="shared" si="176"/>
        <v>0</v>
      </c>
      <c r="S296" s="1233">
        <f t="shared" si="176"/>
        <v>0</v>
      </c>
      <c r="T296" s="1233">
        <f t="shared" si="176"/>
        <v>0</v>
      </c>
      <c r="U296" s="1236"/>
      <c r="V296" s="1221"/>
      <c r="W296" s="1232">
        <f t="shared" si="177"/>
        <v>1.92125954261998E-2</v>
      </c>
      <c r="X296" s="1233">
        <f t="shared" si="177"/>
        <v>7.9217929006180753E-3</v>
      </c>
      <c r="Y296" s="1232">
        <f t="shared" si="177"/>
        <v>1.5941383167300982</v>
      </c>
      <c r="Z296" s="1051">
        <f t="shared" si="177"/>
        <v>1.5941383167300982</v>
      </c>
    </row>
    <row r="297" spans="1:26">
      <c r="A297" s="1052" t="s">
        <v>417</v>
      </c>
      <c r="B297" s="1053"/>
      <c r="C297" s="1236">
        <f t="shared" si="175"/>
        <v>0.2225830836166405</v>
      </c>
      <c r="D297" s="1232">
        <f t="shared" si="175"/>
        <v>0.20886158326833995</v>
      </c>
      <c r="E297" s="1233">
        <f t="shared" si="175"/>
        <v>0.1859158382007309</v>
      </c>
      <c r="F297" s="1233">
        <f t="shared" si="175"/>
        <v>0.1751054786876077</v>
      </c>
      <c r="G297" s="1051">
        <f t="shared" si="175"/>
        <v>0.16890948326656879</v>
      </c>
      <c r="H297" s="1234">
        <f t="shared" si="175"/>
        <v>0.20835716068211768</v>
      </c>
      <c r="I297" s="1234">
        <f t="shared" si="175"/>
        <v>0.18546696922900119</v>
      </c>
      <c r="J297" s="1234">
        <f t="shared" si="175"/>
        <v>0.17468258635542028</v>
      </c>
      <c r="K297" s="1076">
        <f t="shared" si="175"/>
        <v>0.1685015337705299</v>
      </c>
      <c r="L297" s="1221"/>
      <c r="M297" s="1232">
        <f t="shared" si="176"/>
        <v>0</v>
      </c>
      <c r="N297" s="1235">
        <f t="shared" si="176"/>
        <v>0.20754499853676106</v>
      </c>
      <c r="O297" s="1232">
        <f t="shared" si="176"/>
        <v>0.19993310030761441</v>
      </c>
      <c r="P297" s="1233">
        <f t="shared" si="176"/>
        <v>0.19091424068267332</v>
      </c>
      <c r="Q297" s="1233">
        <f t="shared" si="176"/>
        <v>0.18360536508702235</v>
      </c>
      <c r="R297" s="1232">
        <f t="shared" si="176"/>
        <v>2.1551658292806946</v>
      </c>
      <c r="S297" s="1233">
        <f t="shared" si="176"/>
        <v>2.0941055712778751</v>
      </c>
      <c r="T297" s="1233">
        <f t="shared" si="176"/>
        <v>1.7725694179232729</v>
      </c>
      <c r="U297" s="1236"/>
      <c r="V297" s="1221"/>
      <c r="W297" s="1232">
        <f t="shared" si="177"/>
        <v>0.19993310030761441</v>
      </c>
      <c r="X297" s="1233">
        <f t="shared" si="177"/>
        <v>0.1859158382007309</v>
      </c>
      <c r="Y297" s="1232">
        <f t="shared" si="177"/>
        <v>2.1551658292806946</v>
      </c>
      <c r="Z297" s="1051">
        <f t="shared" si="177"/>
        <v>2.1551658292806946</v>
      </c>
    </row>
    <row r="298" spans="1:26">
      <c r="A298" s="1052" t="s">
        <v>547</v>
      </c>
      <c r="B298" s="1053"/>
      <c r="C298" s="1236">
        <f t="shared" si="175"/>
        <v>0</v>
      </c>
      <c r="D298" s="1232">
        <f t="shared" si="175"/>
        <v>5.6229600647863739E-3</v>
      </c>
      <c r="E298" s="1233">
        <f t="shared" si="175"/>
        <v>0.14317003082489654</v>
      </c>
      <c r="F298" s="1233">
        <f t="shared" si="175"/>
        <v>0.18357635987612816</v>
      </c>
      <c r="G298" s="1051">
        <f t="shared" si="175"/>
        <v>0.23182029656165343</v>
      </c>
      <c r="H298" s="1234">
        <f t="shared" si="175"/>
        <v>0</v>
      </c>
      <c r="I298" s="1234">
        <f t="shared" si="175"/>
        <v>0</v>
      </c>
      <c r="J298" s="1234">
        <f t="shared" si="175"/>
        <v>0</v>
      </c>
      <c r="K298" s="1076">
        <f t="shared" si="175"/>
        <v>0</v>
      </c>
      <c r="L298" s="1221"/>
      <c r="M298" s="1255">
        <f t="shared" si="176"/>
        <v>0</v>
      </c>
      <c r="N298" s="1235">
        <f t="shared" si="176"/>
        <v>0</v>
      </c>
      <c r="O298" s="1232">
        <f t="shared" si="176"/>
        <v>0</v>
      </c>
      <c r="P298" s="1233">
        <f t="shared" si="176"/>
        <v>0</v>
      </c>
      <c r="Q298" s="1233">
        <f t="shared" si="176"/>
        <v>0</v>
      </c>
      <c r="R298" s="1232">
        <f t="shared" si="176"/>
        <v>0</v>
      </c>
      <c r="S298" s="1233">
        <f t="shared" si="176"/>
        <v>0</v>
      </c>
      <c r="T298" s="1233">
        <f t="shared" si="176"/>
        <v>0</v>
      </c>
      <c r="U298" s="1236"/>
      <c r="V298" s="1221"/>
      <c r="W298" s="1232">
        <f t="shared" si="177"/>
        <v>0</v>
      </c>
      <c r="X298" s="1233">
        <f t="shared" si="177"/>
        <v>0.14317003082489654</v>
      </c>
      <c r="Y298" s="1232">
        <f t="shared" si="177"/>
        <v>-19.970428457598434</v>
      </c>
      <c r="Z298" s="1051">
        <f t="shared" si="177"/>
        <v>-19.970428457598434</v>
      </c>
    </row>
    <row r="299" spans="1:26">
      <c r="A299" s="1052" t="s">
        <v>961</v>
      </c>
      <c r="B299" s="1053"/>
      <c r="C299" s="1236">
        <f t="shared" si="175"/>
        <v>0</v>
      </c>
      <c r="D299" s="1233">
        <f t="shared" si="175"/>
        <v>0</v>
      </c>
      <c r="E299" s="1233">
        <f t="shared" si="175"/>
        <v>9.3620523478456355E-2</v>
      </c>
      <c r="F299" s="1233">
        <f t="shared" si="175"/>
        <v>0.2481753561808083</v>
      </c>
      <c r="G299" s="1051">
        <f t="shared" si="175"/>
        <v>0.3292681040039141</v>
      </c>
      <c r="H299" s="1234">
        <f t="shared" si="175"/>
        <v>0</v>
      </c>
      <c r="I299" s="1234">
        <f t="shared" si="175"/>
        <v>0</v>
      </c>
      <c r="J299" s="1234">
        <f t="shared" si="175"/>
        <v>0</v>
      </c>
      <c r="K299" s="1076">
        <f t="shared" si="175"/>
        <v>0</v>
      </c>
      <c r="L299" s="1221"/>
      <c r="M299" s="1255">
        <f t="shared" si="176"/>
        <v>0</v>
      </c>
      <c r="N299" s="1235">
        <f t="shared" si="176"/>
        <v>0</v>
      </c>
      <c r="O299" s="1232">
        <f t="shared" si="176"/>
        <v>0</v>
      </c>
      <c r="P299" s="1233">
        <f t="shared" si="176"/>
        <v>0</v>
      </c>
      <c r="Q299" s="1233">
        <f t="shared" si="176"/>
        <v>0</v>
      </c>
      <c r="R299" s="1232">
        <f t="shared" si="176"/>
        <v>0</v>
      </c>
      <c r="S299" s="1233">
        <f t="shared" si="176"/>
        <v>0</v>
      </c>
      <c r="T299" s="1233">
        <f t="shared" si="176"/>
        <v>0</v>
      </c>
      <c r="U299" s="1236"/>
      <c r="V299" s="1221"/>
      <c r="W299" s="1232">
        <f t="shared" si="177"/>
        <v>0</v>
      </c>
      <c r="X299" s="1233">
        <f t="shared" si="177"/>
        <v>9.3620523478456355E-2</v>
      </c>
      <c r="Y299" s="1232">
        <f t="shared" si="177"/>
        <v>-13.058891972832528</v>
      </c>
      <c r="Z299" s="1051">
        <f t="shared" si="177"/>
        <v>-13.058891972832528</v>
      </c>
    </row>
    <row r="300" spans="1:26">
      <c r="A300" s="1052" t="s">
        <v>940</v>
      </c>
      <c r="B300" s="1053"/>
      <c r="C300" s="1236">
        <f t="shared" si="175"/>
        <v>1.0388754555753934</v>
      </c>
      <c r="D300" s="1233">
        <f t="shared" si="175"/>
        <v>0.99107776067830433</v>
      </c>
      <c r="E300" s="1233">
        <f t="shared" si="175"/>
        <v>0.9779466027759639</v>
      </c>
      <c r="F300" s="1233">
        <f t="shared" si="175"/>
        <v>0.93962047371761948</v>
      </c>
      <c r="G300" s="1051">
        <f t="shared" si="175"/>
        <v>0.90590241419961737</v>
      </c>
      <c r="H300" s="1234">
        <f t="shared" si="175"/>
        <v>1.0240597351160639</v>
      </c>
      <c r="I300" s="1234">
        <f t="shared" si="175"/>
        <v>1.0090258492996007</v>
      </c>
      <c r="J300" s="1234">
        <f t="shared" si="175"/>
        <v>0.9687676355797552</v>
      </c>
      <c r="K300" s="1076">
        <f t="shared" si="175"/>
        <v>0.93334355678231995</v>
      </c>
      <c r="L300" s="1221"/>
      <c r="M300" s="1232">
        <f t="shared" si="176"/>
        <v>0</v>
      </c>
      <c r="N300" s="1235">
        <f t="shared" si="176"/>
        <v>1.0200680194067386</v>
      </c>
      <c r="O300" s="1232">
        <f t="shared" si="176"/>
        <v>1.0212286713442618</v>
      </c>
      <c r="P300" s="1233">
        <f t="shared" si="176"/>
        <v>1.0219807704619086</v>
      </c>
      <c r="Q300" s="1233">
        <f t="shared" si="176"/>
        <v>1.027335605051414</v>
      </c>
      <c r="R300" s="1232">
        <f t="shared" si="176"/>
        <v>2.3827336898985396</v>
      </c>
      <c r="S300" s="1233">
        <f t="shared" si="176"/>
        <v>7.1458763569284685</v>
      </c>
      <c r="T300" s="1233">
        <f t="shared" si="176"/>
        <v>10.945723703975942</v>
      </c>
      <c r="U300" s="1236"/>
      <c r="V300" s="1221"/>
      <c r="W300" s="1232">
        <f t="shared" si="177"/>
        <v>1.0212286713442618</v>
      </c>
      <c r="X300" s="1233">
        <f t="shared" si="177"/>
        <v>0.9779466027759639</v>
      </c>
      <c r="Y300" s="1232">
        <f t="shared" si="177"/>
        <v>7.0585358428235612</v>
      </c>
      <c r="Z300" s="1051">
        <f t="shared" si="177"/>
        <v>7.0585358428235603</v>
      </c>
    </row>
    <row r="301" spans="1:26">
      <c r="A301" s="1052" t="s">
        <v>941</v>
      </c>
      <c r="B301" s="1053"/>
      <c r="C301" s="1252">
        <f t="shared" si="175"/>
        <v>1.7756546192702401E-2</v>
      </c>
      <c r="D301" s="1249">
        <f t="shared" si="175"/>
        <v>0</v>
      </c>
      <c r="E301" s="1250">
        <f t="shared" si="175"/>
        <v>0</v>
      </c>
      <c r="F301" s="1250">
        <f t="shared" si="175"/>
        <v>0</v>
      </c>
      <c r="G301" s="1251">
        <f t="shared" si="175"/>
        <v>0</v>
      </c>
      <c r="H301" s="1253">
        <f t="shared" si="175"/>
        <v>1.6992213517189218E-2</v>
      </c>
      <c r="I301" s="1253">
        <f t="shared" si="175"/>
        <v>1.6062681131509712E-2</v>
      </c>
      <c r="J301" s="1253">
        <f t="shared" si="175"/>
        <v>1.5090498480161337E-2</v>
      </c>
      <c r="K301" s="1254">
        <f t="shared" si="175"/>
        <v>1.4231971782946605E-2</v>
      </c>
      <c r="L301" s="1221"/>
      <c r="M301" s="1232">
        <f t="shared" si="176"/>
        <v>0</v>
      </c>
      <c r="N301" s="1235">
        <f t="shared" si="176"/>
        <v>1.6925979016108005E-2</v>
      </c>
      <c r="O301" s="1249">
        <f t="shared" si="176"/>
        <v>1.6729568720106221E-2</v>
      </c>
      <c r="P301" s="1233">
        <f t="shared" si="176"/>
        <v>1.6457411731440233E-2</v>
      </c>
      <c r="Q301" s="1233">
        <f t="shared" si="176"/>
        <v>1.6326195404186575E-2</v>
      </c>
      <c r="R301" s="1232">
        <f t="shared" si="176"/>
        <v>0.10432946126035106</v>
      </c>
      <c r="S301" s="1233">
        <f t="shared" si="176"/>
        <v>0.17661975778790215</v>
      </c>
      <c r="T301" s="1233">
        <f t="shared" si="176"/>
        <v>0.23903459763961202</v>
      </c>
      <c r="U301" s="1236"/>
      <c r="V301" s="1221"/>
      <c r="W301" s="1256">
        <f t="shared" si="177"/>
        <v>1.6729568720106221E-2</v>
      </c>
      <c r="X301" s="1234">
        <f t="shared" si="177"/>
        <v>1.6101556189384952E-2</v>
      </c>
      <c r="Y301" s="1256">
        <f t="shared" si="177"/>
        <v>0.10432946126035106</v>
      </c>
      <c r="Z301" s="1076">
        <f t="shared" si="177"/>
        <v>0.10432946126035106</v>
      </c>
    </row>
    <row r="302" spans="1:26">
      <c r="A302" s="1052" t="s">
        <v>942</v>
      </c>
      <c r="B302" s="1053"/>
      <c r="C302" s="1252">
        <f t="shared" si="175"/>
        <v>2.6244572553977212E-2</v>
      </c>
      <c r="D302" s="1249">
        <f t="shared" si="175"/>
        <v>1.3711653721152394E-2</v>
      </c>
      <c r="E302" s="1250">
        <f t="shared" si="175"/>
        <v>0</v>
      </c>
      <c r="F302" s="1250">
        <f t="shared" si="175"/>
        <v>0</v>
      </c>
      <c r="G302" s="1251">
        <f t="shared" si="175"/>
        <v>0</v>
      </c>
      <c r="H302" s="1253">
        <f t="shared" si="175"/>
        <v>2.8890620097531561E-2</v>
      </c>
      <c r="I302" s="1253">
        <f t="shared" si="175"/>
        <v>2.7310204044269711E-2</v>
      </c>
      <c r="J302" s="1253">
        <f t="shared" si="175"/>
        <v>2.5657272858047021E-2</v>
      </c>
      <c r="K302" s="1254">
        <f t="shared" si="175"/>
        <v>2.4197582592989535E-2</v>
      </c>
      <c r="L302" s="1221"/>
      <c r="M302" s="1249">
        <f t="shared" si="176"/>
        <v>0</v>
      </c>
      <c r="N302" s="1235">
        <f t="shared" si="176"/>
        <v>2.8778006410906734E-2</v>
      </c>
      <c r="O302" s="1249">
        <f t="shared" si="176"/>
        <v>2.8444064323886051E-2</v>
      </c>
      <c r="P302" s="1250">
        <f t="shared" si="176"/>
        <v>2.7981335665345879E-2</v>
      </c>
      <c r="Q302" s="1250">
        <f t="shared" si="176"/>
        <v>2.7758238123789913E-2</v>
      </c>
      <c r="R302" s="1249">
        <f t="shared" si="176"/>
        <v>0.17738376622938787</v>
      </c>
      <c r="S302" s="1250">
        <f t="shared" si="176"/>
        <v>0.30029367973786975</v>
      </c>
      <c r="T302" s="1250">
        <f t="shared" si="176"/>
        <v>0.40641307523510245</v>
      </c>
      <c r="U302" s="1252"/>
      <c r="V302" s="1221"/>
      <c r="W302" s="1232">
        <f t="shared" si="177"/>
        <v>2.8444064323886051E-2</v>
      </c>
      <c r="X302" s="1233">
        <f t="shared" si="177"/>
        <v>2.7376300467034587E-2</v>
      </c>
      <c r="Y302" s="1232">
        <f t="shared" si="177"/>
        <v>0.17738376622938787</v>
      </c>
      <c r="Z302" s="1051">
        <f t="shared" si="177"/>
        <v>0.17738376622938787</v>
      </c>
    </row>
    <row r="303" spans="1:26">
      <c r="A303" s="1052" t="s">
        <v>950</v>
      </c>
      <c r="B303" s="1053"/>
      <c r="C303" s="1252">
        <f t="shared" si="175"/>
        <v>3.6274575909204486E-2</v>
      </c>
      <c r="D303" s="1249">
        <f t="shared" si="175"/>
        <v>1.9232764567729342E-2</v>
      </c>
      <c r="E303" s="1250">
        <f t="shared" si="175"/>
        <v>2.914467033097886E-2</v>
      </c>
      <c r="F303" s="1250">
        <f t="shared" si="175"/>
        <v>2.6593920847928318E-2</v>
      </c>
      <c r="G303" s="1251">
        <f t="shared" si="175"/>
        <v>2.5060858396389853E-2</v>
      </c>
      <c r="H303" s="1253">
        <f t="shared" si="175"/>
        <v>3.0978159085126782E-2</v>
      </c>
      <c r="I303" s="1253">
        <f t="shared" si="175"/>
        <v>2.9074304415253362E-2</v>
      </c>
      <c r="J303" s="1253">
        <f t="shared" si="175"/>
        <v>2.6529694615295973E-2</v>
      </c>
      <c r="K303" s="1254">
        <f t="shared" si="175"/>
        <v>2.5000331513260535E-2</v>
      </c>
      <c r="L303" s="1221"/>
      <c r="M303" s="1249">
        <f t="shared" si="176"/>
        <v>0</v>
      </c>
      <c r="N303" s="1235">
        <f t="shared" si="176"/>
        <v>3.0857408312465986E-2</v>
      </c>
      <c r="O303" s="1249">
        <f t="shared" si="176"/>
        <v>3.0499336693995262E-2</v>
      </c>
      <c r="P303" s="1250">
        <f t="shared" si="176"/>
        <v>3.0003172819730424E-2</v>
      </c>
      <c r="Q303" s="1250">
        <f t="shared" si="176"/>
        <v>2.976395500057355E-2</v>
      </c>
      <c r="R303" s="1249">
        <f t="shared" si="176"/>
        <v>0.2194583494892185</v>
      </c>
      <c r="S303" s="1250">
        <f t="shared" si="176"/>
        <v>0.44043751287580923</v>
      </c>
      <c r="T303" s="1250">
        <f t="shared" si="176"/>
        <v>0.53827726045348245</v>
      </c>
      <c r="U303" s="1252"/>
      <c r="V303" s="1221"/>
      <c r="W303" s="1232">
        <f t="shared" si="177"/>
        <v>3.0499336693995262E-2</v>
      </c>
      <c r="X303" s="1233">
        <f t="shared" si="177"/>
        <v>2.914467033097886E-2</v>
      </c>
      <c r="Y303" s="1232">
        <f t="shared" si="177"/>
        <v>0.2194583494892185</v>
      </c>
      <c r="Z303" s="1051">
        <f t="shared" si="177"/>
        <v>0.2194583494892185</v>
      </c>
    </row>
    <row r="304" spans="1:26">
      <c r="A304" s="1052" t="s">
        <v>432</v>
      </c>
      <c r="B304" s="1053"/>
      <c r="C304" s="1236">
        <f t="shared" si="175"/>
        <v>7.6510411783338572</v>
      </c>
      <c r="D304" s="1232">
        <f t="shared" si="175"/>
        <v>7.5976564599702829</v>
      </c>
      <c r="E304" s="1233">
        <f t="shared" si="175"/>
        <v>7.4904763367317413</v>
      </c>
      <c r="F304" s="1233">
        <f t="shared" si="175"/>
        <v>7.2934896804212572</v>
      </c>
      <c r="G304" s="1051">
        <f t="shared" si="175"/>
        <v>7.0644513285270243</v>
      </c>
      <c r="H304" s="1234">
        <f t="shared" si="175"/>
        <v>7.5877601628969851</v>
      </c>
      <c r="I304" s="1234">
        <f t="shared" si="175"/>
        <v>7.6198052942746397</v>
      </c>
      <c r="J304" s="1234">
        <f t="shared" si="175"/>
        <v>7.6022991409475935</v>
      </c>
      <c r="K304" s="1076">
        <f t="shared" si="175"/>
        <v>7.6483959718333407</v>
      </c>
      <c r="L304" s="1221"/>
      <c r="M304" s="1232">
        <f t="shared" si="176"/>
        <v>-1.644423178518277E-2</v>
      </c>
      <c r="N304" s="1235">
        <f t="shared" si="176"/>
        <v>7.5417393542753004</v>
      </c>
      <c r="O304" s="1232">
        <f t="shared" si="176"/>
        <v>7.4542244603048067</v>
      </c>
      <c r="P304" s="1233">
        <f t="shared" si="176"/>
        <v>7.3329589742723602</v>
      </c>
      <c r="Q304" s="1233">
        <f t="shared" si="176"/>
        <v>7.2744926759134509</v>
      </c>
      <c r="R304" s="1232">
        <f t="shared" si="176"/>
        <v>-18.214593086129536</v>
      </c>
      <c r="S304" s="1233">
        <f t="shared" si="176"/>
        <v>-27.308162589876499</v>
      </c>
      <c r="T304" s="1233">
        <f t="shared" si="176"/>
        <v>-35.155210142476129</v>
      </c>
      <c r="U304" s="1236"/>
      <c r="V304" s="1221"/>
      <c r="W304" s="1232">
        <f t="shared" si="177"/>
        <v>7.4542244603048067</v>
      </c>
      <c r="X304" s="1233">
        <f t="shared" si="177"/>
        <v>7.4904763367317413</v>
      </c>
      <c r="Y304" s="1232">
        <f t="shared" si="177"/>
        <v>2.3975411553802459</v>
      </c>
      <c r="Z304" s="1051">
        <f t="shared" si="177"/>
        <v>2.3975411553802459</v>
      </c>
    </row>
    <row r="305" spans="1:26">
      <c r="A305" s="790" t="s">
        <v>42</v>
      </c>
      <c r="B305" s="1060" t="s">
        <v>721</v>
      </c>
      <c r="C305" s="1224">
        <f t="shared" si="175"/>
        <v>5.4945201322631601</v>
      </c>
      <c r="D305" s="1243">
        <f t="shared" si="175"/>
        <v>5.9505113775197689</v>
      </c>
      <c r="E305" s="1244">
        <f t="shared" si="175"/>
        <v>5.4617026296334341</v>
      </c>
      <c r="F305" s="1244">
        <f t="shared" si="175"/>
        <v>5.1643818403502788</v>
      </c>
      <c r="G305" s="1067">
        <f t="shared" si="175"/>
        <v>5.1514348063516948</v>
      </c>
      <c r="H305" s="1245">
        <f t="shared" si="175"/>
        <v>5.680768108069965</v>
      </c>
      <c r="I305" s="1245">
        <f t="shared" si="175"/>
        <v>5.4555905037494057</v>
      </c>
      <c r="J305" s="1245">
        <f t="shared" si="175"/>
        <v>5.2357048186593174</v>
      </c>
      <c r="K305" s="1246">
        <f t="shared" si="175"/>
        <v>5.1569202510096739</v>
      </c>
      <c r="L305" s="1221"/>
      <c r="M305" s="1247">
        <f t="shared" si="176"/>
        <v>0</v>
      </c>
      <c r="N305" s="1248">
        <f t="shared" si="176"/>
        <v>5.6586248575149121</v>
      </c>
      <c r="O305" s="1247">
        <f t="shared" si="176"/>
        <v>5.4722915337154916</v>
      </c>
      <c r="P305" s="1244">
        <f t="shared" si="176"/>
        <v>5.2529549282042467</v>
      </c>
      <c r="Q305" s="1244">
        <f t="shared" si="176"/>
        <v>5.0997514675658895</v>
      </c>
      <c r="R305" s="1247">
        <f t="shared" si="176"/>
        <v>5.9601290194161045</v>
      </c>
      <c r="S305" s="1244">
        <f t="shared" si="176"/>
        <v>5.8037190385824662</v>
      </c>
      <c r="T305" s="1244">
        <f t="shared" si="176"/>
        <v>-2.4314440667763169</v>
      </c>
      <c r="U305" s="1224"/>
      <c r="V305" s="1271"/>
      <c r="W305" s="1247">
        <f t="shared" si="177"/>
        <v>5.4722915337154916</v>
      </c>
      <c r="X305" s="1244">
        <f t="shared" si="177"/>
        <v>5.5723697519212791</v>
      </c>
      <c r="Y305" s="1247">
        <f t="shared" si="177"/>
        <v>-8.4873680774986333</v>
      </c>
      <c r="Z305" s="1067">
        <f t="shared" si="177"/>
        <v>-8.4873680774986333</v>
      </c>
    </row>
    <row r="306" spans="1:26">
      <c r="A306" s="1052" t="s">
        <v>953</v>
      </c>
      <c r="B306" s="1060"/>
      <c r="C306" s="1236">
        <f t="shared" si="175"/>
        <v>0.24035452742797192</v>
      </c>
      <c r="D306" s="1232">
        <f t="shared" si="175"/>
        <v>0.26077910522872405</v>
      </c>
      <c r="E306" s="1233">
        <f t="shared" si="175"/>
        <v>6.9493436533026143E-2</v>
      </c>
      <c r="F306" s="1233">
        <f t="shared" si="175"/>
        <v>0.20259253541842298</v>
      </c>
      <c r="G306" s="1051">
        <f t="shared" si="175"/>
        <v>0.17235404037667373</v>
      </c>
      <c r="H306" s="1234">
        <f t="shared" si="175"/>
        <v>4.4255583445960048E-2</v>
      </c>
      <c r="I306" s="1234">
        <f t="shared" si="175"/>
        <v>4.2667472823470665E-2</v>
      </c>
      <c r="J306" s="1234">
        <f t="shared" si="175"/>
        <v>4.0788749274726983E-2</v>
      </c>
      <c r="K306" s="1076">
        <f t="shared" si="175"/>
        <v>3.9263864234912738E-2</v>
      </c>
      <c r="L306" s="1221"/>
      <c r="M306" s="1232">
        <f t="shared" si="176"/>
        <v>0</v>
      </c>
      <c r="N306" s="1235">
        <f t="shared" si="176"/>
        <v>4.4083078169550004E-2</v>
      </c>
      <c r="O306" s="1232">
        <f t="shared" si="176"/>
        <v>4.2466291896597758E-2</v>
      </c>
      <c r="P306" s="1233">
        <f t="shared" si="176"/>
        <v>4.0550663494807793E-2</v>
      </c>
      <c r="Q306" s="1233">
        <f t="shared" si="176"/>
        <v>3.8998239989128707E-2</v>
      </c>
      <c r="R306" s="1232">
        <f t="shared" si="176"/>
        <v>0</v>
      </c>
      <c r="S306" s="1233">
        <f t="shared" si="176"/>
        <v>0</v>
      </c>
      <c r="T306" s="1233">
        <f t="shared" si="176"/>
        <v>0</v>
      </c>
      <c r="U306" s="1236"/>
      <c r="V306" s="1221"/>
      <c r="W306" s="1232">
        <f t="shared" si="177"/>
        <v>4.2466291896597758E-2</v>
      </c>
      <c r="X306" s="1233">
        <f t="shared" si="177"/>
        <v>6.9493436533026143E-2</v>
      </c>
      <c r="Y306" s="1232">
        <f t="shared" si="177"/>
        <v>-3.7274823158192811</v>
      </c>
      <c r="Z306" s="1051">
        <f t="shared" si="177"/>
        <v>-3.727482315819282</v>
      </c>
    </row>
    <row r="307" spans="1:26">
      <c r="A307" s="1052" t="s">
        <v>960</v>
      </c>
      <c r="B307" s="1060"/>
      <c r="C307" s="1236">
        <f t="shared" si="175"/>
        <v>3.0735954765291444E-2</v>
      </c>
      <c r="D307" s="1232">
        <f t="shared" si="175"/>
        <v>7.8185977188415953E-2</v>
      </c>
      <c r="E307" s="1233">
        <f t="shared" si="175"/>
        <v>3.1320733503360967E-2</v>
      </c>
      <c r="F307" s="1233">
        <f t="shared" si="175"/>
        <v>7.0224477572697369E-2</v>
      </c>
      <c r="G307" s="1051">
        <f t="shared" si="175"/>
        <v>6.8983667663003914E-2</v>
      </c>
      <c r="H307" s="1234">
        <f t="shared" si="175"/>
        <v>1.0113304237252867E-2</v>
      </c>
      <c r="I307" s="1234">
        <f t="shared" si="175"/>
        <v>9.750388540812888E-3</v>
      </c>
      <c r="J307" s="1234">
        <f t="shared" si="175"/>
        <v>9.3210618582410271E-3</v>
      </c>
      <c r="K307" s="1076">
        <f t="shared" si="175"/>
        <v>8.9725944981098888E-3</v>
      </c>
      <c r="L307" s="1221"/>
      <c r="M307" s="1232">
        <f t="shared" si="176"/>
        <v>0</v>
      </c>
      <c r="N307" s="1235">
        <f t="shared" si="176"/>
        <v>1.0073883260123585E-2</v>
      </c>
      <c r="O307" s="1232">
        <f t="shared" si="176"/>
        <v>9.7044145921769479E-3</v>
      </c>
      <c r="P307" s="1233">
        <f t="shared" si="176"/>
        <v>9.2666543973197041E-3</v>
      </c>
      <c r="Q307" s="1233">
        <f t="shared" si="176"/>
        <v>8.9118939355766879E-3</v>
      </c>
      <c r="R307" s="1232">
        <f t="shared" si="176"/>
        <v>0</v>
      </c>
      <c r="S307" s="1233">
        <f t="shared" si="176"/>
        <v>0</v>
      </c>
      <c r="T307" s="1233">
        <f t="shared" si="176"/>
        <v>0</v>
      </c>
      <c r="U307" s="1236"/>
      <c r="V307" s="1221"/>
      <c r="W307" s="1232">
        <f t="shared" si="177"/>
        <v>9.7044145921769479E-3</v>
      </c>
      <c r="X307" s="1233">
        <f t="shared" si="177"/>
        <v>3.1320733503360967E-2</v>
      </c>
      <c r="Y307" s="1232">
        <f t="shared" si="177"/>
        <v>-3.0055016857711419</v>
      </c>
      <c r="Z307" s="1051">
        <f t="shared" si="177"/>
        <v>-3.0055016857711423</v>
      </c>
    </row>
    <row r="308" spans="1:26">
      <c r="A308" s="1052" t="s">
        <v>962</v>
      </c>
      <c r="B308" s="1053"/>
      <c r="C308" s="1236">
        <f t="shared" ref="C308:K323" si="178">C84/C$179*100</f>
        <v>3.3762983314949762E-4</v>
      </c>
      <c r="D308" s="1232">
        <f t="shared" si="178"/>
        <v>0</v>
      </c>
      <c r="E308" s="1233">
        <f t="shared" si="178"/>
        <v>0</v>
      </c>
      <c r="F308" s="1233">
        <f t="shared" si="178"/>
        <v>0</v>
      </c>
      <c r="G308" s="1051">
        <f t="shared" si="178"/>
        <v>0</v>
      </c>
      <c r="H308" s="1234">
        <f t="shared" si="178"/>
        <v>0</v>
      </c>
      <c r="I308" s="1234">
        <f t="shared" si="178"/>
        <v>0</v>
      </c>
      <c r="J308" s="1234">
        <f t="shared" si="178"/>
        <v>0</v>
      </c>
      <c r="K308" s="1076">
        <f t="shared" si="178"/>
        <v>0</v>
      </c>
      <c r="L308" s="1221"/>
      <c r="M308" s="1255">
        <f t="shared" ref="M308:T323" si="179">M84/M$179*100</f>
        <v>0</v>
      </c>
      <c r="N308" s="1235">
        <f t="shared" si="179"/>
        <v>0</v>
      </c>
      <c r="O308" s="1232">
        <f t="shared" si="179"/>
        <v>0</v>
      </c>
      <c r="P308" s="1233">
        <f t="shared" si="179"/>
        <v>0</v>
      </c>
      <c r="Q308" s="1233">
        <f t="shared" si="179"/>
        <v>0</v>
      </c>
      <c r="R308" s="1232">
        <f t="shared" si="179"/>
        <v>0</v>
      </c>
      <c r="S308" s="1233">
        <f t="shared" si="179"/>
        <v>0</v>
      </c>
      <c r="T308" s="1233">
        <f t="shared" si="179"/>
        <v>0</v>
      </c>
      <c r="U308" s="1236"/>
      <c r="V308" s="1221"/>
      <c r="W308" s="1232">
        <f t="shared" ref="W308:Z323" si="180">W84/W$179*100</f>
        <v>0</v>
      </c>
      <c r="X308" s="1233">
        <f t="shared" si="180"/>
        <v>0</v>
      </c>
      <c r="Y308" s="1232">
        <f t="shared" si="180"/>
        <v>0</v>
      </c>
      <c r="Z308" s="1051">
        <f t="shared" si="180"/>
        <v>0</v>
      </c>
    </row>
    <row r="309" spans="1:26">
      <c r="A309" s="1052" t="s">
        <v>963</v>
      </c>
      <c r="B309" s="1053"/>
      <c r="C309" s="1236">
        <f t="shared" si="178"/>
        <v>7.0059422604189181E-2</v>
      </c>
      <c r="D309" s="1232">
        <f t="shared" si="178"/>
        <v>0</v>
      </c>
      <c r="E309" s="1233">
        <f t="shared" si="178"/>
        <v>0</v>
      </c>
      <c r="F309" s="1233">
        <f t="shared" si="178"/>
        <v>0</v>
      </c>
      <c r="G309" s="1051">
        <f t="shared" si="178"/>
        <v>0</v>
      </c>
      <c r="H309" s="1234">
        <f t="shared" si="178"/>
        <v>6.7043706296364844E-2</v>
      </c>
      <c r="I309" s="1234">
        <f t="shared" si="178"/>
        <v>6.3376185511305597E-2</v>
      </c>
      <c r="J309" s="1234">
        <f t="shared" si="178"/>
        <v>5.9540385774120845E-2</v>
      </c>
      <c r="K309" s="1076">
        <f t="shared" si="178"/>
        <v>5.6153021810183688E-2</v>
      </c>
      <c r="L309" s="1221"/>
      <c r="M309" s="1255">
        <f t="shared" si="179"/>
        <v>0</v>
      </c>
      <c r="N309" s="1235">
        <f t="shared" si="179"/>
        <v>6.6782374455596538E-2</v>
      </c>
      <c r="O309" s="1232">
        <f t="shared" si="179"/>
        <v>6.307736116340984E-2</v>
      </c>
      <c r="P309" s="1233">
        <f t="shared" si="179"/>
        <v>5.9192845841277042E-2</v>
      </c>
      <c r="Q309" s="1233">
        <f t="shared" si="179"/>
        <v>5.5773140604972064E-2</v>
      </c>
      <c r="R309" s="1232">
        <f t="shared" si="179"/>
        <v>0</v>
      </c>
      <c r="S309" s="1233">
        <f t="shared" si="179"/>
        <v>0</v>
      </c>
      <c r="T309" s="1233">
        <f t="shared" si="179"/>
        <v>0</v>
      </c>
      <c r="U309" s="1236"/>
      <c r="V309" s="1221"/>
      <c r="W309" s="1232">
        <f t="shared" si="180"/>
        <v>6.307736116340984E-2</v>
      </c>
      <c r="X309" s="1233">
        <f t="shared" si="180"/>
        <v>6.352956917493513E-2</v>
      </c>
      <c r="Y309" s="1232">
        <f t="shared" si="180"/>
        <v>0</v>
      </c>
      <c r="Z309" s="1051">
        <f t="shared" si="180"/>
        <v>0</v>
      </c>
    </row>
    <row r="310" spans="1:26">
      <c r="A310" s="1052" t="s">
        <v>964</v>
      </c>
      <c r="B310" s="1053"/>
      <c r="C310" s="1236">
        <f t="shared" si="178"/>
        <v>-0.10374847237903322</v>
      </c>
      <c r="D310" s="1232">
        <f t="shared" si="178"/>
        <v>0</v>
      </c>
      <c r="E310" s="1233">
        <f t="shared" si="178"/>
        <v>0</v>
      </c>
      <c r="F310" s="1233">
        <f t="shared" si="178"/>
        <v>0</v>
      </c>
      <c r="G310" s="1051">
        <f t="shared" si="178"/>
        <v>0</v>
      </c>
      <c r="H310" s="1234">
        <f t="shared" si="178"/>
        <v>-0.10374847237903322</v>
      </c>
      <c r="I310" s="1234">
        <f t="shared" si="178"/>
        <v>-0.10374847237903322</v>
      </c>
      <c r="J310" s="1234">
        <f t="shared" si="178"/>
        <v>-0.10374847237903322</v>
      </c>
      <c r="K310" s="1076">
        <f t="shared" si="178"/>
        <v>-0.10374847237903322</v>
      </c>
      <c r="L310" s="1221"/>
      <c r="M310" s="1255">
        <f t="shared" si="179"/>
        <v>0</v>
      </c>
      <c r="N310" s="1235">
        <f t="shared" si="179"/>
        <v>-0.10334406783815264</v>
      </c>
      <c r="O310" s="1232">
        <f t="shared" si="179"/>
        <v>-0.10334406783815266</v>
      </c>
      <c r="P310" s="1233">
        <f t="shared" si="179"/>
        <v>-0.10334406783815266</v>
      </c>
      <c r="Q310" s="1233">
        <f t="shared" si="179"/>
        <v>-0.10334406783815266</v>
      </c>
      <c r="R310" s="1232">
        <f t="shared" si="179"/>
        <v>-1.1910350843035157E-2</v>
      </c>
      <c r="S310" s="1233">
        <f t="shared" si="179"/>
        <v>-2.4420915238421412E-2</v>
      </c>
      <c r="T310" s="1233">
        <f t="shared" si="179"/>
        <v>-3.2460296175534011E-2</v>
      </c>
      <c r="U310" s="1236"/>
      <c r="V310" s="1221"/>
      <c r="W310" s="1232">
        <f t="shared" si="180"/>
        <v>-0.10334406783815266</v>
      </c>
      <c r="X310" s="1233">
        <f t="shared" si="180"/>
        <v>-0.10399956544594909</v>
      </c>
      <c r="Y310" s="1232">
        <f t="shared" si="180"/>
        <v>-1.1910350843035157E-2</v>
      </c>
      <c r="Z310" s="1051">
        <f t="shared" si="180"/>
        <v>-1.1910350843035157E-2</v>
      </c>
    </row>
    <row r="311" spans="1:26">
      <c r="A311" s="1052" t="s">
        <v>965</v>
      </c>
      <c r="B311" s="1053"/>
      <c r="C311" s="1236">
        <f t="shared" si="178"/>
        <v>0.1533089892365827</v>
      </c>
      <c r="D311" s="1249">
        <f t="shared" si="178"/>
        <v>0.15037781866377484</v>
      </c>
      <c r="E311" s="1233">
        <f t="shared" si="178"/>
        <v>0.14224283499837601</v>
      </c>
      <c r="F311" s="1233">
        <f t="shared" si="178"/>
        <v>0.13401989384384963</v>
      </c>
      <c r="G311" s="1051">
        <f t="shared" si="178"/>
        <v>0.14879614977147462</v>
      </c>
      <c r="H311" s="1234">
        <f t="shared" si="178"/>
        <v>0.15001464049087268</v>
      </c>
      <c r="I311" s="1234">
        <f t="shared" si="178"/>
        <v>0.14189940866256967</v>
      </c>
      <c r="J311" s="1234">
        <f t="shared" si="178"/>
        <v>0.1336962261557115</v>
      </c>
      <c r="K311" s="1076">
        <f t="shared" si="178"/>
        <v>0.14843677791657406</v>
      </c>
      <c r="L311" s="1221"/>
      <c r="M311" s="1232">
        <f t="shared" si="179"/>
        <v>0</v>
      </c>
      <c r="N311" s="1235">
        <f t="shared" si="179"/>
        <v>0.14942989355029668</v>
      </c>
      <c r="O311" s="1232">
        <f t="shared" si="179"/>
        <v>0.14123034033795709</v>
      </c>
      <c r="P311" s="1233">
        <f t="shared" si="179"/>
        <v>0.1329158352184425</v>
      </c>
      <c r="Q311" s="1233">
        <f t="shared" si="179"/>
        <v>0.14743258721988653</v>
      </c>
      <c r="R311" s="1232">
        <f t="shared" si="179"/>
        <v>0</v>
      </c>
      <c r="S311" s="1233">
        <f t="shared" si="179"/>
        <v>0</v>
      </c>
      <c r="T311" s="1233">
        <f t="shared" si="179"/>
        <v>0</v>
      </c>
      <c r="U311" s="1236"/>
      <c r="V311" s="1221"/>
      <c r="W311" s="1232">
        <f t="shared" si="180"/>
        <v>0.14123034033795709</v>
      </c>
      <c r="X311" s="1233">
        <f t="shared" si="180"/>
        <v>0.14224283499837601</v>
      </c>
      <c r="Y311" s="1232">
        <f t="shared" si="180"/>
        <v>0</v>
      </c>
      <c r="Z311" s="1051">
        <f t="shared" si="180"/>
        <v>0</v>
      </c>
    </row>
    <row r="312" spans="1:26">
      <c r="A312" s="1052" t="s">
        <v>966</v>
      </c>
      <c r="B312" s="1053"/>
      <c r="C312" s="1236">
        <f t="shared" si="178"/>
        <v>0.23366119038470656</v>
      </c>
      <c r="D312" s="1249">
        <f t="shared" si="178"/>
        <v>0.26336321066398988</v>
      </c>
      <c r="E312" s="1233">
        <f t="shared" si="178"/>
        <v>0.27311194004137984</v>
      </c>
      <c r="F312" s="1233">
        <f t="shared" si="178"/>
        <v>0.26198252724744037</v>
      </c>
      <c r="G312" s="1051">
        <f t="shared" si="178"/>
        <v>0.42460059134158523</v>
      </c>
      <c r="H312" s="1234">
        <f t="shared" si="178"/>
        <v>0.26272716094263804</v>
      </c>
      <c r="I312" s="1234">
        <f t="shared" si="178"/>
        <v>0.27245254772236122</v>
      </c>
      <c r="J312" s="1234">
        <f t="shared" si="178"/>
        <v>0.2613498205910274</v>
      </c>
      <c r="K312" s="1076">
        <f t="shared" si="178"/>
        <v>0.42357509772272045</v>
      </c>
      <c r="L312" s="1221"/>
      <c r="M312" s="1232">
        <f t="shared" si="179"/>
        <v>0</v>
      </c>
      <c r="N312" s="1235">
        <f t="shared" si="179"/>
        <v>0.2617030682069908</v>
      </c>
      <c r="O312" s="1232">
        <f t="shared" si="179"/>
        <v>0.25210487439123291</v>
      </c>
      <c r="P312" s="1233">
        <f t="shared" si="179"/>
        <v>0.24073257801109546</v>
      </c>
      <c r="Q312" s="1233">
        <f t="shared" si="179"/>
        <v>0.2315164794203782</v>
      </c>
      <c r="R312" s="1232">
        <f t="shared" si="179"/>
        <v>-2.6781180169024479</v>
      </c>
      <c r="S312" s="1233">
        <f t="shared" si="179"/>
        <v>-2.3175144988202967</v>
      </c>
      <c r="T312" s="1233">
        <f t="shared" si="179"/>
        <v>-20.645333019301376</v>
      </c>
      <c r="U312" s="1236"/>
      <c r="V312" s="1221"/>
      <c r="W312" s="1232">
        <f t="shared" si="180"/>
        <v>0.25210487439123291</v>
      </c>
      <c r="X312" s="1233">
        <f t="shared" si="180"/>
        <v>0.27311194004137984</v>
      </c>
      <c r="Y312" s="1232">
        <f t="shared" si="180"/>
        <v>-2.6781180169024479</v>
      </c>
      <c r="Z312" s="1051">
        <f t="shared" si="180"/>
        <v>-2.6781180169024479</v>
      </c>
    </row>
    <row r="313" spans="1:26">
      <c r="A313" s="1052" t="s">
        <v>967</v>
      </c>
      <c r="B313" s="1053"/>
      <c r="C313" s="1236">
        <f t="shared" si="178"/>
        <v>0</v>
      </c>
      <c r="D313" s="1249">
        <f t="shared" si="178"/>
        <v>0</v>
      </c>
      <c r="E313" s="1233">
        <f t="shared" si="178"/>
        <v>6.2349619388655207E-2</v>
      </c>
      <c r="F313" s="1233">
        <f t="shared" si="178"/>
        <v>0</v>
      </c>
      <c r="G313" s="1051">
        <f t="shared" si="178"/>
        <v>0</v>
      </c>
      <c r="H313" s="1234">
        <f t="shared" si="178"/>
        <v>0</v>
      </c>
      <c r="I313" s="1234">
        <f t="shared" si="178"/>
        <v>6.219908455626235E-2</v>
      </c>
      <c r="J313" s="1234">
        <f t="shared" si="178"/>
        <v>0</v>
      </c>
      <c r="K313" s="1076">
        <f t="shared" si="178"/>
        <v>0</v>
      </c>
      <c r="L313" s="1221"/>
      <c r="M313" s="1232">
        <f t="shared" si="179"/>
        <v>0</v>
      </c>
      <c r="N313" s="1235">
        <f t="shared" si="179"/>
        <v>0</v>
      </c>
      <c r="O313" s="1232">
        <f t="shared" si="179"/>
        <v>0</v>
      </c>
      <c r="P313" s="1233">
        <f t="shared" si="179"/>
        <v>0</v>
      </c>
      <c r="Q313" s="1233">
        <f t="shared" si="179"/>
        <v>0</v>
      </c>
      <c r="R313" s="1232">
        <f t="shared" si="179"/>
        <v>-8.6969920044405402</v>
      </c>
      <c r="S313" s="1233">
        <f t="shared" si="179"/>
        <v>0</v>
      </c>
      <c r="T313" s="1233">
        <f t="shared" si="179"/>
        <v>0</v>
      </c>
      <c r="U313" s="1236"/>
      <c r="V313" s="1221"/>
      <c r="W313" s="1232">
        <f t="shared" si="180"/>
        <v>0</v>
      </c>
      <c r="X313" s="1233">
        <f t="shared" si="180"/>
        <v>6.2349619388655207E-2</v>
      </c>
      <c r="Y313" s="1232">
        <f t="shared" si="180"/>
        <v>-8.6969920044405402</v>
      </c>
      <c r="Z313" s="1051">
        <f t="shared" si="180"/>
        <v>-8.696992004440542</v>
      </c>
    </row>
    <row r="314" spans="1:26">
      <c r="A314" s="1052" t="s">
        <v>968</v>
      </c>
      <c r="B314" s="1053"/>
      <c r="C314" s="1236">
        <f t="shared" si="178"/>
        <v>0.12541962520969094</v>
      </c>
      <c r="D314" s="1249">
        <f t="shared" si="178"/>
        <v>0.18115308335776376</v>
      </c>
      <c r="E314" s="1233">
        <f t="shared" si="178"/>
        <v>9.4970408649664842E-2</v>
      </c>
      <c r="F314" s="1233">
        <f t="shared" si="178"/>
        <v>8.6941877624373318E-2</v>
      </c>
      <c r="G314" s="1051">
        <f t="shared" si="178"/>
        <v>8.2706073247295953E-2</v>
      </c>
      <c r="H314" s="1234">
        <f t="shared" si="178"/>
        <v>0.18071557969921848</v>
      </c>
      <c r="I314" s="1234">
        <f t="shared" si="178"/>
        <v>9.4741115276448851E-2</v>
      </c>
      <c r="J314" s="1234">
        <f t="shared" si="178"/>
        <v>8.6731906733291619E-2</v>
      </c>
      <c r="K314" s="1076">
        <f t="shared" si="178"/>
        <v>8.2506321876040234E-2</v>
      </c>
      <c r="L314" s="1221"/>
      <c r="M314" s="1232">
        <f t="shared" si="179"/>
        <v>0</v>
      </c>
      <c r="N314" s="1235">
        <f t="shared" si="179"/>
        <v>0.18001116257034519</v>
      </c>
      <c r="O314" s="1232">
        <f t="shared" si="179"/>
        <v>0.17340909237228577</v>
      </c>
      <c r="P314" s="1233">
        <f t="shared" si="179"/>
        <v>0.16558671448994505</v>
      </c>
      <c r="Q314" s="1233">
        <f t="shared" si="179"/>
        <v>0.15924746660475872</v>
      </c>
      <c r="R314" s="1232">
        <f t="shared" si="179"/>
        <v>11.114624321323634</v>
      </c>
      <c r="S314" s="1233">
        <f t="shared" si="179"/>
        <v>9.6335116389937419</v>
      </c>
      <c r="T314" s="1233">
        <f t="shared" si="179"/>
        <v>8.4351389091813171</v>
      </c>
      <c r="U314" s="1236"/>
      <c r="V314" s="1221"/>
      <c r="W314" s="1232">
        <f t="shared" si="180"/>
        <v>0.17340909237228577</v>
      </c>
      <c r="X314" s="1233">
        <f t="shared" si="180"/>
        <v>9.4970408649664842E-2</v>
      </c>
      <c r="Y314" s="1232">
        <f t="shared" si="180"/>
        <v>11.114624321323634</v>
      </c>
      <c r="Z314" s="1051">
        <f t="shared" si="180"/>
        <v>11.114624321323634</v>
      </c>
    </row>
    <row r="315" spans="1:26">
      <c r="A315" s="1052" t="s">
        <v>969</v>
      </c>
      <c r="B315" s="1053"/>
      <c r="C315" s="1236">
        <f t="shared" si="178"/>
        <v>9.6642986012538193E-2</v>
      </c>
      <c r="D315" s="1249">
        <f t="shared" si="178"/>
        <v>0.17712387906529006</v>
      </c>
      <c r="E315" s="1233">
        <f t="shared" si="178"/>
        <v>0.1758386690833654</v>
      </c>
      <c r="F315" s="1233">
        <f t="shared" si="178"/>
        <v>0.15579288091644919</v>
      </c>
      <c r="G315" s="1051">
        <f t="shared" si="178"/>
        <v>0.15215646689658627</v>
      </c>
      <c r="H315" s="1234">
        <f t="shared" si="178"/>
        <v>0.17669610635686889</v>
      </c>
      <c r="I315" s="1234">
        <f t="shared" si="178"/>
        <v>0.1754141300911761</v>
      </c>
      <c r="J315" s="1234">
        <f t="shared" si="178"/>
        <v>0.15541662989767613</v>
      </c>
      <c r="K315" s="1076">
        <f t="shared" si="178"/>
        <v>0.15178897921745127</v>
      </c>
      <c r="L315" s="1221"/>
      <c r="M315" s="1232">
        <f t="shared" si="179"/>
        <v>0</v>
      </c>
      <c r="N315" s="1235">
        <f t="shared" si="179"/>
        <v>0.17600735686371416</v>
      </c>
      <c r="O315" s="1232">
        <f t="shared" si="179"/>
        <v>0.16955212981669682</v>
      </c>
      <c r="P315" s="1233">
        <f t="shared" si="179"/>
        <v>0.16190373715148113</v>
      </c>
      <c r="Q315" s="1233">
        <f t="shared" si="179"/>
        <v>0.15570548672720808</v>
      </c>
      <c r="R315" s="1232">
        <f t="shared" si="179"/>
        <v>-0.70734146270083131</v>
      </c>
      <c r="S315" s="1233">
        <f t="shared" si="179"/>
        <v>0.89757985224870196</v>
      </c>
      <c r="T315" s="1233">
        <f t="shared" si="179"/>
        <v>0.53943645316791633</v>
      </c>
      <c r="U315" s="1236"/>
      <c r="V315" s="1221"/>
      <c r="W315" s="1232">
        <f t="shared" si="180"/>
        <v>0.16955212981669682</v>
      </c>
      <c r="X315" s="1233">
        <f t="shared" si="180"/>
        <v>0.1758386690833654</v>
      </c>
      <c r="Y315" s="1232">
        <f t="shared" si="180"/>
        <v>-0.70734146270083131</v>
      </c>
      <c r="Z315" s="1051">
        <f t="shared" si="180"/>
        <v>-0.7073414627008312</v>
      </c>
    </row>
    <row r="316" spans="1:26">
      <c r="A316" s="1052" t="s">
        <v>970</v>
      </c>
      <c r="B316" s="1053"/>
      <c r="C316" s="1236">
        <f t="shared" si="178"/>
        <v>0</v>
      </c>
      <c r="D316" s="1256">
        <f t="shared" si="178"/>
        <v>0</v>
      </c>
      <c r="E316" s="1233">
        <f t="shared" si="178"/>
        <v>0</v>
      </c>
      <c r="F316" s="1233">
        <f t="shared" si="178"/>
        <v>0</v>
      </c>
      <c r="G316" s="1051">
        <f t="shared" si="178"/>
        <v>0</v>
      </c>
      <c r="H316" s="1234">
        <f t="shared" si="178"/>
        <v>0</v>
      </c>
      <c r="I316" s="1234">
        <f t="shared" si="178"/>
        <v>0</v>
      </c>
      <c r="J316" s="1234">
        <f t="shared" si="178"/>
        <v>0</v>
      </c>
      <c r="K316" s="1076">
        <f t="shared" si="178"/>
        <v>0</v>
      </c>
      <c r="L316" s="1221"/>
      <c r="M316" s="1232">
        <f t="shared" si="179"/>
        <v>0</v>
      </c>
      <c r="N316" s="1235">
        <f t="shared" si="179"/>
        <v>0</v>
      </c>
      <c r="O316" s="1232">
        <f t="shared" si="179"/>
        <v>0</v>
      </c>
      <c r="P316" s="1233">
        <f t="shared" si="179"/>
        <v>0</v>
      </c>
      <c r="Q316" s="1233">
        <f t="shared" si="179"/>
        <v>0</v>
      </c>
      <c r="R316" s="1232">
        <f t="shared" si="179"/>
        <v>0</v>
      </c>
      <c r="S316" s="1233">
        <f t="shared" si="179"/>
        <v>0</v>
      </c>
      <c r="T316" s="1233">
        <f t="shared" si="179"/>
        <v>0</v>
      </c>
      <c r="U316" s="1236"/>
      <c r="V316" s="1221"/>
      <c r="W316" s="1232">
        <f t="shared" si="180"/>
        <v>0</v>
      </c>
      <c r="X316" s="1233">
        <f t="shared" si="180"/>
        <v>0</v>
      </c>
      <c r="Y316" s="1232">
        <f t="shared" si="180"/>
        <v>0</v>
      </c>
      <c r="Z316" s="1051">
        <f t="shared" si="180"/>
        <v>0</v>
      </c>
    </row>
    <row r="317" spans="1:26">
      <c r="A317" s="1052" t="s">
        <v>971</v>
      </c>
      <c r="B317" s="1053"/>
      <c r="C317" s="1236">
        <f t="shared" si="178"/>
        <v>0</v>
      </c>
      <c r="D317" s="1232">
        <f t="shared" si="178"/>
        <v>0</v>
      </c>
      <c r="E317" s="1233">
        <f t="shared" si="178"/>
        <v>5.9984463676138286E-2</v>
      </c>
      <c r="F317" s="1233">
        <f t="shared" si="178"/>
        <v>7.8398714059052063E-2</v>
      </c>
      <c r="G317" s="1051">
        <f t="shared" si="178"/>
        <v>7.4928500619952848E-2</v>
      </c>
      <c r="H317" s="1234">
        <f t="shared" si="178"/>
        <v>0</v>
      </c>
      <c r="I317" s="1234">
        <f t="shared" si="178"/>
        <v>0</v>
      </c>
      <c r="J317" s="1234">
        <f t="shared" si="178"/>
        <v>0</v>
      </c>
      <c r="K317" s="1076">
        <f t="shared" si="178"/>
        <v>0</v>
      </c>
      <c r="L317" s="1221"/>
      <c r="M317" s="1232">
        <f t="shared" si="179"/>
        <v>0</v>
      </c>
      <c r="N317" s="1235">
        <f t="shared" si="179"/>
        <v>0</v>
      </c>
      <c r="O317" s="1232">
        <f t="shared" si="179"/>
        <v>0</v>
      </c>
      <c r="P317" s="1233">
        <f t="shared" si="179"/>
        <v>0</v>
      </c>
      <c r="Q317" s="1233">
        <f t="shared" si="179"/>
        <v>0</v>
      </c>
      <c r="R317" s="1232">
        <f t="shared" si="179"/>
        <v>0</v>
      </c>
      <c r="S317" s="1233">
        <f t="shared" si="179"/>
        <v>0</v>
      </c>
      <c r="T317" s="1233">
        <f t="shared" si="179"/>
        <v>0</v>
      </c>
      <c r="U317" s="1236"/>
      <c r="V317" s="1221"/>
      <c r="W317" s="1232">
        <f t="shared" si="180"/>
        <v>0</v>
      </c>
      <c r="X317" s="1233">
        <f t="shared" si="180"/>
        <v>5.9984463676138286E-2</v>
      </c>
      <c r="Y317" s="1232">
        <f t="shared" si="180"/>
        <v>-8.3670823670970389</v>
      </c>
      <c r="Z317" s="1051">
        <f t="shared" si="180"/>
        <v>-8.3670823670970407</v>
      </c>
    </row>
    <row r="318" spans="1:26">
      <c r="A318" s="1052" t="s">
        <v>972</v>
      </c>
      <c r="B318" s="1053"/>
      <c r="C318" s="1236">
        <f t="shared" si="178"/>
        <v>0</v>
      </c>
      <c r="D318" s="1249">
        <f t="shared" si="178"/>
        <v>0.12451009006186099</v>
      </c>
      <c r="E318" s="1233">
        <f t="shared" si="178"/>
        <v>0.13878490834643079</v>
      </c>
      <c r="F318" s="1233">
        <f t="shared" si="178"/>
        <v>0.13646736785260213</v>
      </c>
      <c r="G318" s="1051">
        <f t="shared" si="178"/>
        <v>0.12870349991884433</v>
      </c>
      <c r="H318" s="1234">
        <f t="shared" si="178"/>
        <v>0</v>
      </c>
      <c r="I318" s="1234">
        <f t="shared" si="178"/>
        <v>0</v>
      </c>
      <c r="J318" s="1234">
        <f t="shared" si="178"/>
        <v>0</v>
      </c>
      <c r="K318" s="1076">
        <f t="shared" si="178"/>
        <v>0</v>
      </c>
      <c r="L318" s="1221"/>
      <c r="M318" s="1232">
        <f t="shared" si="179"/>
        <v>0</v>
      </c>
      <c r="N318" s="1235">
        <f t="shared" si="179"/>
        <v>0</v>
      </c>
      <c r="O318" s="1232">
        <f t="shared" si="179"/>
        <v>0</v>
      </c>
      <c r="P318" s="1233">
        <f t="shared" si="179"/>
        <v>0</v>
      </c>
      <c r="Q318" s="1233">
        <f t="shared" si="179"/>
        <v>0</v>
      </c>
      <c r="R318" s="1232">
        <f t="shared" si="179"/>
        <v>0</v>
      </c>
      <c r="S318" s="1233">
        <f t="shared" si="179"/>
        <v>0</v>
      </c>
      <c r="T318" s="1233">
        <f t="shared" si="179"/>
        <v>0</v>
      </c>
      <c r="U318" s="1236"/>
      <c r="V318" s="1221"/>
      <c r="W318" s="1232">
        <f t="shared" si="180"/>
        <v>0</v>
      </c>
      <c r="X318" s="1233">
        <f t="shared" si="180"/>
        <v>0.13878490834643079</v>
      </c>
      <c r="Y318" s="1232">
        <f t="shared" si="180"/>
        <v>-19.358758723161394</v>
      </c>
      <c r="Z318" s="1051">
        <f t="shared" si="180"/>
        <v>-19.358758723161394</v>
      </c>
    </row>
    <row r="319" spans="1:26">
      <c r="A319" s="1052" t="s">
        <v>551</v>
      </c>
      <c r="B319" s="1053"/>
      <c r="C319" s="1236">
        <f t="shared" si="178"/>
        <v>0</v>
      </c>
      <c r="D319" s="1249">
        <f t="shared" si="178"/>
        <v>0</v>
      </c>
      <c r="E319" s="1233">
        <f t="shared" si="178"/>
        <v>0.15643273681741449</v>
      </c>
      <c r="F319" s="1233">
        <f t="shared" si="178"/>
        <v>0</v>
      </c>
      <c r="G319" s="1051">
        <f t="shared" si="178"/>
        <v>0</v>
      </c>
      <c r="H319" s="1234">
        <f t="shared" si="178"/>
        <v>0</v>
      </c>
      <c r="I319" s="1234">
        <f t="shared" si="178"/>
        <v>0</v>
      </c>
      <c r="J319" s="1234">
        <f t="shared" si="178"/>
        <v>0</v>
      </c>
      <c r="K319" s="1076">
        <f t="shared" si="178"/>
        <v>0</v>
      </c>
      <c r="L319" s="1221"/>
      <c r="M319" s="1232">
        <f t="shared" si="179"/>
        <v>0</v>
      </c>
      <c r="N319" s="1235">
        <f t="shared" si="179"/>
        <v>0</v>
      </c>
      <c r="O319" s="1232">
        <f t="shared" si="179"/>
        <v>0</v>
      </c>
      <c r="P319" s="1233">
        <f t="shared" si="179"/>
        <v>0</v>
      </c>
      <c r="Q319" s="1233">
        <f t="shared" si="179"/>
        <v>0</v>
      </c>
      <c r="R319" s="1232">
        <f t="shared" si="179"/>
        <v>0</v>
      </c>
      <c r="S319" s="1233">
        <f t="shared" si="179"/>
        <v>0</v>
      </c>
      <c r="T319" s="1233">
        <f t="shared" si="179"/>
        <v>0</v>
      </c>
      <c r="U319" s="1236"/>
      <c r="V319" s="1221"/>
      <c r="W319" s="1232">
        <f t="shared" si="180"/>
        <v>0</v>
      </c>
      <c r="X319" s="1233">
        <f t="shared" si="180"/>
        <v>0.15643273681741449</v>
      </c>
      <c r="Y319" s="1232">
        <f t="shared" si="180"/>
        <v>-21.820410046983437</v>
      </c>
      <c r="Z319" s="1051">
        <f t="shared" si="180"/>
        <v>-21.820410046983437</v>
      </c>
    </row>
    <row r="320" spans="1:26">
      <c r="A320" s="1052" t="s">
        <v>550</v>
      </c>
      <c r="B320" s="1053"/>
      <c r="C320" s="1236">
        <f t="shared" si="178"/>
        <v>0</v>
      </c>
      <c r="D320" s="1249">
        <f t="shared" si="178"/>
        <v>3.755064977393175E-2</v>
      </c>
      <c r="E320" s="1233">
        <f t="shared" si="178"/>
        <v>0</v>
      </c>
      <c r="F320" s="1233">
        <f t="shared" si="178"/>
        <v>0</v>
      </c>
      <c r="G320" s="1051">
        <f t="shared" si="178"/>
        <v>0</v>
      </c>
      <c r="H320" s="1234">
        <f t="shared" si="178"/>
        <v>0</v>
      </c>
      <c r="I320" s="1234">
        <f t="shared" si="178"/>
        <v>0</v>
      </c>
      <c r="J320" s="1234">
        <f t="shared" si="178"/>
        <v>0</v>
      </c>
      <c r="K320" s="1076">
        <f t="shared" si="178"/>
        <v>0</v>
      </c>
      <c r="L320" s="1221"/>
      <c r="M320" s="1232">
        <f t="shared" si="179"/>
        <v>0</v>
      </c>
      <c r="N320" s="1235">
        <f t="shared" si="179"/>
        <v>0</v>
      </c>
      <c r="O320" s="1232">
        <f t="shared" si="179"/>
        <v>0</v>
      </c>
      <c r="P320" s="1233">
        <f t="shared" si="179"/>
        <v>0</v>
      </c>
      <c r="Q320" s="1233">
        <f t="shared" si="179"/>
        <v>0</v>
      </c>
      <c r="R320" s="1232">
        <f t="shared" si="179"/>
        <v>0</v>
      </c>
      <c r="S320" s="1233">
        <f t="shared" si="179"/>
        <v>0</v>
      </c>
      <c r="T320" s="1233">
        <f t="shared" si="179"/>
        <v>0</v>
      </c>
      <c r="U320" s="1236"/>
      <c r="V320" s="1221"/>
      <c r="W320" s="1232">
        <f t="shared" si="180"/>
        <v>0</v>
      </c>
      <c r="X320" s="1233">
        <f t="shared" si="180"/>
        <v>0</v>
      </c>
      <c r="Y320" s="1232">
        <f t="shared" si="180"/>
        <v>0</v>
      </c>
      <c r="Z320" s="1051">
        <f t="shared" si="180"/>
        <v>0</v>
      </c>
    </row>
    <row r="321" spans="1:26">
      <c r="A321" s="1052" t="s">
        <v>940</v>
      </c>
      <c r="B321" s="1053"/>
      <c r="C321" s="1236">
        <f t="shared" si="178"/>
        <v>0.7989825167632596</v>
      </c>
      <c r="D321" s="1233">
        <f t="shared" si="178"/>
        <v>0.7155801345818682</v>
      </c>
      <c r="E321" s="1233">
        <f t="shared" si="178"/>
        <v>0.73303739652638322</v>
      </c>
      <c r="F321" s="1233">
        <f t="shared" si="178"/>
        <v>0.68972968008210045</v>
      </c>
      <c r="G321" s="1051">
        <f t="shared" si="178"/>
        <v>0.67139748300703039</v>
      </c>
      <c r="H321" s="1234">
        <f t="shared" si="178"/>
        <v>0.76903783677567472</v>
      </c>
      <c r="I321" s="1234">
        <f t="shared" si="178"/>
        <v>0.79642049745849031</v>
      </c>
      <c r="J321" s="1234">
        <f t="shared" si="178"/>
        <v>0.76890361846630761</v>
      </c>
      <c r="K321" s="1076">
        <f t="shared" si="178"/>
        <v>0.75604994187357044</v>
      </c>
      <c r="L321" s="1221"/>
      <c r="M321" s="1232">
        <f t="shared" si="179"/>
        <v>0</v>
      </c>
      <c r="N321" s="1235">
        <f t="shared" si="179"/>
        <v>0.76604017920858469</v>
      </c>
      <c r="O321" s="1232">
        <f t="shared" si="179"/>
        <v>0.76691179365125306</v>
      </c>
      <c r="P321" s="1233">
        <f t="shared" si="179"/>
        <v>0.76747659730346429</v>
      </c>
      <c r="Q321" s="1233">
        <f t="shared" si="179"/>
        <v>0.77149791585334171</v>
      </c>
      <c r="R321" s="1232">
        <f t="shared" si="179"/>
        <v>-3.6180460694081611</v>
      </c>
      <c r="S321" s="1233">
        <f t="shared" si="179"/>
        <v>0.37158248885270417</v>
      </c>
      <c r="T321" s="1233">
        <f t="shared" si="179"/>
        <v>2.2438688013385293</v>
      </c>
      <c r="U321" s="1236"/>
      <c r="V321" s="1221"/>
      <c r="W321" s="1232">
        <f t="shared" si="180"/>
        <v>0.76691179365125306</v>
      </c>
      <c r="X321" s="1233">
        <f t="shared" si="180"/>
        <v>0.73303739652638322</v>
      </c>
      <c r="Y321" s="1232">
        <f t="shared" si="180"/>
        <v>5.4919664746400727</v>
      </c>
      <c r="Z321" s="1051">
        <f t="shared" si="180"/>
        <v>5.4919664746400736</v>
      </c>
    </row>
    <row r="322" spans="1:26">
      <c r="A322" s="1052" t="s">
        <v>941</v>
      </c>
      <c r="B322" s="1053"/>
      <c r="C322" s="1252">
        <f t="shared" si="178"/>
        <v>2.1706106760081202E-2</v>
      </c>
      <c r="D322" s="1249">
        <f t="shared" si="178"/>
        <v>0</v>
      </c>
      <c r="E322" s="1250">
        <f t="shared" si="178"/>
        <v>0</v>
      </c>
      <c r="F322" s="1250">
        <f t="shared" si="178"/>
        <v>0</v>
      </c>
      <c r="G322" s="1251">
        <f t="shared" si="178"/>
        <v>0</v>
      </c>
      <c r="H322" s="1253">
        <f t="shared" si="178"/>
        <v>2.0771764772914456E-2</v>
      </c>
      <c r="I322" s="1253">
        <f t="shared" si="178"/>
        <v>1.9635477964570811E-2</v>
      </c>
      <c r="J322" s="1253">
        <f t="shared" si="178"/>
        <v>1.84470542592255E-2</v>
      </c>
      <c r="K322" s="1254">
        <f t="shared" si="178"/>
        <v>1.7397566822655114E-2</v>
      </c>
      <c r="L322" s="1221"/>
      <c r="M322" s="1232">
        <f t="shared" si="179"/>
        <v>0</v>
      </c>
      <c r="N322" s="1235">
        <f t="shared" si="179"/>
        <v>2.0690797836210268E-2</v>
      </c>
      <c r="O322" s="1249">
        <f t="shared" si="179"/>
        <v>1.9931944341693594E-2</v>
      </c>
      <c r="P322" s="1233">
        <f t="shared" si="179"/>
        <v>1.9032826547825083E-2</v>
      </c>
      <c r="Q322" s="1233">
        <f t="shared" si="179"/>
        <v>1.8304182309583708E-2</v>
      </c>
      <c r="R322" s="1232">
        <f t="shared" si="179"/>
        <v>5.4656574419985254E-2</v>
      </c>
      <c r="S322" s="1233">
        <f t="shared" si="179"/>
        <v>8.4176603575201292E-2</v>
      </c>
      <c r="T322" s="1233">
        <f t="shared" si="179"/>
        <v>0.11177607152925895</v>
      </c>
      <c r="U322" s="1236"/>
      <c r="V322" s="1221"/>
      <c r="W322" s="1256">
        <f t="shared" si="180"/>
        <v>1.9931944341693594E-2</v>
      </c>
      <c r="X322" s="1234">
        <f t="shared" si="180"/>
        <v>1.9682999940262857E-2</v>
      </c>
      <c r="Y322" s="1256">
        <f t="shared" si="180"/>
        <v>5.4656574419985254E-2</v>
      </c>
      <c r="Z322" s="1076">
        <f t="shared" si="180"/>
        <v>5.4656574419985254E-2</v>
      </c>
    </row>
    <row r="323" spans="1:26">
      <c r="A323" s="1052" t="s">
        <v>950</v>
      </c>
      <c r="B323" s="1053"/>
      <c r="C323" s="1252">
        <f t="shared" si="178"/>
        <v>8.9405365598521705E-2</v>
      </c>
      <c r="D323" s="1249">
        <f t="shared" si="178"/>
        <v>6.2882878014039773E-2</v>
      </c>
      <c r="E323" s="1250">
        <f t="shared" si="178"/>
        <v>1.4249480344232117E-2</v>
      </c>
      <c r="F323" s="1250">
        <f t="shared" si="178"/>
        <v>1.3515182242650303E-2</v>
      </c>
      <c r="G323" s="1251">
        <f t="shared" si="178"/>
        <v>1.1514973434239078E-2</v>
      </c>
      <c r="H323" s="1253">
        <f t="shared" si="178"/>
        <v>8.6314696595401863E-2</v>
      </c>
      <c r="I323" s="1253">
        <f t="shared" si="178"/>
        <v>0.11453618099923825</v>
      </c>
      <c r="J323" s="1253">
        <f t="shared" si="178"/>
        <v>0.11296784969853381</v>
      </c>
      <c r="K323" s="1254">
        <f t="shared" si="178"/>
        <v>0.11025074386347897</v>
      </c>
      <c r="L323" s="1221"/>
      <c r="M323" s="1249">
        <f t="shared" si="179"/>
        <v>0</v>
      </c>
      <c r="N323" s="1235">
        <f t="shared" si="179"/>
        <v>8.5978247735505553E-2</v>
      </c>
      <c r="O323" s="1249">
        <f t="shared" si="179"/>
        <v>8.2824918692179533E-2</v>
      </c>
      <c r="P323" s="1250">
        <f t="shared" si="179"/>
        <v>7.9088737369614012E-2</v>
      </c>
      <c r="Q323" s="1250">
        <f t="shared" si="179"/>
        <v>7.6060939441158673E-2</v>
      </c>
      <c r="R323" s="1249">
        <f t="shared" si="179"/>
        <v>-4.3791656664837992</v>
      </c>
      <c r="S323" s="1250">
        <f t="shared" si="179"/>
        <v>-4.0324874271238631</v>
      </c>
      <c r="T323" s="1250">
        <f t="shared" si="179"/>
        <v>-3.6495065385817829</v>
      </c>
      <c r="U323" s="1252"/>
      <c r="V323" s="1221"/>
      <c r="W323" s="1232">
        <f t="shared" si="180"/>
        <v>8.2824918692179533E-2</v>
      </c>
      <c r="X323" s="1233">
        <f t="shared" si="180"/>
        <v>0.11481338258399858</v>
      </c>
      <c r="Y323" s="1232">
        <f t="shared" si="180"/>
        <v>-4.3791656664837992</v>
      </c>
      <c r="Z323" s="1051">
        <f t="shared" si="180"/>
        <v>-4.3791656664837983</v>
      </c>
    </row>
    <row r="324" spans="1:26">
      <c r="A324" s="1052" t="s">
        <v>942</v>
      </c>
      <c r="B324" s="1053"/>
      <c r="C324" s="1252">
        <f t="shared" ref="C324:K339" si="181">C100/C$179*100</f>
        <v>3.0368574053793007E-2</v>
      </c>
      <c r="D324" s="1249">
        <f t="shared" si="181"/>
        <v>2.9314570024532707E-2</v>
      </c>
      <c r="E324" s="1250">
        <f t="shared" si="181"/>
        <v>0</v>
      </c>
      <c r="F324" s="1250">
        <f t="shared" si="181"/>
        <v>0</v>
      </c>
      <c r="G324" s="1251">
        <f t="shared" si="181"/>
        <v>0</v>
      </c>
      <c r="H324" s="1253">
        <f t="shared" si="181"/>
        <v>3.2598908212816094E-2</v>
      </c>
      <c r="I324" s="1253">
        <f t="shared" si="181"/>
        <v>3.0815636075201228E-2</v>
      </c>
      <c r="J324" s="1253">
        <f t="shared" si="181"/>
        <v>2.8950541042977309E-2</v>
      </c>
      <c r="K324" s="1254">
        <f t="shared" si="181"/>
        <v>2.7303490588223799E-2</v>
      </c>
      <c r="L324" s="1221"/>
      <c r="M324" s="1249">
        <f t="shared" ref="M324:T339" si="182">M100/M$179*100</f>
        <v>0</v>
      </c>
      <c r="N324" s="1235">
        <f t="shared" si="182"/>
        <v>3.2471839869478485E-2</v>
      </c>
      <c r="O324" s="1249">
        <f t="shared" si="182"/>
        <v>3.1280906133940474E-2</v>
      </c>
      <c r="P324" s="1250">
        <f t="shared" si="182"/>
        <v>2.9869843628888004E-2</v>
      </c>
      <c r="Q324" s="1250">
        <f t="shared" si="182"/>
        <v>2.872631986468667E-2</v>
      </c>
      <c r="R324" s="1249">
        <f t="shared" si="182"/>
        <v>8.577724002860726E-2</v>
      </c>
      <c r="S324" s="1250">
        <f t="shared" si="182"/>
        <v>0.13210554825812149</v>
      </c>
      <c r="T324" s="1250">
        <f t="shared" si="182"/>
        <v>0.17541975542313221</v>
      </c>
      <c r="U324" s="1252"/>
      <c r="V324" s="1221"/>
      <c r="W324" s="1232">
        <f t="shared" ref="W324:Z339" si="183">W100/W$179*100</f>
        <v>3.1280906133940474E-2</v>
      </c>
      <c r="X324" s="1233">
        <f t="shared" si="183"/>
        <v>3.0890216378830351E-2</v>
      </c>
      <c r="Y324" s="1232">
        <f t="shared" si="183"/>
        <v>8.577724002860726E-2</v>
      </c>
      <c r="Z324" s="1051">
        <f t="shared" si="183"/>
        <v>8.577724002860726E-2</v>
      </c>
    </row>
    <row r="325" spans="1:26">
      <c r="A325" s="1052" t="s">
        <v>432</v>
      </c>
      <c r="B325" s="1053"/>
      <c r="C325" s="1236">
        <f t="shared" si="181"/>
        <v>3.7072857159924171</v>
      </c>
      <c r="D325" s="1232">
        <f t="shared" si="181"/>
        <v>3.8696899808955769</v>
      </c>
      <c r="E325" s="1233">
        <f t="shared" si="181"/>
        <v>3.5098860017250066</v>
      </c>
      <c r="F325" s="1233">
        <f t="shared" si="181"/>
        <v>3.3347167034906415</v>
      </c>
      <c r="G325" s="1051">
        <f t="shared" si="181"/>
        <v>3.2152933600750089</v>
      </c>
      <c r="H325" s="1234">
        <f t="shared" si="181"/>
        <v>3.9842272926230167</v>
      </c>
      <c r="I325" s="1234">
        <f t="shared" si="181"/>
        <v>3.7354308504465306</v>
      </c>
      <c r="J325" s="1234">
        <f t="shared" si="181"/>
        <v>3.6633394472865106</v>
      </c>
      <c r="K325" s="1076">
        <f t="shared" si="181"/>
        <v>3.4389703229647872</v>
      </c>
      <c r="L325" s="1221"/>
      <c r="M325" s="1232">
        <f t="shared" si="182"/>
        <v>0</v>
      </c>
      <c r="N325" s="1235">
        <f t="shared" si="182"/>
        <v>3.9686970436266691</v>
      </c>
      <c r="O325" s="1232">
        <f t="shared" si="182"/>
        <v>3.8231415341642214</v>
      </c>
      <c r="P325" s="1233">
        <f t="shared" si="182"/>
        <v>3.650681962588239</v>
      </c>
      <c r="Q325" s="1233">
        <f t="shared" si="182"/>
        <v>3.5109208834333621</v>
      </c>
      <c r="R325" s="1232">
        <f t="shared" si="182"/>
        <v>14.796644454422692</v>
      </c>
      <c r="S325" s="1233">
        <f t="shared" si="182"/>
        <v>1.0591857478365772</v>
      </c>
      <c r="T325" s="1233">
        <f t="shared" si="182"/>
        <v>10.390215796642222</v>
      </c>
      <c r="U325" s="1236"/>
      <c r="V325" s="1221"/>
      <c r="W325" s="1232">
        <f t="shared" si="183"/>
        <v>3.8231415341642214</v>
      </c>
      <c r="X325" s="1233">
        <f t="shared" si="183"/>
        <v>3.5098860017250066</v>
      </c>
      <c r="Y325" s="1232">
        <f t="shared" si="183"/>
        <v>47.518369952292019</v>
      </c>
      <c r="Z325" s="1051">
        <f t="shared" si="183"/>
        <v>47.518369952292026</v>
      </c>
    </row>
    <row r="326" spans="1:26">
      <c r="A326" s="790" t="s">
        <v>722</v>
      </c>
      <c r="B326" s="1060" t="s">
        <v>973</v>
      </c>
      <c r="C326" s="1224">
        <f t="shared" si="181"/>
        <v>19.124110336147957</v>
      </c>
      <c r="D326" s="1243">
        <f t="shared" si="181"/>
        <v>18.807670205278431</v>
      </c>
      <c r="E326" s="1272">
        <f t="shared" si="181"/>
        <v>18.328081813917688</v>
      </c>
      <c r="F326" s="1272">
        <f t="shared" si="181"/>
        <v>17.965943674280837</v>
      </c>
      <c r="G326" s="1273">
        <f t="shared" si="181"/>
        <v>17.63676332809429</v>
      </c>
      <c r="H326" s="1274">
        <f t="shared" si="181"/>
        <v>18.726710033238767</v>
      </c>
      <c r="I326" s="1274">
        <f t="shared" si="181"/>
        <v>18.282561781947166</v>
      </c>
      <c r="J326" s="1274">
        <f t="shared" si="181"/>
        <v>17.774905843037558</v>
      </c>
      <c r="K326" s="1275">
        <f t="shared" si="181"/>
        <v>17.352868460958646</v>
      </c>
      <c r="L326" s="1221"/>
      <c r="M326" s="1247">
        <f t="shared" si="182"/>
        <v>-0.10806209458834391</v>
      </c>
      <c r="N326" s="1248">
        <f t="shared" si="182"/>
        <v>18.545652487252084</v>
      </c>
      <c r="O326" s="1247">
        <f t="shared" si="182"/>
        <v>18.113304228062223</v>
      </c>
      <c r="P326" s="1244">
        <f t="shared" si="182"/>
        <v>17.64326942205717</v>
      </c>
      <c r="Q326" s="1244">
        <f t="shared" si="182"/>
        <v>17.311949613656175</v>
      </c>
      <c r="R326" s="1247">
        <f t="shared" si="182"/>
        <v>-11.667998952894788</v>
      </c>
      <c r="S326" s="1244">
        <f t="shared" si="182"/>
        <v>-3.3847317320824808</v>
      </c>
      <c r="T326" s="1244">
        <f t="shared" si="182"/>
        <v>8.3452058936904674</v>
      </c>
      <c r="U326" s="1224"/>
      <c r="V326" s="1271"/>
      <c r="W326" s="1247">
        <f t="shared" si="183"/>
        <v>18.113304228062223</v>
      </c>
      <c r="X326" s="1244">
        <f t="shared" si="183"/>
        <v>18.218757678416146</v>
      </c>
      <c r="Y326" s="1247">
        <f t="shared" si="183"/>
        <v>3.4038669682799623</v>
      </c>
      <c r="Z326" s="1067">
        <f t="shared" si="183"/>
        <v>3.4038669682799623</v>
      </c>
    </row>
    <row r="327" spans="1:26">
      <c r="A327" s="1052" t="s">
        <v>974</v>
      </c>
      <c r="B327" s="1053"/>
      <c r="C327" s="1236">
        <f t="shared" si="181"/>
        <v>8.0636576652335137</v>
      </c>
      <c r="D327" s="1249">
        <f t="shared" si="181"/>
        <v>7.999079725024492</v>
      </c>
      <c r="E327" s="1233">
        <f t="shared" si="181"/>
        <v>7.8708349365998007</v>
      </c>
      <c r="F327" s="1233">
        <f t="shared" si="181"/>
        <v>7.64872198365366</v>
      </c>
      <c r="G327" s="1051">
        <f t="shared" si="181"/>
        <v>7.4689373477211332</v>
      </c>
      <c r="H327" s="1234">
        <f t="shared" si="181"/>
        <v>7.9797611101832411</v>
      </c>
      <c r="I327" s="1234">
        <f t="shared" si="181"/>
        <v>7.8518318563951377</v>
      </c>
      <c r="J327" s="1234">
        <f t="shared" si="181"/>
        <v>7.6302497696363529</v>
      </c>
      <c r="K327" s="1076">
        <f t="shared" si="181"/>
        <v>7.4508984006589341</v>
      </c>
      <c r="L327" s="1221"/>
      <c r="M327" s="1232">
        <f t="shared" si="182"/>
        <v>0</v>
      </c>
      <c r="N327" s="1235">
        <f t="shared" si="182"/>
        <v>7.9486565401196874</v>
      </c>
      <c r="O327" s="1232">
        <f t="shared" si="182"/>
        <v>7.6792926370212911</v>
      </c>
      <c r="P327" s="1233">
        <f t="shared" si="182"/>
        <v>7.393936335102012</v>
      </c>
      <c r="Q327" s="1233">
        <f t="shared" si="182"/>
        <v>7.1749577608592325</v>
      </c>
      <c r="R327" s="1232">
        <f t="shared" si="182"/>
        <v>-19.038462247133786</v>
      </c>
      <c r="S327" s="1233">
        <f t="shared" si="182"/>
        <v>-23.279296498368716</v>
      </c>
      <c r="T327" s="1233">
        <f t="shared" si="182"/>
        <v>-24.611021569831674</v>
      </c>
      <c r="U327" s="1236"/>
      <c r="V327" s="1221"/>
      <c r="W327" s="1232">
        <f t="shared" si="183"/>
        <v>7.6792926370212911</v>
      </c>
      <c r="X327" s="1233">
        <f t="shared" si="183"/>
        <v>7.8708349365998007</v>
      </c>
      <c r="Y327" s="1232">
        <f t="shared" si="183"/>
        <v>-19.038462247133786</v>
      </c>
      <c r="Z327" s="1051">
        <f t="shared" si="183"/>
        <v>-19.03846224713379</v>
      </c>
    </row>
    <row r="328" spans="1:26">
      <c r="A328" s="1052" t="s">
        <v>975</v>
      </c>
      <c r="B328" s="1053"/>
      <c r="C328" s="1236">
        <f t="shared" si="181"/>
        <v>0.58393449310906143</v>
      </c>
      <c r="D328" s="1249">
        <f t="shared" si="181"/>
        <v>0.66748212110658467</v>
      </c>
      <c r="E328" s="1233">
        <f t="shared" si="181"/>
        <v>0.67506536295510433</v>
      </c>
      <c r="F328" s="1233">
        <f t="shared" si="181"/>
        <v>0.67680466212006285</v>
      </c>
      <c r="G328" s="1051">
        <f t="shared" si="181"/>
        <v>0.68248594928888029</v>
      </c>
      <c r="H328" s="1234">
        <f t="shared" si="181"/>
        <v>0.66587008191528385</v>
      </c>
      <c r="I328" s="1234">
        <f t="shared" si="181"/>
        <v>0.67343550775689986</v>
      </c>
      <c r="J328" s="1234">
        <f t="shared" si="181"/>
        <v>0.67517013015598937</v>
      </c>
      <c r="K328" s="1076">
        <f t="shared" si="181"/>
        <v>0.68083761200383486</v>
      </c>
      <c r="L328" s="1221"/>
      <c r="M328" s="1232">
        <f t="shared" si="182"/>
        <v>0</v>
      </c>
      <c r="N328" s="1235">
        <f t="shared" si="182"/>
        <v>0.66327456529139306</v>
      </c>
      <c r="O328" s="1232">
        <f t="shared" si="182"/>
        <v>0.66604017601647958</v>
      </c>
      <c r="P328" s="1233">
        <f t="shared" si="182"/>
        <v>0.66263972735991494</v>
      </c>
      <c r="Q328" s="1233">
        <f t="shared" si="182"/>
        <v>0.6624909994060566</v>
      </c>
      <c r="R328" s="1232">
        <f t="shared" si="182"/>
        <v>-0.59286051036177467</v>
      </c>
      <c r="S328" s="1233">
        <f t="shared" si="182"/>
        <v>-1.042653896667993</v>
      </c>
      <c r="T328" s="1233">
        <f t="shared" si="182"/>
        <v>-1.4994246304440888</v>
      </c>
      <c r="U328" s="1236"/>
      <c r="V328" s="1221"/>
      <c r="W328" s="1232">
        <f t="shared" si="183"/>
        <v>0.66604017601647958</v>
      </c>
      <c r="X328" s="1233">
        <f t="shared" si="183"/>
        <v>0.67506536295510433</v>
      </c>
      <c r="Y328" s="1232">
        <f t="shared" si="183"/>
        <v>-0.59286051036177467</v>
      </c>
      <c r="Z328" s="1051">
        <f t="shared" si="183"/>
        <v>-0.59286051036177467</v>
      </c>
    </row>
    <row r="329" spans="1:26">
      <c r="A329" s="1052" t="s">
        <v>976</v>
      </c>
      <c r="B329" s="1053"/>
      <c r="C329" s="1236">
        <f t="shared" si="181"/>
        <v>5.4713284129576607E-2</v>
      </c>
      <c r="D329" s="1249">
        <f t="shared" si="181"/>
        <v>5.9397465473095504E-2</v>
      </c>
      <c r="E329" s="1233">
        <f t="shared" si="181"/>
        <v>5.9560647166539013E-2</v>
      </c>
      <c r="F329" s="1233">
        <f t="shared" si="181"/>
        <v>5.9818896074712927E-2</v>
      </c>
      <c r="G329" s="1051">
        <f t="shared" si="181"/>
        <v>5.9605560893184167E-2</v>
      </c>
      <c r="H329" s="1234">
        <f t="shared" si="181"/>
        <v>5.9254014376536053E-2</v>
      </c>
      <c r="I329" s="1234">
        <f t="shared" si="181"/>
        <v>5.9416845935251053E-2</v>
      </c>
      <c r="J329" s="1234">
        <f t="shared" si="181"/>
        <v>5.9674429135931163E-2</v>
      </c>
      <c r="K329" s="1076">
        <f t="shared" si="181"/>
        <v>5.9461601785280697E-2</v>
      </c>
      <c r="L329" s="1221"/>
      <c r="M329" s="1232">
        <f t="shared" si="182"/>
        <v>0</v>
      </c>
      <c r="N329" s="1235">
        <f t="shared" si="182"/>
        <v>5.9023046228959576E-2</v>
      </c>
      <c r="O329" s="1232">
        <f t="shared" si="182"/>
        <v>5.7598230886582835E-2</v>
      </c>
      <c r="P329" s="1233">
        <f t="shared" si="182"/>
        <v>5.583061580071725E-2</v>
      </c>
      <c r="Q329" s="1233">
        <f t="shared" si="182"/>
        <v>5.4539347513508932E-2</v>
      </c>
      <c r="R329" s="1232">
        <f t="shared" si="182"/>
        <v>-0.21613429328129233</v>
      </c>
      <c r="S329" s="1233">
        <f t="shared" si="182"/>
        <v>-0.42431200661472684</v>
      </c>
      <c r="T329" s="1233">
        <f t="shared" si="182"/>
        <v>-0.49323526326881739</v>
      </c>
      <c r="U329" s="1236"/>
      <c r="V329" s="1221"/>
      <c r="W329" s="1232">
        <f t="shared" si="183"/>
        <v>5.7598230886582835E-2</v>
      </c>
      <c r="X329" s="1233">
        <f t="shared" si="183"/>
        <v>5.9560647166539013E-2</v>
      </c>
      <c r="Y329" s="1232">
        <f t="shared" si="183"/>
        <v>-0.21613429328129233</v>
      </c>
      <c r="Z329" s="1051">
        <f t="shared" si="183"/>
        <v>-0.21613429328129233</v>
      </c>
    </row>
    <row r="330" spans="1:26">
      <c r="A330" s="1052" t="s">
        <v>977</v>
      </c>
      <c r="B330" s="1053"/>
      <c r="C330" s="1236">
        <f t="shared" si="181"/>
        <v>0.21148689147243893</v>
      </c>
      <c r="D330" s="1249">
        <f t="shared" si="181"/>
        <v>0.20432728122744856</v>
      </c>
      <c r="E330" s="1233">
        <f t="shared" si="181"/>
        <v>0.18202178043066886</v>
      </c>
      <c r="F330" s="1233">
        <f t="shared" si="181"/>
        <v>0.16257882406772231</v>
      </c>
      <c r="G330" s="1051">
        <f t="shared" si="181"/>
        <v>0.14510230586234998</v>
      </c>
      <c r="H330" s="1234">
        <f t="shared" si="181"/>
        <v>0.20383380945528401</v>
      </c>
      <c r="I330" s="1234">
        <f t="shared" si="181"/>
        <v>0.18158231314157158</v>
      </c>
      <c r="J330" s="1234">
        <f t="shared" si="181"/>
        <v>0.17265832214933166</v>
      </c>
      <c r="K330" s="1076">
        <f t="shared" si="181"/>
        <v>0.16450457163345003</v>
      </c>
      <c r="L330" s="1221"/>
      <c r="M330" s="1232">
        <f t="shared" si="182"/>
        <v>0</v>
      </c>
      <c r="N330" s="1235">
        <f t="shared" si="182"/>
        <v>0.20303927902762098</v>
      </c>
      <c r="O330" s="1232">
        <f t="shared" si="182"/>
        <v>0.16994748346495461</v>
      </c>
      <c r="P330" s="1233">
        <f t="shared" si="182"/>
        <v>0.14599971089149644</v>
      </c>
      <c r="Q330" s="1233">
        <f t="shared" si="182"/>
        <v>0.13078579187777287</v>
      </c>
      <c r="R330" s="1232">
        <f t="shared" si="182"/>
        <v>-1.5142659118964361</v>
      </c>
      <c r="S330" s="1233">
        <f t="shared" si="182"/>
        <v>-3.1137088057315401</v>
      </c>
      <c r="T330" s="1233">
        <f t="shared" si="182"/>
        <v>-3.5580551070955666</v>
      </c>
      <c r="U330" s="1236"/>
      <c r="V330" s="1221"/>
      <c r="W330" s="1232">
        <f t="shared" si="183"/>
        <v>0.16994748346495461</v>
      </c>
      <c r="X330" s="1233">
        <f t="shared" si="183"/>
        <v>0.18202178043066886</v>
      </c>
      <c r="Y330" s="1232">
        <f t="shared" si="183"/>
        <v>-1.5142659118964361</v>
      </c>
      <c r="Z330" s="1051">
        <f t="shared" si="183"/>
        <v>-1.5142659118964359</v>
      </c>
    </row>
    <row r="331" spans="1:26">
      <c r="A331" s="1052" t="s">
        <v>978</v>
      </c>
      <c r="B331" s="1053"/>
      <c r="C331" s="1236">
        <f t="shared" si="181"/>
        <v>5.2227034720644454</v>
      </c>
      <c r="D331" s="1249">
        <f t="shared" si="181"/>
        <v>5.1725156914989228</v>
      </c>
      <c r="E331" s="1233">
        <f t="shared" si="181"/>
        <v>4.9911875959640888</v>
      </c>
      <c r="F331" s="1233">
        <f t="shared" si="181"/>
        <v>4.9999481098287442</v>
      </c>
      <c r="G331" s="1051">
        <f t="shared" si="181"/>
        <v>5.011273724859306</v>
      </c>
      <c r="H331" s="1234">
        <f t="shared" si="181"/>
        <v>5.1478611042489684</v>
      </c>
      <c r="I331" s="1234">
        <f t="shared" si="181"/>
        <v>5.0139521106948335</v>
      </c>
      <c r="J331" s="1234">
        <f t="shared" si="181"/>
        <v>4.9300355266241098</v>
      </c>
      <c r="K331" s="1076">
        <f t="shared" si="181"/>
        <v>4.8336269609468605</v>
      </c>
      <c r="L331" s="1221"/>
      <c r="M331" s="1232">
        <f t="shared" si="182"/>
        <v>0</v>
      </c>
      <c r="N331" s="1235">
        <f t="shared" si="182"/>
        <v>5.1277950892162361</v>
      </c>
      <c r="O331" s="1232">
        <f t="shared" si="182"/>
        <v>5.1336295876930933</v>
      </c>
      <c r="P331" s="1233">
        <f t="shared" si="182"/>
        <v>5.1374103259269193</v>
      </c>
      <c r="Q331" s="1233">
        <f t="shared" si="182"/>
        <v>5.1643286235200545</v>
      </c>
      <c r="R331" s="1232">
        <f t="shared" si="182"/>
        <v>20.134485612584982</v>
      </c>
      <c r="S331" s="1233">
        <f t="shared" si="182"/>
        <v>28.666066311269102</v>
      </c>
      <c r="T331" s="1233">
        <f t="shared" si="182"/>
        <v>39.655510293575226</v>
      </c>
      <c r="U331" s="1236"/>
      <c r="V331" s="1221"/>
      <c r="W331" s="1232">
        <f t="shared" si="183"/>
        <v>5.1336295876930933</v>
      </c>
      <c r="X331" s="1233">
        <f t="shared" si="183"/>
        <v>4.9911875959640888</v>
      </c>
      <c r="Y331" s="1232">
        <f t="shared" si="183"/>
        <v>25.00250569809236</v>
      </c>
      <c r="Z331" s="1051">
        <f t="shared" si="183"/>
        <v>25.00250569809236</v>
      </c>
    </row>
    <row r="332" spans="1:26">
      <c r="A332" s="1052" t="s">
        <v>979</v>
      </c>
      <c r="B332" s="1053"/>
      <c r="C332" s="1236">
        <f t="shared" si="181"/>
        <v>1.6270110569827234</v>
      </c>
      <c r="D332" s="1249">
        <f t="shared" si="181"/>
        <v>1.6011038948233955</v>
      </c>
      <c r="E332" s="1233">
        <f t="shared" si="181"/>
        <v>1.4947974861655702</v>
      </c>
      <c r="F332" s="1233">
        <f t="shared" si="181"/>
        <v>1.4610700281811655</v>
      </c>
      <c r="G332" s="1051">
        <f t="shared" si="181"/>
        <v>1.3949875348126799</v>
      </c>
      <c r="H332" s="1234">
        <f t="shared" si="181"/>
        <v>1.5677574521789619</v>
      </c>
      <c r="I332" s="1234">
        <f t="shared" si="181"/>
        <v>1.5023352865364146</v>
      </c>
      <c r="J332" s="1234">
        <f t="shared" si="181"/>
        <v>1.4680135765612121</v>
      </c>
      <c r="K332" s="1076">
        <f t="shared" si="181"/>
        <v>1.4014947247348224</v>
      </c>
      <c r="L332" s="1221"/>
      <c r="M332" s="1232">
        <f t="shared" si="182"/>
        <v>0</v>
      </c>
      <c r="N332" s="1235">
        <f t="shared" si="182"/>
        <v>1.5616464394756204</v>
      </c>
      <c r="O332" s="1232">
        <f t="shared" si="182"/>
        <v>1.4996050662018157</v>
      </c>
      <c r="P332" s="1233">
        <f t="shared" si="182"/>
        <v>1.4300198318216266</v>
      </c>
      <c r="Q332" s="1233">
        <f t="shared" si="182"/>
        <v>1.3727913575914272</v>
      </c>
      <c r="R332" s="1232">
        <f t="shared" si="182"/>
        <v>0.61160162799666795</v>
      </c>
      <c r="S332" s="1233">
        <f t="shared" si="182"/>
        <v>-3.5718390231643755</v>
      </c>
      <c r="T332" s="1233">
        <f t="shared" si="182"/>
        <v>-2.0975753920340119</v>
      </c>
      <c r="U332" s="1236"/>
      <c r="V332" s="1221"/>
      <c r="W332" s="1232">
        <f t="shared" si="183"/>
        <v>1.4996050662018157</v>
      </c>
      <c r="X332" s="1233">
        <f t="shared" si="183"/>
        <v>1.4947974861655702</v>
      </c>
      <c r="Y332" s="1232">
        <f t="shared" si="183"/>
        <v>2.1702023456383417</v>
      </c>
      <c r="Z332" s="1051">
        <f t="shared" si="183"/>
        <v>2.1702023456383417</v>
      </c>
    </row>
    <row r="333" spans="1:26">
      <c r="A333" s="1052" t="s">
        <v>980</v>
      </c>
      <c r="B333" s="1053"/>
      <c r="C333" s="1236">
        <f t="shared" si="181"/>
        <v>0.28525531333859888</v>
      </c>
      <c r="D333" s="1232">
        <f t="shared" si="181"/>
        <v>0.26585832730111991</v>
      </c>
      <c r="E333" s="1233">
        <f t="shared" si="181"/>
        <v>0.3401082347515817</v>
      </c>
      <c r="F333" s="1233">
        <f t="shared" si="181"/>
        <v>0.33700721466098438</v>
      </c>
      <c r="G333" s="1051">
        <f t="shared" si="181"/>
        <v>0.33192038612916475</v>
      </c>
      <c r="H333" s="1234">
        <f t="shared" si="181"/>
        <v>0.26521625161191253</v>
      </c>
      <c r="I333" s="1234">
        <f t="shared" si="181"/>
        <v>0.33928708882293346</v>
      </c>
      <c r="J333" s="1234">
        <f t="shared" si="181"/>
        <v>0.33619331798544849</v>
      </c>
      <c r="K333" s="1076">
        <f t="shared" si="181"/>
        <v>0.33111873336445447</v>
      </c>
      <c r="L333" s="1221"/>
      <c r="M333" s="1232">
        <f t="shared" si="182"/>
        <v>0</v>
      </c>
      <c r="N333" s="1235">
        <f t="shared" si="182"/>
        <v>0.26418245656888445</v>
      </c>
      <c r="O333" s="1232">
        <f t="shared" si="182"/>
        <v>0.25772097695966073</v>
      </c>
      <c r="P333" s="1233">
        <f t="shared" si="182"/>
        <v>0.25182598350584018</v>
      </c>
      <c r="Q333" s="1233">
        <f t="shared" si="182"/>
        <v>0.24804064167530324</v>
      </c>
      <c r="R333" s="1232">
        <f t="shared" si="182"/>
        <v>-11.23427094391632</v>
      </c>
      <c r="S333" s="1233">
        <f t="shared" si="182"/>
        <v>-10.00300489537625</v>
      </c>
      <c r="T333" s="1233">
        <f t="shared" si="182"/>
        <v>-8.8212959470809356</v>
      </c>
      <c r="U333" s="1236"/>
      <c r="V333" s="1221"/>
      <c r="W333" s="1232">
        <f t="shared" si="183"/>
        <v>0.25772097695966073</v>
      </c>
      <c r="X333" s="1233">
        <f t="shared" si="183"/>
        <v>0.3401082347515817</v>
      </c>
      <c r="Y333" s="1232">
        <f t="shared" si="183"/>
        <v>-11.23427094391632</v>
      </c>
      <c r="Z333" s="1051">
        <f t="shared" si="183"/>
        <v>-11.234270943916322</v>
      </c>
    </row>
    <row r="334" spans="1:26">
      <c r="A334" s="1052" t="s">
        <v>981</v>
      </c>
      <c r="B334" s="1053"/>
      <c r="C334" s="1236">
        <f t="shared" si="181"/>
        <v>1.7153813530197646</v>
      </c>
      <c r="D334" s="1232">
        <f t="shared" si="181"/>
        <v>1.5683247681560444</v>
      </c>
      <c r="E334" s="1233">
        <f t="shared" si="181"/>
        <v>1.3625816543841831</v>
      </c>
      <c r="F334" s="1233">
        <f t="shared" si="181"/>
        <v>1.3251285845692875</v>
      </c>
      <c r="G334" s="1051">
        <f t="shared" si="181"/>
        <v>1.3041337541661229</v>
      </c>
      <c r="H334" s="1234">
        <f t="shared" si="181"/>
        <v>1.5645370996762293</v>
      </c>
      <c r="I334" s="1234">
        <f t="shared" si="181"/>
        <v>1.4150258296181641</v>
      </c>
      <c r="J334" s="1234">
        <f t="shared" si="181"/>
        <v>1.321928303677012</v>
      </c>
      <c r="K334" s="1076">
        <f t="shared" si="181"/>
        <v>1.3009840156346293</v>
      </c>
      <c r="L334" s="1221"/>
      <c r="M334" s="1232">
        <f t="shared" si="182"/>
        <v>-0.10806209458834391</v>
      </c>
      <c r="N334" s="1235">
        <f t="shared" si="182"/>
        <v>1.4503765451011816</v>
      </c>
      <c r="O334" s="1232">
        <f t="shared" si="182"/>
        <v>1.4149026586305105</v>
      </c>
      <c r="P334" s="1233">
        <f t="shared" si="182"/>
        <v>1.3825388130141496</v>
      </c>
      <c r="Q334" s="1233">
        <f t="shared" si="182"/>
        <v>1.3617570734637432</v>
      </c>
      <c r="R334" s="1232">
        <f t="shared" si="182"/>
        <v>0.92002470545054937</v>
      </c>
      <c r="S334" s="1233">
        <f t="shared" si="182"/>
        <v>8.2940635167104766</v>
      </c>
      <c r="T334" s="1233">
        <f t="shared" si="182"/>
        <v>7.5921680203992574</v>
      </c>
      <c r="U334" s="1236"/>
      <c r="V334" s="1221"/>
      <c r="W334" s="1232">
        <f t="shared" si="183"/>
        <v>1.4149026586305105</v>
      </c>
      <c r="X334" s="1233">
        <f t="shared" si="183"/>
        <v>1.3625816543841831</v>
      </c>
      <c r="Y334" s="1232">
        <f t="shared" si="183"/>
        <v>8.713028293658919</v>
      </c>
      <c r="Z334" s="1051">
        <f t="shared" si="183"/>
        <v>8.713028293658919</v>
      </c>
    </row>
    <row r="335" spans="1:26">
      <c r="A335" s="1052" t="s">
        <v>953</v>
      </c>
      <c r="B335" s="1060"/>
      <c r="C335" s="1236">
        <f t="shared" si="181"/>
        <v>0</v>
      </c>
      <c r="D335" s="1232">
        <f t="shared" si="181"/>
        <v>8.0142251921907972E-4</v>
      </c>
      <c r="E335" s="1233">
        <f t="shared" si="181"/>
        <v>6.7042601493177642E-4</v>
      </c>
      <c r="F335" s="1233">
        <f t="shared" si="181"/>
        <v>8.5674727914865512E-3</v>
      </c>
      <c r="G335" s="1051">
        <f t="shared" si="181"/>
        <v>1.0887486450573212E-2</v>
      </c>
      <c r="H335" s="1234">
        <f t="shared" si="181"/>
        <v>0</v>
      </c>
      <c r="I335" s="1234">
        <f t="shared" si="181"/>
        <v>0</v>
      </c>
      <c r="J335" s="1234">
        <f t="shared" si="181"/>
        <v>0</v>
      </c>
      <c r="K335" s="1076">
        <f t="shared" si="181"/>
        <v>0</v>
      </c>
      <c r="L335" s="1221"/>
      <c r="M335" s="1232">
        <f t="shared" si="182"/>
        <v>0</v>
      </c>
      <c r="N335" s="1235">
        <f t="shared" si="182"/>
        <v>0</v>
      </c>
      <c r="O335" s="1232">
        <f t="shared" si="182"/>
        <v>0</v>
      </c>
      <c r="P335" s="1233">
        <f t="shared" si="182"/>
        <v>0</v>
      </c>
      <c r="Q335" s="1233">
        <f t="shared" si="182"/>
        <v>0</v>
      </c>
      <c r="R335" s="1232">
        <f t="shared" si="182"/>
        <v>0</v>
      </c>
      <c r="S335" s="1233">
        <f t="shared" si="182"/>
        <v>0</v>
      </c>
      <c r="T335" s="1233">
        <f t="shared" si="182"/>
        <v>0</v>
      </c>
      <c r="U335" s="1236"/>
      <c r="V335" s="1221"/>
      <c r="W335" s="1232">
        <f t="shared" si="183"/>
        <v>0</v>
      </c>
      <c r="X335" s="1233">
        <f t="shared" si="183"/>
        <v>6.7042601493177642E-4</v>
      </c>
      <c r="Y335" s="1232">
        <f t="shared" si="183"/>
        <v>-9.351604305850042E-2</v>
      </c>
      <c r="Z335" s="1051">
        <f t="shared" si="183"/>
        <v>-9.3516043058500434E-2</v>
      </c>
    </row>
    <row r="336" spans="1:26">
      <c r="A336" s="1052" t="s">
        <v>960</v>
      </c>
      <c r="B336" s="1060"/>
      <c r="C336" s="1236">
        <f t="shared" si="181"/>
        <v>2.3054324726409552E-2</v>
      </c>
      <c r="D336" s="1232">
        <f t="shared" si="181"/>
        <v>2.2545032019270658E-2</v>
      </c>
      <c r="E336" s="1233">
        <f t="shared" si="181"/>
        <v>2.3105800179844042E-2</v>
      </c>
      <c r="F336" s="1233">
        <f t="shared" si="181"/>
        <v>2.9094252867246054E-2</v>
      </c>
      <c r="G336" s="1051">
        <f t="shared" si="181"/>
        <v>2.683668552762393E-2</v>
      </c>
      <c r="H336" s="1234">
        <f t="shared" si="181"/>
        <v>2.9394420173220082E-2</v>
      </c>
      <c r="I336" s="1234">
        <f t="shared" si="181"/>
        <v>2.9813876483755917E-2</v>
      </c>
      <c r="J336" s="1234">
        <f t="shared" si="181"/>
        <v>2.9798060488481382E-2</v>
      </c>
      <c r="K336" s="1076">
        <f t="shared" si="181"/>
        <v>2.9866837954936651E-2</v>
      </c>
      <c r="L336" s="1221"/>
      <c r="M336" s="1232">
        <f t="shared" si="182"/>
        <v>0</v>
      </c>
      <c r="N336" s="1235">
        <f t="shared" si="182"/>
        <v>2.9279842707913672E-2</v>
      </c>
      <c r="O336" s="1232">
        <f t="shared" si="182"/>
        <v>2.9673301406120275E-2</v>
      </c>
      <c r="P336" s="1233">
        <f t="shared" si="182"/>
        <v>2.9624127857605764E-2</v>
      </c>
      <c r="Q336" s="1233">
        <f t="shared" si="182"/>
        <v>2.9664785598136789E-2</v>
      </c>
      <c r="R336" s="1232">
        <f t="shared" si="182"/>
        <v>0</v>
      </c>
      <c r="S336" s="1233">
        <f t="shared" si="182"/>
        <v>0</v>
      </c>
      <c r="T336" s="1233">
        <f t="shared" si="182"/>
        <v>0</v>
      </c>
      <c r="U336" s="1236"/>
      <c r="V336" s="1221"/>
      <c r="W336" s="1232">
        <f t="shared" si="183"/>
        <v>2.9673301406120275E-2</v>
      </c>
      <c r="X336" s="1233">
        <f t="shared" si="183"/>
        <v>2.3105800179844042E-2</v>
      </c>
      <c r="Y336" s="1232">
        <f t="shared" si="183"/>
        <v>0.94575757287595741</v>
      </c>
      <c r="Z336" s="1051">
        <f t="shared" si="183"/>
        <v>0.94575757287595741</v>
      </c>
    </row>
    <row r="337" spans="1:26">
      <c r="A337" s="1052" t="s">
        <v>982</v>
      </c>
      <c r="B337" s="1053"/>
      <c r="C337" s="1236">
        <f t="shared" si="181"/>
        <v>0.2225830836166405</v>
      </c>
      <c r="D337" s="1232">
        <f t="shared" si="181"/>
        <v>0.20886158326833995</v>
      </c>
      <c r="E337" s="1233">
        <f t="shared" si="181"/>
        <v>0.1859158382007309</v>
      </c>
      <c r="F337" s="1233">
        <f t="shared" si="181"/>
        <v>0.1751054786876077</v>
      </c>
      <c r="G337" s="1051">
        <f t="shared" si="181"/>
        <v>0.16890948326656879</v>
      </c>
      <c r="H337" s="1234">
        <f t="shared" si="181"/>
        <v>0.20835716068211768</v>
      </c>
      <c r="I337" s="1234">
        <f t="shared" si="181"/>
        <v>0.18546696922900119</v>
      </c>
      <c r="J337" s="1234">
        <f t="shared" si="181"/>
        <v>0.17468258635542028</v>
      </c>
      <c r="K337" s="1076">
        <f t="shared" si="181"/>
        <v>0.1685015337705299</v>
      </c>
      <c r="L337" s="1221"/>
      <c r="M337" s="1232">
        <f t="shared" si="182"/>
        <v>0</v>
      </c>
      <c r="N337" s="1235">
        <f t="shared" si="182"/>
        <v>0.20754499853676106</v>
      </c>
      <c r="O337" s="1232">
        <f t="shared" si="182"/>
        <v>0.19993310030761441</v>
      </c>
      <c r="P337" s="1233">
        <f t="shared" si="182"/>
        <v>0.19091424068267332</v>
      </c>
      <c r="Q337" s="1233">
        <f t="shared" si="182"/>
        <v>0.18360536508702235</v>
      </c>
      <c r="R337" s="1232">
        <f t="shared" si="182"/>
        <v>2.1551658292806946</v>
      </c>
      <c r="S337" s="1233">
        <f t="shared" si="182"/>
        <v>2.0941055712778751</v>
      </c>
      <c r="T337" s="1233">
        <f t="shared" si="182"/>
        <v>1.7725694179232729</v>
      </c>
      <c r="U337" s="1236"/>
      <c r="V337" s="1221"/>
      <c r="W337" s="1232">
        <f t="shared" si="183"/>
        <v>0.19993310030761441</v>
      </c>
      <c r="X337" s="1233">
        <f t="shared" si="183"/>
        <v>0.1859158382007309</v>
      </c>
      <c r="Y337" s="1232">
        <f t="shared" si="183"/>
        <v>2.1551658292806946</v>
      </c>
      <c r="Z337" s="1051">
        <f t="shared" si="183"/>
        <v>2.1551658292806946</v>
      </c>
    </row>
    <row r="338" spans="1:26">
      <c r="A338" s="1052" t="s">
        <v>983</v>
      </c>
      <c r="B338" s="1053"/>
      <c r="C338" s="1236">
        <f t="shared" si="181"/>
        <v>0.32453250651976762</v>
      </c>
      <c r="D338" s="1232">
        <f t="shared" si="181"/>
        <v>0.31202877508975896</v>
      </c>
      <c r="E338" s="1233">
        <f t="shared" si="181"/>
        <v>0.30108497117578614</v>
      </c>
      <c r="F338" s="1233">
        <f t="shared" si="181"/>
        <v>0.29174413799122667</v>
      </c>
      <c r="G338" s="1051">
        <f t="shared" si="181"/>
        <v>0.28644943960783709</v>
      </c>
      <c r="H338" s="1234">
        <f t="shared" si="181"/>
        <v>0.3112751929362409</v>
      </c>
      <c r="I338" s="1234">
        <f t="shared" si="181"/>
        <v>0.30035804170746927</v>
      </c>
      <c r="J338" s="1234">
        <f t="shared" si="181"/>
        <v>0.29103955490312572</v>
      </c>
      <c r="K338" s="1076">
        <f t="shared" si="181"/>
        <v>0.28575760808796774</v>
      </c>
      <c r="L338" s="1221"/>
      <c r="M338" s="1232">
        <f t="shared" si="182"/>
        <v>0</v>
      </c>
      <c r="N338" s="1235">
        <f t="shared" si="182"/>
        <v>0.31006186324954443</v>
      </c>
      <c r="O338" s="1232">
        <f t="shared" si="182"/>
        <v>0.29894182684341014</v>
      </c>
      <c r="P338" s="1233">
        <f t="shared" si="182"/>
        <v>0.2893407438179969</v>
      </c>
      <c r="Q338" s="1233">
        <f t="shared" si="182"/>
        <v>0.28382442727134499</v>
      </c>
      <c r="R338" s="1232">
        <f t="shared" si="182"/>
        <v>0</v>
      </c>
      <c r="S338" s="1233">
        <f t="shared" si="182"/>
        <v>0</v>
      </c>
      <c r="T338" s="1233">
        <f t="shared" si="182"/>
        <v>0</v>
      </c>
      <c r="U338" s="1236"/>
      <c r="V338" s="1221"/>
      <c r="W338" s="1232">
        <f t="shared" si="183"/>
        <v>0.29894182684341014</v>
      </c>
      <c r="X338" s="1233">
        <f t="shared" si="183"/>
        <v>0.30108497117578614</v>
      </c>
      <c r="Y338" s="1232">
        <f t="shared" si="183"/>
        <v>0</v>
      </c>
      <c r="Z338" s="1051">
        <f t="shared" si="183"/>
        <v>0</v>
      </c>
    </row>
    <row r="339" spans="1:26">
      <c r="A339" s="1052" t="s">
        <v>984</v>
      </c>
      <c r="B339" s="1053"/>
      <c r="C339" s="1236">
        <f t="shared" si="181"/>
        <v>5.6805603314568756E-2</v>
      </c>
      <c r="D339" s="1232">
        <f t="shared" si="181"/>
        <v>0</v>
      </c>
      <c r="E339" s="1233">
        <f t="shared" si="181"/>
        <v>0</v>
      </c>
      <c r="F339" s="1233">
        <f t="shared" si="181"/>
        <v>0</v>
      </c>
      <c r="G339" s="1051">
        <f t="shared" si="181"/>
        <v>0</v>
      </c>
      <c r="H339" s="1234">
        <f t="shared" si="181"/>
        <v>0</v>
      </c>
      <c r="I339" s="1234">
        <f t="shared" si="181"/>
        <v>0</v>
      </c>
      <c r="J339" s="1234">
        <f t="shared" si="181"/>
        <v>0</v>
      </c>
      <c r="K339" s="1076">
        <f t="shared" si="181"/>
        <v>0</v>
      </c>
      <c r="L339" s="1221"/>
      <c r="M339" s="1232">
        <f t="shared" si="182"/>
        <v>0</v>
      </c>
      <c r="N339" s="1235">
        <f t="shared" si="182"/>
        <v>0</v>
      </c>
      <c r="O339" s="1232">
        <f t="shared" si="182"/>
        <v>0</v>
      </c>
      <c r="P339" s="1233">
        <f t="shared" si="182"/>
        <v>0</v>
      </c>
      <c r="Q339" s="1233">
        <f t="shared" si="182"/>
        <v>0</v>
      </c>
      <c r="R339" s="1232">
        <f t="shared" si="182"/>
        <v>0</v>
      </c>
      <c r="S339" s="1233">
        <f t="shared" si="182"/>
        <v>0</v>
      </c>
      <c r="T339" s="1233">
        <f t="shared" si="182"/>
        <v>0</v>
      </c>
      <c r="U339" s="1236"/>
      <c r="V339" s="1221"/>
      <c r="W339" s="1232">
        <f t="shared" si="183"/>
        <v>0</v>
      </c>
      <c r="X339" s="1233">
        <f t="shared" si="183"/>
        <v>0</v>
      </c>
      <c r="Y339" s="1232">
        <f t="shared" si="183"/>
        <v>0</v>
      </c>
      <c r="Z339" s="1051">
        <f t="shared" si="183"/>
        <v>0</v>
      </c>
    </row>
    <row r="340" spans="1:26">
      <c r="A340" s="1052" t="s">
        <v>940</v>
      </c>
      <c r="B340" s="1053"/>
      <c r="C340" s="1236">
        <f t="shared" ref="C340:K355" si="184">C116/C$179*100</f>
        <v>1.3486254017456153E-3</v>
      </c>
      <c r="D340" s="1232">
        <f t="shared" si="184"/>
        <v>1.6548547594494271E-4</v>
      </c>
      <c r="E340" s="1233">
        <f t="shared" si="184"/>
        <v>1.3068502571395962E-4</v>
      </c>
      <c r="F340" s="1233">
        <f t="shared" si="184"/>
        <v>1.2387038005082346E-4</v>
      </c>
      <c r="G340" s="1051">
        <f t="shared" si="184"/>
        <v>1.1781320377186516E-4</v>
      </c>
      <c r="H340" s="1234">
        <f t="shared" si="184"/>
        <v>1.6508581119830941E-4</v>
      </c>
      <c r="I340" s="1234">
        <f t="shared" si="184"/>
        <v>1.3036950416571284E-4</v>
      </c>
      <c r="J340" s="1234">
        <f t="shared" si="184"/>
        <v>1.2357122416888736E-4</v>
      </c>
      <c r="K340" s="1076">
        <f t="shared" si="184"/>
        <v>1.1752866180195334E-4</v>
      </c>
      <c r="L340" s="1221"/>
      <c r="M340" s="1232">
        <f t="shared" ref="M340:T355" si="185">M116/M$179*100</f>
        <v>0</v>
      </c>
      <c r="N340" s="1235">
        <f t="shared" si="185"/>
        <v>1.644423178518277E-4</v>
      </c>
      <c r="O340" s="1232">
        <f t="shared" si="185"/>
        <v>1.6462942331067396E-4</v>
      </c>
      <c r="P340" s="1233">
        <f t="shared" si="185"/>
        <v>1.64750667109918E-4</v>
      </c>
      <c r="Q340" s="1233">
        <f t="shared" si="185"/>
        <v>1.6561390504587792E-4</v>
      </c>
      <c r="R340" s="1232">
        <f t="shared" si="185"/>
        <v>4.8994482945208312E-3</v>
      </c>
      <c r="S340" s="1233">
        <f t="shared" si="185"/>
        <v>5.0862624178337644E-3</v>
      </c>
      <c r="T340" s="1233">
        <f t="shared" si="185"/>
        <v>5.3339731061289352E-3</v>
      </c>
      <c r="U340" s="1236"/>
      <c r="V340" s="1221"/>
      <c r="W340" s="1232">
        <f t="shared" ref="W340:Z355" si="186">W116/W$179*100</f>
        <v>1.6462942331067396E-4</v>
      </c>
      <c r="X340" s="1233">
        <f t="shared" si="186"/>
        <v>1.3068502571395962E-4</v>
      </c>
      <c r="Y340" s="1232">
        <f t="shared" si="186"/>
        <v>4.8994482945208312E-3</v>
      </c>
      <c r="Z340" s="1051">
        <f t="shared" si="186"/>
        <v>4.8994482945208312E-3</v>
      </c>
    </row>
    <row r="341" spans="1:26">
      <c r="A341" s="1052" t="s">
        <v>936</v>
      </c>
      <c r="B341" s="1053"/>
      <c r="C341" s="1252">
        <f t="shared" si="184"/>
        <v>0.4272446771116522</v>
      </c>
      <c r="D341" s="1249">
        <f t="shared" si="184"/>
        <v>0.44007198006304438</v>
      </c>
      <c r="E341" s="1250">
        <f t="shared" si="184"/>
        <v>0.43603949322816965</v>
      </c>
      <c r="F341" s="1250">
        <f t="shared" si="184"/>
        <v>0.41584231357146573</v>
      </c>
      <c r="G341" s="1251">
        <f t="shared" si="184"/>
        <v>0.39801458347210356</v>
      </c>
      <c r="H341" s="1253">
        <f t="shared" si="184"/>
        <v>0.43900916016656699</v>
      </c>
      <c r="I341" s="1253">
        <f t="shared" si="184"/>
        <v>0.43498673408267091</v>
      </c>
      <c r="J341" s="1253">
        <f t="shared" si="184"/>
        <v>0.41483802445883222</v>
      </c>
      <c r="K341" s="1254">
        <f t="shared" si="184"/>
        <v>0.39705330027116376</v>
      </c>
      <c r="L341" s="1221"/>
      <c r="M341" s="1249">
        <f t="shared" si="185"/>
        <v>0</v>
      </c>
      <c r="N341" s="1235">
        <f t="shared" si="185"/>
        <v>0.43729793209941142</v>
      </c>
      <c r="O341" s="1249">
        <f t="shared" si="185"/>
        <v>0.43293573296755383</v>
      </c>
      <c r="P341" s="1250">
        <f t="shared" si="185"/>
        <v>0.4124165960907254</v>
      </c>
      <c r="Q341" s="1250">
        <f t="shared" si="185"/>
        <v>0.39436719217977501</v>
      </c>
      <c r="R341" s="1249">
        <f t="shared" si="185"/>
        <v>0</v>
      </c>
      <c r="S341" s="1250">
        <f t="shared" si="185"/>
        <v>0</v>
      </c>
      <c r="T341" s="1250">
        <f t="shared" si="185"/>
        <v>0</v>
      </c>
      <c r="U341" s="1252"/>
      <c r="V341" s="1221"/>
      <c r="W341" s="1232">
        <f t="shared" si="186"/>
        <v>0.43293573296755383</v>
      </c>
      <c r="X341" s="1233">
        <f t="shared" si="186"/>
        <v>0.43603949322816965</v>
      </c>
      <c r="Y341" s="1232">
        <f t="shared" si="186"/>
        <v>0</v>
      </c>
      <c r="Z341" s="1051">
        <f t="shared" si="186"/>
        <v>0</v>
      </c>
    </row>
    <row r="342" spans="1:26">
      <c r="A342" s="1052" t="s">
        <v>985</v>
      </c>
      <c r="B342" s="1053"/>
      <c r="C342" s="1252">
        <f t="shared" si="184"/>
        <v>0</v>
      </c>
      <c r="D342" s="1249">
        <f t="shared" si="184"/>
        <v>0</v>
      </c>
      <c r="E342" s="1250">
        <f t="shared" si="184"/>
        <v>0.10932413550154169</v>
      </c>
      <c r="F342" s="1250">
        <f t="shared" si="184"/>
        <v>0.1032323150355761</v>
      </c>
      <c r="G342" s="1251">
        <f t="shared" si="184"/>
        <v>9.7854261015219782E-2</v>
      </c>
      <c r="H342" s="1253">
        <f t="shared" si="184"/>
        <v>0</v>
      </c>
      <c r="I342" s="1253">
        <f t="shared" si="184"/>
        <v>0</v>
      </c>
      <c r="J342" s="1253">
        <f t="shared" si="184"/>
        <v>0</v>
      </c>
      <c r="K342" s="1254">
        <f t="shared" si="184"/>
        <v>0</v>
      </c>
      <c r="L342" s="1221"/>
      <c r="M342" s="1249">
        <f t="shared" si="185"/>
        <v>0</v>
      </c>
      <c r="N342" s="1235">
        <f t="shared" si="185"/>
        <v>0</v>
      </c>
      <c r="O342" s="1249">
        <f t="shared" si="185"/>
        <v>0</v>
      </c>
      <c r="P342" s="1250">
        <f t="shared" si="185"/>
        <v>0</v>
      </c>
      <c r="Q342" s="1250">
        <f t="shared" si="185"/>
        <v>0</v>
      </c>
      <c r="R342" s="1249">
        <f t="shared" si="185"/>
        <v>0</v>
      </c>
      <c r="S342" s="1250">
        <f t="shared" si="185"/>
        <v>0</v>
      </c>
      <c r="T342" s="1250">
        <f t="shared" si="185"/>
        <v>0</v>
      </c>
      <c r="U342" s="1252"/>
      <c r="V342" s="1221"/>
      <c r="W342" s="1232">
        <f t="shared" si="186"/>
        <v>0</v>
      </c>
      <c r="X342" s="1233">
        <f t="shared" si="186"/>
        <v>0</v>
      </c>
      <c r="Y342" s="1232">
        <f t="shared" si="186"/>
        <v>0</v>
      </c>
      <c r="Z342" s="1051">
        <f t="shared" si="186"/>
        <v>0</v>
      </c>
    </row>
    <row r="343" spans="1:26">
      <c r="A343" s="1052" t="s">
        <v>986</v>
      </c>
      <c r="B343" s="1053"/>
      <c r="C343" s="1236">
        <f t="shared" si="184"/>
        <v>0.30439798610705027</v>
      </c>
      <c r="D343" s="1232">
        <f t="shared" si="184"/>
        <v>0.28510665223174297</v>
      </c>
      <c r="E343" s="1233">
        <f t="shared" si="184"/>
        <v>0.29565276617343028</v>
      </c>
      <c r="F343" s="1233">
        <f t="shared" si="184"/>
        <v>0.27115552979984042</v>
      </c>
      <c r="G343" s="1051">
        <f t="shared" si="184"/>
        <v>0.2492470118177687</v>
      </c>
      <c r="H343" s="1234">
        <f t="shared" si="184"/>
        <v>0.28441808982300582</v>
      </c>
      <c r="I343" s="1234">
        <f t="shared" si="184"/>
        <v>0.29493895203889686</v>
      </c>
      <c r="J343" s="1234">
        <f t="shared" si="184"/>
        <v>0.27050066968214448</v>
      </c>
      <c r="K343" s="1076">
        <f t="shared" si="184"/>
        <v>0.24864503144997732</v>
      </c>
      <c r="L343" s="1221"/>
      <c r="M343" s="1232">
        <f t="shared" si="185"/>
        <v>0</v>
      </c>
      <c r="N343" s="1235">
        <f t="shared" si="185"/>
        <v>0.28330944731101981</v>
      </c>
      <c r="O343" s="1232">
        <f t="shared" si="185"/>
        <v>0.27291882023982456</v>
      </c>
      <c r="P343" s="1233">
        <f t="shared" si="185"/>
        <v>0.26060761951838113</v>
      </c>
      <c r="Q343" s="1233">
        <f t="shared" si="185"/>
        <v>0.25063063370774924</v>
      </c>
      <c r="R343" s="1232">
        <f t="shared" si="185"/>
        <v>-2.8981822699125948</v>
      </c>
      <c r="S343" s="1233">
        <f t="shared" si="185"/>
        <v>-1.0092382678341651</v>
      </c>
      <c r="T343" s="1233">
        <f t="shared" si="185"/>
        <v>0.40023209844167185</v>
      </c>
      <c r="U343" s="1236"/>
      <c r="V343" s="1221"/>
      <c r="W343" s="1232">
        <f t="shared" si="186"/>
        <v>0.27291882023982456</v>
      </c>
      <c r="X343" s="1233">
        <f t="shared" si="186"/>
        <v>0.29565276617343028</v>
      </c>
      <c r="Y343" s="1232">
        <f t="shared" si="186"/>
        <v>-2.8981822699125948</v>
      </c>
      <c r="Z343" s="1051">
        <f t="shared" si="186"/>
        <v>-2.8981822699125948</v>
      </c>
    </row>
    <row r="344" spans="1:26">
      <c r="A344" s="790" t="s">
        <v>987</v>
      </c>
      <c r="B344" s="1060" t="s">
        <v>988</v>
      </c>
      <c r="C344" s="1224">
        <f t="shared" si="184"/>
        <v>1.6460169056925698</v>
      </c>
      <c r="D344" s="1243">
        <f t="shared" si="184"/>
        <v>1.31159060077506</v>
      </c>
      <c r="E344" s="1244">
        <f t="shared" si="184"/>
        <v>1.2691689629703558</v>
      </c>
      <c r="F344" s="1244">
        <f t="shared" si="184"/>
        <v>1.1815764608271684</v>
      </c>
      <c r="G344" s="1067">
        <f t="shared" si="184"/>
        <v>1.0684410148185881</v>
      </c>
      <c r="H344" s="1245">
        <f t="shared" si="184"/>
        <v>1.4089164307184776</v>
      </c>
      <c r="I344" s="1245">
        <f t="shared" si="184"/>
        <v>1.3735800197092172</v>
      </c>
      <c r="J344" s="1245">
        <f t="shared" si="184"/>
        <v>1.2687033511416304</v>
      </c>
      <c r="K344" s="1246">
        <f t="shared" si="184"/>
        <v>1.158629106244665</v>
      </c>
      <c r="L344" s="1221"/>
      <c r="M344" s="1276">
        <f t="shared" si="185"/>
        <v>0</v>
      </c>
      <c r="N344" s="1248">
        <f t="shared" si="185"/>
        <v>1.4034245695928296</v>
      </c>
      <c r="O344" s="1247">
        <f t="shared" si="185"/>
        <v>1.360855808090955</v>
      </c>
      <c r="P344" s="1244">
        <f t="shared" si="185"/>
        <v>1.2857412983198917</v>
      </c>
      <c r="Q344" s="1244">
        <f t="shared" si="185"/>
        <v>1.1664255484328596</v>
      </c>
      <c r="R344" s="1247">
        <f t="shared" si="185"/>
        <v>-0.87771804380962337</v>
      </c>
      <c r="S344" s="1244">
        <f t="shared" si="185"/>
        <v>2.9671480375655612</v>
      </c>
      <c r="T344" s="1244">
        <f t="shared" si="185"/>
        <v>1.7061058127780364</v>
      </c>
      <c r="U344" s="1224"/>
      <c r="V344" s="1271"/>
      <c r="W344" s="1247">
        <f t="shared" si="186"/>
        <v>1.360855808090955</v>
      </c>
      <c r="X344" s="1244">
        <f t="shared" si="186"/>
        <v>1.3799402544644104</v>
      </c>
      <c r="Y344" s="1247">
        <f t="shared" si="186"/>
        <v>-1.3011857431893974</v>
      </c>
      <c r="Z344" s="1067">
        <f t="shared" si="186"/>
        <v>-1.3011857431893976</v>
      </c>
    </row>
    <row r="345" spans="1:26">
      <c r="A345" s="1052" t="s">
        <v>962</v>
      </c>
      <c r="B345" s="1053"/>
      <c r="C345" s="1236">
        <f t="shared" si="184"/>
        <v>3.2614548991974093E-2</v>
      </c>
      <c r="D345" s="1232">
        <f t="shared" si="184"/>
        <v>0</v>
      </c>
      <c r="E345" s="1233">
        <f t="shared" si="184"/>
        <v>0</v>
      </c>
      <c r="F345" s="1233">
        <f t="shared" si="184"/>
        <v>0</v>
      </c>
      <c r="G345" s="1051">
        <f t="shared" si="184"/>
        <v>0</v>
      </c>
      <c r="H345" s="1233">
        <f t="shared" si="184"/>
        <v>3.3465252298628713E-2</v>
      </c>
      <c r="I345" s="1233">
        <f t="shared" si="184"/>
        <v>3.1634588166787193E-2</v>
      </c>
      <c r="J345" s="1233">
        <f t="shared" si="184"/>
        <v>2.9719926626381551E-2</v>
      </c>
      <c r="K345" s="1051">
        <f t="shared" si="184"/>
        <v>2.8029104386045677E-2</v>
      </c>
      <c r="L345" s="1221"/>
      <c r="M345" s="1255">
        <f t="shared" si="185"/>
        <v>0</v>
      </c>
      <c r="N345" s="1235">
        <f t="shared" si="185"/>
        <v>3.3334807004534783E-2</v>
      </c>
      <c r="O345" s="1232">
        <f t="shared" si="185"/>
        <v>3.1485428271731591E-2</v>
      </c>
      <c r="P345" s="1233">
        <f t="shared" si="185"/>
        <v>2.9546450066403589E-2</v>
      </c>
      <c r="Q345" s="1233">
        <f t="shared" si="185"/>
        <v>2.7839484493617332E-2</v>
      </c>
      <c r="R345" s="1232">
        <f t="shared" si="185"/>
        <v>0</v>
      </c>
      <c r="S345" s="1233">
        <f t="shared" si="185"/>
        <v>0</v>
      </c>
      <c r="T345" s="1233">
        <f t="shared" si="185"/>
        <v>0</v>
      </c>
      <c r="U345" s="1236"/>
      <c r="V345" s="1221"/>
      <c r="W345" s="1232">
        <f t="shared" si="186"/>
        <v>3.1485428271731591E-2</v>
      </c>
      <c r="X345" s="1233">
        <f t="shared" si="186"/>
        <v>3.1711150506273024E-2</v>
      </c>
      <c r="Y345" s="1232">
        <f t="shared" si="186"/>
        <v>0</v>
      </c>
      <c r="Z345" s="1051">
        <f t="shared" si="186"/>
        <v>0</v>
      </c>
    </row>
    <row r="346" spans="1:26">
      <c r="A346" s="1052" t="s">
        <v>963</v>
      </c>
      <c r="B346" s="1053"/>
      <c r="C346" s="1236">
        <f t="shared" si="184"/>
        <v>-4.5684766656998631E-2</v>
      </c>
      <c r="D346" s="1232">
        <f t="shared" si="184"/>
        <v>0</v>
      </c>
      <c r="E346" s="1233">
        <f t="shared" si="184"/>
        <v>0</v>
      </c>
      <c r="F346" s="1233">
        <f t="shared" si="184"/>
        <v>0</v>
      </c>
      <c r="G346" s="1051">
        <f t="shared" si="184"/>
        <v>0</v>
      </c>
      <c r="H346" s="1234">
        <f t="shared" si="184"/>
        <v>-4.3718260358409436E-2</v>
      </c>
      <c r="I346" s="1234">
        <f t="shared" si="184"/>
        <v>-4.1326721504004064E-2</v>
      </c>
      <c r="J346" s="1234">
        <f t="shared" si="184"/>
        <v>-3.8825450305605927E-2</v>
      </c>
      <c r="K346" s="1076">
        <f t="shared" si="184"/>
        <v>-3.6616597784095969E-2</v>
      </c>
      <c r="L346" s="1221"/>
      <c r="M346" s="1255">
        <f t="shared" si="185"/>
        <v>0</v>
      </c>
      <c r="N346" s="1235">
        <f t="shared" si="185"/>
        <v>-4.3547849531117941E-2</v>
      </c>
      <c r="O346" s="1232">
        <f t="shared" si="185"/>
        <v>-4.1131862338775506E-2</v>
      </c>
      <c r="P346" s="1233">
        <f t="shared" si="185"/>
        <v>-3.8598824390835562E-2</v>
      </c>
      <c r="Q346" s="1233">
        <f t="shared" si="185"/>
        <v>-3.6368882579311583E-2</v>
      </c>
      <c r="R346" s="1232">
        <f t="shared" si="185"/>
        <v>0</v>
      </c>
      <c r="S346" s="1233">
        <f t="shared" si="185"/>
        <v>0</v>
      </c>
      <c r="T346" s="1233">
        <f t="shared" si="185"/>
        <v>0</v>
      </c>
      <c r="U346" s="1236"/>
      <c r="V346" s="1221"/>
      <c r="W346" s="1232">
        <f t="shared" si="186"/>
        <v>-4.1131862338775506E-2</v>
      </c>
      <c r="X346" s="1233">
        <f t="shared" si="186"/>
        <v>-4.1426740839326022E-2</v>
      </c>
      <c r="Y346" s="1232">
        <f t="shared" si="186"/>
        <v>0</v>
      </c>
      <c r="Z346" s="1051">
        <f t="shared" si="186"/>
        <v>0</v>
      </c>
    </row>
    <row r="347" spans="1:26">
      <c r="A347" s="1052" t="s">
        <v>940</v>
      </c>
      <c r="B347" s="1053"/>
      <c r="C347" s="1236">
        <f t="shared" si="184"/>
        <v>5.2698348716561803E-4</v>
      </c>
      <c r="D347" s="1232">
        <f t="shared" si="184"/>
        <v>7.6477930668841375E-4</v>
      </c>
      <c r="E347" s="1233">
        <f t="shared" si="184"/>
        <v>8.0737281962519876E-4</v>
      </c>
      <c r="F347" s="1233">
        <f t="shared" si="184"/>
        <v>1.3352807069885377E-3</v>
      </c>
      <c r="G347" s="1051">
        <f t="shared" si="184"/>
        <v>3.1472955864769695E-3</v>
      </c>
      <c r="H347" s="1234">
        <f t="shared" si="184"/>
        <v>7.6293228460932983E-4</v>
      </c>
      <c r="I347" s="1234">
        <f t="shared" si="184"/>
        <v>8.0542352573579712E-4</v>
      </c>
      <c r="J347" s="1234">
        <f t="shared" si="184"/>
        <v>1.3320559079900401E-3</v>
      </c>
      <c r="K347" s="1076">
        <f t="shared" si="184"/>
        <v>3.1396942509950392E-3</v>
      </c>
      <c r="L347" s="1221"/>
      <c r="M347" s="1232">
        <f t="shared" si="185"/>
        <v>0</v>
      </c>
      <c r="N347" s="1235">
        <f t="shared" si="185"/>
        <v>7.5995842607237511E-4</v>
      </c>
      <c r="O347" s="1232">
        <f t="shared" si="185"/>
        <v>8.0162588222165796E-4</v>
      </c>
      <c r="P347" s="1233">
        <f t="shared" si="185"/>
        <v>1.3242806372257001E-3</v>
      </c>
      <c r="Q347" s="1233">
        <f t="shared" si="185"/>
        <v>3.1184538831997709E-3</v>
      </c>
      <c r="R347" s="1232">
        <f t="shared" si="185"/>
        <v>0</v>
      </c>
      <c r="S347" s="1233">
        <f t="shared" si="185"/>
        <v>0</v>
      </c>
      <c r="T347" s="1233">
        <f t="shared" si="185"/>
        <v>0</v>
      </c>
      <c r="U347" s="1236"/>
      <c r="V347" s="1221"/>
      <c r="W347" s="1232">
        <f t="shared" si="186"/>
        <v>8.0162588222165796E-4</v>
      </c>
      <c r="X347" s="1233">
        <f t="shared" si="186"/>
        <v>8.0737281962519876E-4</v>
      </c>
      <c r="Y347" s="1232">
        <f t="shared" si="186"/>
        <v>0</v>
      </c>
      <c r="Z347" s="1051">
        <f t="shared" si="186"/>
        <v>0</v>
      </c>
    </row>
    <row r="348" spans="1:26">
      <c r="A348" s="1052" t="s">
        <v>941</v>
      </c>
      <c r="B348" s="1053"/>
      <c r="C348" s="1252">
        <f t="shared" si="184"/>
        <v>-1.7636478788972556E-4</v>
      </c>
      <c r="D348" s="1249">
        <f t="shared" si="184"/>
        <v>0</v>
      </c>
      <c r="E348" s="1250">
        <f t="shared" si="184"/>
        <v>0</v>
      </c>
      <c r="F348" s="1250">
        <f t="shared" si="184"/>
        <v>0</v>
      </c>
      <c r="G348" s="1251">
        <f t="shared" si="184"/>
        <v>0</v>
      </c>
      <c r="H348" s="1253">
        <f t="shared" si="184"/>
        <v>-1.6877314429354751E-4</v>
      </c>
      <c r="I348" s="1253">
        <f t="shared" si="184"/>
        <v>-1.5954067418039161E-4</v>
      </c>
      <c r="J348" s="1253">
        <f t="shared" si="184"/>
        <v>-1.4988458536478665E-4</v>
      </c>
      <c r="K348" s="1254">
        <f t="shared" si="184"/>
        <v>-1.4135737082606226E-4</v>
      </c>
      <c r="L348" s="1221"/>
      <c r="M348" s="1232">
        <f t="shared" si="185"/>
        <v>0</v>
      </c>
      <c r="N348" s="1235">
        <f t="shared" si="185"/>
        <v>-1.6811527797160641E-4</v>
      </c>
      <c r="O348" s="1232">
        <f t="shared" si="185"/>
        <v>-1.587884257208137E-4</v>
      </c>
      <c r="P348" s="1233">
        <f t="shared" si="185"/>
        <v>-1.49009702240421E-4</v>
      </c>
      <c r="Q348" s="1233">
        <f t="shared" si="185"/>
        <v>-1.4040107307637976E-4</v>
      </c>
      <c r="R348" s="1232">
        <f t="shared" si="185"/>
        <v>0</v>
      </c>
      <c r="S348" s="1233">
        <f t="shared" si="185"/>
        <v>0</v>
      </c>
      <c r="T348" s="1233">
        <f t="shared" si="185"/>
        <v>0</v>
      </c>
      <c r="U348" s="1236"/>
      <c r="V348" s="1221"/>
      <c r="W348" s="1256">
        <f t="shared" si="186"/>
        <v>-1.587884257208137E-4</v>
      </c>
      <c r="X348" s="1234">
        <f t="shared" si="186"/>
        <v>-1.5992679607943443E-4</v>
      </c>
      <c r="Y348" s="1256">
        <f t="shared" si="186"/>
        <v>0</v>
      </c>
      <c r="Z348" s="1076">
        <f t="shared" si="186"/>
        <v>0</v>
      </c>
    </row>
    <row r="349" spans="1:26">
      <c r="A349" s="1052" t="s">
        <v>432</v>
      </c>
      <c r="B349" s="1053"/>
      <c r="C349" s="1236">
        <f t="shared" si="184"/>
        <v>1.6590871233575939</v>
      </c>
      <c r="D349" s="1249">
        <f t="shared" si="184"/>
        <v>1.3108258214683717</v>
      </c>
      <c r="E349" s="1233">
        <f t="shared" si="184"/>
        <v>1.2683615901507306</v>
      </c>
      <c r="F349" s="1233">
        <f t="shared" si="184"/>
        <v>1.1802411801201798</v>
      </c>
      <c r="G349" s="1051">
        <f t="shared" si="184"/>
        <v>1.065293719232111</v>
      </c>
      <c r="H349" s="1234">
        <f t="shared" si="184"/>
        <v>1.4185752796379427</v>
      </c>
      <c r="I349" s="1234">
        <f t="shared" si="184"/>
        <v>1.3826262701948786</v>
      </c>
      <c r="J349" s="1234">
        <f t="shared" si="184"/>
        <v>1.2766267034982297</v>
      </c>
      <c r="K349" s="1076">
        <f t="shared" si="184"/>
        <v>1.1642182627625459</v>
      </c>
      <c r="L349" s="1221"/>
      <c r="M349" s="1255">
        <f t="shared" si="185"/>
        <v>0</v>
      </c>
      <c r="N349" s="1235">
        <f t="shared" si="185"/>
        <v>1.4130457689713118</v>
      </c>
      <c r="O349" s="1232">
        <f t="shared" si="185"/>
        <v>1.369859404701498</v>
      </c>
      <c r="P349" s="1233">
        <f t="shared" si="185"/>
        <v>1.2936184017093384</v>
      </c>
      <c r="Q349" s="1233">
        <f t="shared" si="185"/>
        <v>1.1719768937084305</v>
      </c>
      <c r="R349" s="1232">
        <f t="shared" si="185"/>
        <v>-0.87771804380962337</v>
      </c>
      <c r="S349" s="1233">
        <f t="shared" si="185"/>
        <v>2.9671480375655612</v>
      </c>
      <c r="T349" s="1233">
        <f t="shared" si="185"/>
        <v>1.7061058127780364</v>
      </c>
      <c r="U349" s="1236"/>
      <c r="V349" s="1221"/>
      <c r="W349" s="1232">
        <f t="shared" si="186"/>
        <v>1.369859404701498</v>
      </c>
      <c r="X349" s="1233">
        <f t="shared" si="186"/>
        <v>1.3950207881659566</v>
      </c>
      <c r="Y349" s="1232">
        <f t="shared" si="186"/>
        <v>-2.1398388574001168</v>
      </c>
      <c r="Z349" s="1051">
        <f t="shared" si="186"/>
        <v>-2.1398388574001173</v>
      </c>
    </row>
    <row r="350" spans="1:26">
      <c r="A350" s="790" t="s">
        <v>724</v>
      </c>
      <c r="B350" s="1060" t="s">
        <v>989</v>
      </c>
      <c r="C350" s="1224">
        <f t="shared" si="184"/>
        <v>0.46381097382227748</v>
      </c>
      <c r="D350" s="1243">
        <f t="shared" si="184"/>
        <v>0.40199140796988547</v>
      </c>
      <c r="E350" s="1244">
        <f t="shared" si="184"/>
        <v>0.44051011737107298</v>
      </c>
      <c r="F350" s="1244">
        <f t="shared" si="184"/>
        <v>0.40085819658124999</v>
      </c>
      <c r="G350" s="1067">
        <f t="shared" si="184"/>
        <v>0.38761930078635076</v>
      </c>
      <c r="H350" s="1245">
        <f t="shared" si="184"/>
        <v>0.39873377190673537</v>
      </c>
      <c r="I350" s="1245">
        <f t="shared" si="184"/>
        <v>0.39955813189812273</v>
      </c>
      <c r="J350" s="1245">
        <f t="shared" si="184"/>
        <v>0.35863688953372486</v>
      </c>
      <c r="K350" s="1246">
        <f t="shared" si="184"/>
        <v>0.3433275306150807</v>
      </c>
      <c r="L350" s="1221"/>
      <c r="M350" s="1247">
        <f t="shared" si="185"/>
        <v>0</v>
      </c>
      <c r="N350" s="1248">
        <f t="shared" si="185"/>
        <v>0.39717953458387234</v>
      </c>
      <c r="O350" s="1247">
        <f t="shared" si="185"/>
        <v>0.3908444447944146</v>
      </c>
      <c r="P350" s="1244">
        <f t="shared" si="185"/>
        <v>0.38139673570373411</v>
      </c>
      <c r="Q350" s="1244">
        <f t="shared" si="185"/>
        <v>0.37472144621137149</v>
      </c>
      <c r="R350" s="1247">
        <f t="shared" si="185"/>
        <v>-0.95949233732754247</v>
      </c>
      <c r="S350" s="1244">
        <f t="shared" si="185"/>
        <v>3.0168929699176767</v>
      </c>
      <c r="T350" s="1244">
        <f t="shared" si="185"/>
        <v>3.6792553208790553</v>
      </c>
      <c r="U350" s="1224"/>
      <c r="V350" s="1271"/>
      <c r="W350" s="1247">
        <f t="shared" si="186"/>
        <v>0.3908444447944146</v>
      </c>
      <c r="X350" s="1244">
        <f t="shared" si="186"/>
        <v>0.43709653157837863</v>
      </c>
      <c r="Y350" s="1247">
        <f t="shared" si="186"/>
        <v>-6.0607431172944981</v>
      </c>
      <c r="Z350" s="1067">
        <f t="shared" si="186"/>
        <v>-6.0607431172944981</v>
      </c>
    </row>
    <row r="351" spans="1:26">
      <c r="A351" s="1052" t="s">
        <v>960</v>
      </c>
      <c r="B351" s="1060"/>
      <c r="C351" s="1236">
        <f t="shared" si="184"/>
        <v>5.8578909415221918E-2</v>
      </c>
      <c r="D351" s="1232">
        <f t="shared" si="184"/>
        <v>4.7032154302666614E-2</v>
      </c>
      <c r="E351" s="1233">
        <f t="shared" si="184"/>
        <v>0.12492559806486191</v>
      </c>
      <c r="F351" s="1233">
        <f t="shared" si="184"/>
        <v>0.12635723539269125</v>
      </c>
      <c r="G351" s="1051">
        <f t="shared" si="184"/>
        <v>0.12876302231747602</v>
      </c>
      <c r="H351" s="1234">
        <f t="shared" si="184"/>
        <v>8.690082476551729E-2</v>
      </c>
      <c r="I351" s="1234">
        <f t="shared" si="184"/>
        <v>8.8140893429020775E-2</v>
      </c>
      <c r="J351" s="1234">
        <f t="shared" si="184"/>
        <v>8.8094135472043061E-2</v>
      </c>
      <c r="K351" s="1076">
        <f t="shared" si="184"/>
        <v>8.8297467210686792E-2</v>
      </c>
      <c r="L351" s="1221"/>
      <c r="M351" s="1232">
        <f t="shared" si="185"/>
        <v>0</v>
      </c>
      <c r="N351" s="1235">
        <f t="shared" si="185"/>
        <v>8.656209121758561E-2</v>
      </c>
      <c r="O351" s="1232">
        <f t="shared" si="185"/>
        <v>8.7725301282075022E-2</v>
      </c>
      <c r="P351" s="1233">
        <f t="shared" si="185"/>
        <v>8.7579926006856934E-2</v>
      </c>
      <c r="Q351" s="1233">
        <f t="shared" si="185"/>
        <v>8.7700125390427944E-2</v>
      </c>
      <c r="R351" s="1232">
        <f t="shared" si="185"/>
        <v>0</v>
      </c>
      <c r="S351" s="1233">
        <f t="shared" si="185"/>
        <v>0</v>
      </c>
      <c r="T351" s="1233">
        <f t="shared" si="185"/>
        <v>0</v>
      </c>
      <c r="U351" s="1236"/>
      <c r="V351" s="1221"/>
      <c r="W351" s="1232">
        <f t="shared" si="186"/>
        <v>8.7725301282075022E-2</v>
      </c>
      <c r="X351" s="1233">
        <f t="shared" si="186"/>
        <v>0.12492559806486191</v>
      </c>
      <c r="Y351" s="1232">
        <f t="shared" si="186"/>
        <v>-5.1012507799669562</v>
      </c>
      <c r="Z351" s="1051">
        <f t="shared" si="186"/>
        <v>-5.1012507799669562</v>
      </c>
    </row>
    <row r="352" spans="1:26">
      <c r="A352" s="1052" t="s">
        <v>990</v>
      </c>
      <c r="B352" s="1053"/>
      <c r="C352" s="1236">
        <f t="shared" si="184"/>
        <v>0</v>
      </c>
      <c r="D352" s="1232">
        <f t="shared" si="184"/>
        <v>1.0401944202253542E-2</v>
      </c>
      <c r="E352" s="1233">
        <f t="shared" si="184"/>
        <v>3.4135857926942954E-3</v>
      </c>
      <c r="F352" s="1239">
        <f t="shared" si="184"/>
        <v>3.3032451263214084E-3</v>
      </c>
      <c r="G352" s="1240">
        <f t="shared" si="184"/>
        <v>3.2087762583612794E-3</v>
      </c>
      <c r="H352" s="1234">
        <f t="shared" si="184"/>
        <v>0</v>
      </c>
      <c r="I352" s="1234">
        <f t="shared" si="184"/>
        <v>0</v>
      </c>
      <c r="J352" s="1234">
        <f t="shared" si="184"/>
        <v>0</v>
      </c>
      <c r="K352" s="1076">
        <f t="shared" si="184"/>
        <v>0</v>
      </c>
      <c r="L352" s="1221"/>
      <c r="M352" s="1255">
        <f t="shared" si="185"/>
        <v>0</v>
      </c>
      <c r="N352" s="1235">
        <f t="shared" si="185"/>
        <v>0</v>
      </c>
      <c r="O352" s="1232">
        <f t="shared" si="185"/>
        <v>0</v>
      </c>
      <c r="P352" s="1233">
        <f t="shared" si="185"/>
        <v>0</v>
      </c>
      <c r="Q352" s="1233">
        <f t="shared" si="185"/>
        <v>0</v>
      </c>
      <c r="R352" s="1232">
        <f t="shared" si="185"/>
        <v>0</v>
      </c>
      <c r="S352" s="1233">
        <f t="shared" si="185"/>
        <v>0</v>
      </c>
      <c r="T352" s="1233">
        <f t="shared" si="185"/>
        <v>0</v>
      </c>
      <c r="U352" s="1236"/>
      <c r="V352" s="1221"/>
      <c r="W352" s="1232">
        <f t="shared" si="186"/>
        <v>0</v>
      </c>
      <c r="X352" s="1233">
        <f t="shared" si="186"/>
        <v>0</v>
      </c>
      <c r="Y352" s="1232">
        <f t="shared" si="186"/>
        <v>0</v>
      </c>
      <c r="Z352" s="1051">
        <f t="shared" si="186"/>
        <v>0</v>
      </c>
    </row>
    <row r="353" spans="1:26">
      <c r="A353" s="1052" t="s">
        <v>991</v>
      </c>
      <c r="B353" s="1053"/>
      <c r="C353" s="1236">
        <f t="shared" si="184"/>
        <v>0.3132979354330015</v>
      </c>
      <c r="D353" s="1232">
        <f t="shared" si="184"/>
        <v>0.20435919628352364</v>
      </c>
      <c r="E353" s="1233">
        <f t="shared" si="184"/>
        <v>0.1959971962068803</v>
      </c>
      <c r="F353" s="1233">
        <f t="shared" si="184"/>
        <v>0.1851844808414134</v>
      </c>
      <c r="G353" s="1051">
        <f t="shared" si="184"/>
        <v>0.17514402435654139</v>
      </c>
      <c r="H353" s="1234">
        <f t="shared" si="184"/>
        <v>0.20386564743315799</v>
      </c>
      <c r="I353" s="1234">
        <f t="shared" si="184"/>
        <v>0.19552398714209746</v>
      </c>
      <c r="J353" s="1234">
        <f t="shared" si="184"/>
        <v>0.18473724699370694</v>
      </c>
      <c r="K353" s="1076">
        <f t="shared" si="184"/>
        <v>0.17472101722225447</v>
      </c>
      <c r="L353" s="1221"/>
      <c r="M353" s="1232">
        <f t="shared" si="185"/>
        <v>0</v>
      </c>
      <c r="N353" s="1235">
        <f t="shared" si="185"/>
        <v>0.20307099290320668</v>
      </c>
      <c r="O353" s="1232">
        <f t="shared" si="185"/>
        <v>0.19816886255300789</v>
      </c>
      <c r="P353" s="1233">
        <f t="shared" si="185"/>
        <v>0.19208731689430053</v>
      </c>
      <c r="Q353" s="1233">
        <f t="shared" si="185"/>
        <v>0.18764466017050779</v>
      </c>
      <c r="R353" s="1232">
        <f t="shared" si="185"/>
        <v>0.50108915354712857</v>
      </c>
      <c r="S353" s="1233">
        <f t="shared" si="185"/>
        <v>1.0231086034741979</v>
      </c>
      <c r="T353" s="1233">
        <f t="shared" si="185"/>
        <v>1.5392519463930281</v>
      </c>
      <c r="U353" s="1236"/>
      <c r="V353" s="1221"/>
      <c r="W353" s="1232">
        <f t="shared" si="186"/>
        <v>0.19816886255300789</v>
      </c>
      <c r="X353" s="1233">
        <f t="shared" si="186"/>
        <v>0.1959971962068803</v>
      </c>
      <c r="Y353" s="1232">
        <f t="shared" si="186"/>
        <v>0.50108915354712857</v>
      </c>
      <c r="Z353" s="1051">
        <f t="shared" si="186"/>
        <v>0.50108915354712857</v>
      </c>
    </row>
    <row r="354" spans="1:26">
      <c r="A354" s="1052" t="s">
        <v>432</v>
      </c>
      <c r="B354" s="1053"/>
      <c r="C354" s="1236">
        <f t="shared" si="184"/>
        <v>9.1934128974054105E-2</v>
      </c>
      <c r="D354" s="1232">
        <f t="shared" si="184"/>
        <v>0.14019811318144165</v>
      </c>
      <c r="E354" s="1233">
        <f t="shared" si="184"/>
        <v>0.11617373730663644</v>
      </c>
      <c r="F354" s="1233">
        <f t="shared" si="184"/>
        <v>8.6013235220823908E-2</v>
      </c>
      <c r="G354" s="1051">
        <f t="shared" si="184"/>
        <v>8.0503477853972091E-2</v>
      </c>
      <c r="H354" s="1234">
        <f t="shared" si="184"/>
        <v>0.10796729970806015</v>
      </c>
      <c r="I354" s="1234">
        <f t="shared" si="184"/>
        <v>0.11589325132700451</v>
      </c>
      <c r="J354" s="1234">
        <f t="shared" si="184"/>
        <v>8.5805507067974893E-2</v>
      </c>
      <c r="K354" s="1076">
        <f t="shared" si="184"/>
        <v>8.0309046182139451E-2</v>
      </c>
      <c r="L354" s="1221"/>
      <c r="M354" s="1232">
        <f t="shared" si="185"/>
        <v>0</v>
      </c>
      <c r="N354" s="1235">
        <f t="shared" si="185"/>
        <v>0.10754645046308009</v>
      </c>
      <c r="O354" s="1232">
        <f t="shared" si="185"/>
        <v>0.10495028095933168</v>
      </c>
      <c r="P354" s="1233">
        <f t="shared" si="185"/>
        <v>0.10172949280257666</v>
      </c>
      <c r="Q354" s="1233">
        <f t="shared" si="185"/>
        <v>9.9376660650435752E-2</v>
      </c>
      <c r="R354" s="1232">
        <f t="shared" si="185"/>
        <v>-1.460581490874671</v>
      </c>
      <c r="S354" s="1233">
        <f t="shared" si="185"/>
        <v>1.9937843664434791</v>
      </c>
      <c r="T354" s="1233">
        <f t="shared" si="185"/>
        <v>2.1400033744860272</v>
      </c>
      <c r="U354" s="1236"/>
      <c r="V354" s="1221"/>
      <c r="W354" s="1232">
        <f t="shared" si="186"/>
        <v>0.10495028095933168</v>
      </c>
      <c r="X354" s="1233">
        <f t="shared" si="186"/>
        <v>0.11617373730663644</v>
      </c>
      <c r="Y354" s="1232">
        <f t="shared" si="186"/>
        <v>-1.460581490874671</v>
      </c>
      <c r="Z354" s="1051">
        <f t="shared" si="186"/>
        <v>-1.460581490874671</v>
      </c>
    </row>
    <row r="355" spans="1:26">
      <c r="A355" s="790" t="s">
        <v>992</v>
      </c>
      <c r="B355" s="1060" t="s">
        <v>993</v>
      </c>
      <c r="C355" s="1224">
        <f t="shared" si="184"/>
        <v>3.2032581131031841</v>
      </c>
      <c r="D355" s="1243">
        <f t="shared" si="184"/>
        <v>3.3222946893444667</v>
      </c>
      <c r="E355" s="1244">
        <f t="shared" si="184"/>
        <v>2.4171952971726141</v>
      </c>
      <c r="F355" s="1244">
        <f t="shared" si="184"/>
        <v>2.693620200148231</v>
      </c>
      <c r="G355" s="1067">
        <f t="shared" si="184"/>
        <v>2.635999152457067</v>
      </c>
      <c r="H355" s="1245">
        <f t="shared" si="184"/>
        <v>3.2319075532352701</v>
      </c>
      <c r="I355" s="1245">
        <f t="shared" si="184"/>
        <v>3.4636036425549266</v>
      </c>
      <c r="J355" s="1245">
        <f t="shared" si="184"/>
        <v>3.328929432345249</v>
      </c>
      <c r="K355" s="1246">
        <f t="shared" si="184"/>
        <v>3.3485447936605266</v>
      </c>
      <c r="L355" s="1221"/>
      <c r="M355" s="1247">
        <f t="shared" si="185"/>
        <v>0</v>
      </c>
      <c r="N355" s="1248">
        <f t="shared" si="185"/>
        <v>3.219309795791097</v>
      </c>
      <c r="O355" s="1247">
        <f t="shared" si="185"/>
        <v>3.5173508072964639</v>
      </c>
      <c r="P355" s="1244">
        <f t="shared" si="185"/>
        <v>3.4997247255713222</v>
      </c>
      <c r="Q355" s="1244">
        <f t="shared" si="185"/>
        <v>3.5069048874721092</v>
      </c>
      <c r="R355" s="1247">
        <f t="shared" si="185"/>
        <v>9.8451335357445124</v>
      </c>
      <c r="S355" s="1244">
        <f t="shared" si="185"/>
        <v>23.091276190820864</v>
      </c>
      <c r="T355" s="1244">
        <f t="shared" si="185"/>
        <v>19.752735714258886</v>
      </c>
      <c r="U355" s="1224"/>
      <c r="V355" s="1271"/>
      <c r="W355" s="1247">
        <f t="shared" si="186"/>
        <v>3.5173508072964639</v>
      </c>
      <c r="X355" s="1244">
        <f t="shared" si="186"/>
        <v>2.4540283605559225</v>
      </c>
      <c r="Y355" s="1247">
        <f t="shared" si="186"/>
        <v>151.837531557707</v>
      </c>
      <c r="Z355" s="1067">
        <f t="shared" si="186"/>
        <v>151.837531557707</v>
      </c>
    </row>
    <row r="356" spans="1:26">
      <c r="A356" s="1052" t="s">
        <v>953</v>
      </c>
      <c r="B356" s="1060"/>
      <c r="C356" s="1236">
        <f t="shared" ref="C356:K371" si="187">C132/C$179*100</f>
        <v>0.6266094746866715</v>
      </c>
      <c r="D356" s="1232">
        <f t="shared" si="187"/>
        <v>0.57095798910524143</v>
      </c>
      <c r="E356" s="1233">
        <f t="shared" si="187"/>
        <v>5.6535575484251067E-2</v>
      </c>
      <c r="F356" s="1233">
        <f t="shared" si="187"/>
        <v>0.48560959363346767</v>
      </c>
      <c r="G356" s="1051">
        <f t="shared" si="187"/>
        <v>0.41473393043229173</v>
      </c>
      <c r="H356" s="1234">
        <f t="shared" si="187"/>
        <v>0.5505891116703745</v>
      </c>
      <c r="I356" s="1234">
        <f t="shared" si="187"/>
        <v>0.77650204158196978</v>
      </c>
      <c r="J356" s="1234">
        <f t="shared" si="187"/>
        <v>0.82416733663399599</v>
      </c>
      <c r="K356" s="1076">
        <f t="shared" si="187"/>
        <v>0.79963056480100625</v>
      </c>
      <c r="L356" s="1221"/>
      <c r="M356" s="1232">
        <f t="shared" ref="M356:T371" si="188">M132/M$179*100</f>
        <v>0</v>
      </c>
      <c r="N356" s="1235">
        <f t="shared" si="188"/>
        <v>0.54844295248544284</v>
      </c>
      <c r="O356" s="1232">
        <f t="shared" si="188"/>
        <v>0.7728407654363102</v>
      </c>
      <c r="P356" s="1233">
        <f t="shared" si="188"/>
        <v>0.81935663450128793</v>
      </c>
      <c r="Q356" s="1233">
        <f t="shared" si="188"/>
        <v>0.79422097840853245</v>
      </c>
      <c r="R356" s="1232">
        <f t="shared" si="188"/>
        <v>0</v>
      </c>
      <c r="S356" s="1233">
        <f t="shared" si="188"/>
        <v>0</v>
      </c>
      <c r="T356" s="1233">
        <f t="shared" si="188"/>
        <v>0</v>
      </c>
      <c r="U356" s="1236"/>
      <c r="V356" s="1221"/>
      <c r="W356" s="1232">
        <f t="shared" ref="W356:Z371" si="189">W132/W$179*100</f>
        <v>0.7728407654363102</v>
      </c>
      <c r="X356" s="1233">
        <f t="shared" si="189"/>
        <v>5.6535575484251067E-2</v>
      </c>
      <c r="Y356" s="1232">
        <f t="shared" si="189"/>
        <v>100.68845485955926</v>
      </c>
      <c r="Z356" s="1051">
        <f t="shared" si="189"/>
        <v>100.68845485955926</v>
      </c>
    </row>
    <row r="357" spans="1:26">
      <c r="A357" s="1052" t="s">
        <v>960</v>
      </c>
      <c r="B357" s="1060"/>
      <c r="C357" s="1236">
        <f t="shared" si="187"/>
        <v>0.10773402884586072</v>
      </c>
      <c r="D357" s="1232">
        <f t="shared" si="187"/>
        <v>0.10050878585427486</v>
      </c>
      <c r="E357" s="1233">
        <f t="shared" si="187"/>
        <v>7.1643310630511636E-3</v>
      </c>
      <c r="F357" s="1233">
        <f t="shared" si="187"/>
        <v>7.4342581613534797E-2</v>
      </c>
      <c r="G357" s="1051">
        <f t="shared" si="187"/>
        <v>7.2227564611625189E-2</v>
      </c>
      <c r="H357" s="1234">
        <f t="shared" si="187"/>
        <v>9.2192113688390476E-2</v>
      </c>
      <c r="I357" s="1234">
        <f t="shared" si="187"/>
        <v>0.13001957899169289</v>
      </c>
      <c r="J357" s="1234">
        <f t="shared" si="187"/>
        <v>0.13800078350025186</v>
      </c>
      <c r="K357" s="1076">
        <f t="shared" si="187"/>
        <v>0.13389228078847401</v>
      </c>
      <c r="L357" s="1221"/>
      <c r="M357" s="1232">
        <f t="shared" si="188"/>
        <v>0</v>
      </c>
      <c r="N357" s="1235">
        <f t="shared" si="188"/>
        <v>9.1832755053472423E-2</v>
      </c>
      <c r="O357" s="1232">
        <f t="shared" si="188"/>
        <v>0.12940652511992048</v>
      </c>
      <c r="P357" s="1233">
        <f t="shared" si="188"/>
        <v>0.13719526666648427</v>
      </c>
      <c r="Q357" s="1233">
        <f t="shared" si="188"/>
        <v>0.13298648517223105</v>
      </c>
      <c r="R357" s="1232">
        <f t="shared" si="188"/>
        <v>0</v>
      </c>
      <c r="S357" s="1233">
        <f t="shared" si="188"/>
        <v>0</v>
      </c>
      <c r="T357" s="1233">
        <f t="shared" si="188"/>
        <v>0</v>
      </c>
      <c r="U357" s="1236"/>
      <c r="V357" s="1221"/>
      <c r="W357" s="1232">
        <f t="shared" si="189"/>
        <v>0.12940652511992048</v>
      </c>
      <c r="X357" s="1233">
        <f t="shared" si="189"/>
        <v>7.1643310630511636E-3</v>
      </c>
      <c r="Y357" s="1232">
        <f t="shared" si="189"/>
        <v>17.180663529445823</v>
      </c>
      <c r="Z357" s="1051">
        <f t="shared" si="189"/>
        <v>17.180663529445823</v>
      </c>
    </row>
    <row r="358" spans="1:26">
      <c r="A358" s="1052" t="s">
        <v>994</v>
      </c>
      <c r="B358" s="1053"/>
      <c r="C358" s="1236">
        <f t="shared" si="187"/>
        <v>0.14515599521038813</v>
      </c>
      <c r="D358" s="1249">
        <f t="shared" si="187"/>
        <v>0.15537121878630655</v>
      </c>
      <c r="E358" s="1233">
        <f t="shared" si="187"/>
        <v>0.16751578503673362</v>
      </c>
      <c r="F358" s="1233">
        <f t="shared" si="187"/>
        <v>0.15202111013372444</v>
      </c>
      <c r="G358" s="1051">
        <f t="shared" si="187"/>
        <v>0.1433723625188639</v>
      </c>
      <c r="H358" s="1234">
        <f t="shared" si="187"/>
        <v>0.1549959810294233</v>
      </c>
      <c r="I358" s="1234">
        <f t="shared" si="187"/>
        <v>0.16711134053697696</v>
      </c>
      <c r="J358" s="1234">
        <f t="shared" si="187"/>
        <v>0.15165396821282048</v>
      </c>
      <c r="K358" s="1076">
        <f t="shared" si="187"/>
        <v>0.14302609017284545</v>
      </c>
      <c r="L358" s="1221"/>
      <c r="M358" s="1232">
        <f t="shared" si="188"/>
        <v>0</v>
      </c>
      <c r="N358" s="1235">
        <f t="shared" si="188"/>
        <v>0.15439181715973721</v>
      </c>
      <c r="O358" s="1232">
        <f t="shared" si="188"/>
        <v>0.15439181715973721</v>
      </c>
      <c r="P358" s="1233">
        <f t="shared" si="188"/>
        <v>0.15439181715973724</v>
      </c>
      <c r="Q358" s="1233">
        <f t="shared" si="188"/>
        <v>0.15439181715973721</v>
      </c>
      <c r="R358" s="1232">
        <f t="shared" si="188"/>
        <v>-1.6762375405158654</v>
      </c>
      <c r="S358" s="1233">
        <f t="shared" si="188"/>
        <v>0.43979740810335449</v>
      </c>
      <c r="T358" s="1233">
        <f t="shared" si="188"/>
        <v>1.345849228162989</v>
      </c>
      <c r="U358" s="1236"/>
      <c r="V358" s="1221"/>
      <c r="W358" s="1232">
        <f t="shared" si="189"/>
        <v>0.15439181715973721</v>
      </c>
      <c r="X358" s="1233">
        <f t="shared" si="189"/>
        <v>0.16751578503673362</v>
      </c>
      <c r="Y358" s="1232">
        <f t="shared" si="189"/>
        <v>-1.6762375405158654</v>
      </c>
      <c r="Z358" s="1051">
        <f t="shared" si="189"/>
        <v>-1.6762375405158656</v>
      </c>
    </row>
    <row r="359" spans="1:26">
      <c r="A359" s="1052" t="s">
        <v>428</v>
      </c>
      <c r="B359" s="1053"/>
      <c r="C359" s="1236">
        <f t="shared" si="187"/>
        <v>0</v>
      </c>
      <c r="D359" s="1249">
        <f t="shared" si="187"/>
        <v>0</v>
      </c>
      <c r="E359" s="1233">
        <f t="shared" si="187"/>
        <v>0</v>
      </c>
      <c r="F359" s="1233">
        <f t="shared" si="187"/>
        <v>0</v>
      </c>
      <c r="G359" s="1051">
        <f t="shared" si="187"/>
        <v>0</v>
      </c>
      <c r="H359" s="1234">
        <f t="shared" si="187"/>
        <v>0</v>
      </c>
      <c r="I359" s="1234">
        <f t="shared" si="187"/>
        <v>0</v>
      </c>
      <c r="J359" s="1234">
        <f t="shared" si="187"/>
        <v>0</v>
      </c>
      <c r="K359" s="1076">
        <f t="shared" si="187"/>
        <v>0</v>
      </c>
      <c r="L359" s="1221"/>
      <c r="M359" s="1232">
        <f t="shared" si="188"/>
        <v>0</v>
      </c>
      <c r="N359" s="1235">
        <f t="shared" si="188"/>
        <v>0</v>
      </c>
      <c r="O359" s="1232">
        <f t="shared" si="188"/>
        <v>0</v>
      </c>
      <c r="P359" s="1233">
        <f t="shared" si="188"/>
        <v>0</v>
      </c>
      <c r="Q359" s="1233">
        <f t="shared" si="188"/>
        <v>0</v>
      </c>
      <c r="R359" s="1232">
        <f t="shared" si="188"/>
        <v>0</v>
      </c>
      <c r="S359" s="1233">
        <f t="shared" si="188"/>
        <v>0</v>
      </c>
      <c r="T359" s="1233">
        <f t="shared" si="188"/>
        <v>0</v>
      </c>
      <c r="U359" s="1236"/>
      <c r="V359" s="1221"/>
      <c r="W359" s="1232">
        <f t="shared" si="189"/>
        <v>0</v>
      </c>
      <c r="X359" s="1233">
        <f t="shared" si="189"/>
        <v>0</v>
      </c>
      <c r="Y359" s="1232">
        <f t="shared" si="189"/>
        <v>0</v>
      </c>
      <c r="Z359" s="1051">
        <f t="shared" si="189"/>
        <v>0</v>
      </c>
    </row>
    <row r="360" spans="1:26">
      <c r="A360" s="1052" t="s">
        <v>995</v>
      </c>
      <c r="B360" s="1053"/>
      <c r="C360" s="1236">
        <f t="shared" si="187"/>
        <v>0</v>
      </c>
      <c r="D360" s="1249">
        <f t="shared" si="187"/>
        <v>0</v>
      </c>
      <c r="E360" s="1233">
        <f t="shared" si="187"/>
        <v>5.4751457886095076E-2</v>
      </c>
      <c r="F360" s="1233">
        <f t="shared" si="187"/>
        <v>0</v>
      </c>
      <c r="G360" s="1051">
        <f t="shared" si="187"/>
        <v>0</v>
      </c>
      <c r="H360" s="1234">
        <f t="shared" si="187"/>
        <v>0</v>
      </c>
      <c r="I360" s="1234">
        <f t="shared" si="187"/>
        <v>5.461926780030206E-2</v>
      </c>
      <c r="J360" s="1234">
        <f t="shared" si="187"/>
        <v>0</v>
      </c>
      <c r="K360" s="1076">
        <f t="shared" si="187"/>
        <v>0</v>
      </c>
      <c r="L360" s="1221"/>
      <c r="M360" s="1232">
        <f t="shared" si="188"/>
        <v>0</v>
      </c>
      <c r="N360" s="1235">
        <f t="shared" si="188"/>
        <v>0</v>
      </c>
      <c r="O360" s="1232">
        <f t="shared" si="188"/>
        <v>0</v>
      </c>
      <c r="P360" s="1233">
        <f t="shared" si="188"/>
        <v>0</v>
      </c>
      <c r="Q360" s="1233">
        <f t="shared" si="188"/>
        <v>0</v>
      </c>
      <c r="R360" s="1232">
        <f t="shared" si="188"/>
        <v>-7.6371435164442021</v>
      </c>
      <c r="S360" s="1233">
        <f t="shared" si="188"/>
        <v>0</v>
      </c>
      <c r="T360" s="1233">
        <f t="shared" si="188"/>
        <v>0</v>
      </c>
      <c r="U360" s="1236"/>
      <c r="V360" s="1221"/>
      <c r="W360" s="1232">
        <f t="shared" si="189"/>
        <v>0</v>
      </c>
      <c r="X360" s="1233">
        <f t="shared" si="189"/>
        <v>5.4751457886095076E-2</v>
      </c>
      <c r="Y360" s="1232">
        <f t="shared" si="189"/>
        <v>-7.6371435164442021</v>
      </c>
      <c r="Z360" s="1051">
        <f t="shared" si="189"/>
        <v>-7.637143516444203</v>
      </c>
    </row>
    <row r="361" spans="1:26">
      <c r="A361" s="1052" t="s">
        <v>996</v>
      </c>
      <c r="B361" s="1053"/>
      <c r="C361" s="1236">
        <f t="shared" si="187"/>
        <v>0</v>
      </c>
      <c r="D361" s="1249">
        <f t="shared" si="187"/>
        <v>3.8416271201504558E-2</v>
      </c>
      <c r="E361" s="1233">
        <f t="shared" si="187"/>
        <v>0</v>
      </c>
      <c r="F361" s="1233">
        <f t="shared" si="187"/>
        <v>0</v>
      </c>
      <c r="G361" s="1051">
        <f t="shared" si="187"/>
        <v>0</v>
      </c>
      <c r="H361" s="1234">
        <f t="shared" si="187"/>
        <v>0.11410763343841891</v>
      </c>
      <c r="I361" s="1234">
        <f t="shared" si="187"/>
        <v>0.14078921965461857</v>
      </c>
      <c r="J361" s="1234">
        <f t="shared" si="187"/>
        <v>0</v>
      </c>
      <c r="K361" s="1076">
        <f t="shared" si="187"/>
        <v>0</v>
      </c>
      <c r="L361" s="1221"/>
      <c r="M361" s="1232">
        <f t="shared" si="188"/>
        <v>0</v>
      </c>
      <c r="N361" s="1235">
        <f t="shared" si="188"/>
        <v>0.11366284958711512</v>
      </c>
      <c r="O361" s="1232">
        <f t="shared" si="188"/>
        <v>0.14012538596985796</v>
      </c>
      <c r="P361" s="1233">
        <f t="shared" si="188"/>
        <v>0</v>
      </c>
      <c r="Q361" s="1233">
        <f t="shared" si="188"/>
        <v>0</v>
      </c>
      <c r="R361" s="1232">
        <f t="shared" si="188"/>
        <v>0</v>
      </c>
      <c r="S361" s="1233">
        <f t="shared" si="188"/>
        <v>0</v>
      </c>
      <c r="T361" s="1233">
        <f t="shared" si="188"/>
        <v>0</v>
      </c>
      <c r="U361" s="1236"/>
      <c r="V361" s="1221"/>
      <c r="W361" s="1232">
        <f t="shared" si="189"/>
        <v>0.14012538596985796</v>
      </c>
      <c r="X361" s="1233">
        <f t="shared" si="189"/>
        <v>0</v>
      </c>
      <c r="Y361" s="1232">
        <f t="shared" si="189"/>
        <v>19.68586397023364</v>
      </c>
      <c r="Z361" s="1051">
        <f t="shared" si="189"/>
        <v>19.685863970233644</v>
      </c>
    </row>
    <row r="362" spans="1:26">
      <c r="A362" s="1052" t="s">
        <v>997</v>
      </c>
      <c r="B362" s="1053"/>
      <c r="C362" s="1236">
        <f t="shared" si="187"/>
        <v>4.583509818854694E-2</v>
      </c>
      <c r="D362" s="1249">
        <f t="shared" si="187"/>
        <v>1.3729384307860783E-2</v>
      </c>
      <c r="E362" s="1233">
        <f t="shared" si="187"/>
        <v>2.1424580683836469E-2</v>
      </c>
      <c r="F362" s="1233">
        <f t="shared" si="187"/>
        <v>9.8745687880175931E-2</v>
      </c>
      <c r="G362" s="1051">
        <f t="shared" si="187"/>
        <v>0.13806123438986673</v>
      </c>
      <c r="H362" s="1234">
        <f t="shared" si="187"/>
        <v>1.3696226407631167E-2</v>
      </c>
      <c r="I362" s="1234">
        <f t="shared" si="187"/>
        <v>2.1372853893938608E-2</v>
      </c>
      <c r="J362" s="1234">
        <f t="shared" si="187"/>
        <v>9.8507209937886087E-2</v>
      </c>
      <c r="K362" s="1076">
        <f t="shared" si="187"/>
        <v>0.1377277894588739</v>
      </c>
      <c r="L362" s="1221"/>
      <c r="M362" s="1232">
        <f t="shared" si="188"/>
        <v>0</v>
      </c>
      <c r="N362" s="1235">
        <f t="shared" si="188"/>
        <v>1.364283944177842E-2</v>
      </c>
      <c r="O362" s="1232">
        <f t="shared" si="188"/>
        <v>2.1272078988096601E-2</v>
      </c>
      <c r="P362" s="1233">
        <f t="shared" si="188"/>
        <v>9.7932218884648356E-2</v>
      </c>
      <c r="Q362" s="1233">
        <f t="shared" si="188"/>
        <v>0.13679604621578309</v>
      </c>
      <c r="R362" s="1232">
        <f t="shared" si="188"/>
        <v>0</v>
      </c>
      <c r="S362" s="1233">
        <f t="shared" si="188"/>
        <v>0</v>
      </c>
      <c r="T362" s="1233">
        <f t="shared" si="188"/>
        <v>0</v>
      </c>
      <c r="U362" s="1236"/>
      <c r="V362" s="1221"/>
      <c r="W362" s="1232">
        <f t="shared" si="189"/>
        <v>2.1272078988096601E-2</v>
      </c>
      <c r="X362" s="1233">
        <f t="shared" si="189"/>
        <v>2.1424580683836469E-2</v>
      </c>
      <c r="Y362" s="1232">
        <f t="shared" si="189"/>
        <v>0</v>
      </c>
      <c r="Z362" s="1051">
        <f t="shared" si="189"/>
        <v>0</v>
      </c>
    </row>
    <row r="363" spans="1:26">
      <c r="A363" s="1052" t="s">
        <v>940</v>
      </c>
      <c r="B363" s="1053"/>
      <c r="C363" s="1236">
        <f t="shared" si="187"/>
        <v>0.10535467853783018</v>
      </c>
      <c r="D363" s="1232">
        <f t="shared" si="187"/>
        <v>9.1565744101952631E-2</v>
      </c>
      <c r="E363" s="1233">
        <f t="shared" si="187"/>
        <v>8.7502958721688853E-2</v>
      </c>
      <c r="F363" s="1233">
        <f t="shared" si="187"/>
        <v>7.6103130981061862E-2</v>
      </c>
      <c r="G363" s="1051">
        <f t="shared" si="187"/>
        <v>4.9350293170850247E-2</v>
      </c>
      <c r="H363" s="1234">
        <f t="shared" si="187"/>
        <v>9.134460324528329E-2</v>
      </c>
      <c r="I363" s="1234">
        <f t="shared" si="187"/>
        <v>8.7291694509425755E-2</v>
      </c>
      <c r="J363" s="1234">
        <f t="shared" si="187"/>
        <v>7.5919336443115035E-2</v>
      </c>
      <c r="K363" s="1076">
        <f t="shared" si="187"/>
        <v>4.9231102543781394E-2</v>
      </c>
      <c r="L363" s="1221"/>
      <c r="M363" s="1232">
        <f t="shared" si="188"/>
        <v>0</v>
      </c>
      <c r="N363" s="1235">
        <f t="shared" si="188"/>
        <v>9.0988548148853834E-2</v>
      </c>
      <c r="O363" s="1232">
        <f t="shared" si="188"/>
        <v>9.1092076573127734E-2</v>
      </c>
      <c r="P363" s="1233">
        <f t="shared" si="188"/>
        <v>9.1159162694324364E-2</v>
      </c>
      <c r="Q363" s="1233">
        <f t="shared" si="188"/>
        <v>9.163680596477973E-2</v>
      </c>
      <c r="R363" s="1232">
        <f t="shared" si="188"/>
        <v>0.59172912236459529</v>
      </c>
      <c r="S363" s="1233">
        <f t="shared" si="188"/>
        <v>1.903730510076971</v>
      </c>
      <c r="T363" s="1233">
        <f t="shared" si="188"/>
        <v>4.6637849472105541</v>
      </c>
      <c r="U363" s="1236"/>
      <c r="V363" s="1221"/>
      <c r="W363" s="1232">
        <f t="shared" si="189"/>
        <v>9.1092076573127734E-2</v>
      </c>
      <c r="X363" s="1233">
        <f t="shared" si="189"/>
        <v>8.7502958721688853E-2</v>
      </c>
      <c r="Y363" s="1232">
        <f t="shared" si="189"/>
        <v>0.59172912236459529</v>
      </c>
      <c r="Z363" s="1051">
        <f t="shared" si="189"/>
        <v>0.59172912236459529</v>
      </c>
    </row>
    <row r="364" spans="1:26">
      <c r="A364" s="1052" t="s">
        <v>964</v>
      </c>
      <c r="B364" s="1053"/>
      <c r="C364" s="1236">
        <f t="shared" si="187"/>
        <v>0.3197231297358899</v>
      </c>
      <c r="D364" s="1249">
        <f t="shared" si="187"/>
        <v>0.26917985721115767</v>
      </c>
      <c r="E364" s="1233">
        <f t="shared" si="187"/>
        <v>0.2903045208556832</v>
      </c>
      <c r="F364" s="1233">
        <f t="shared" si="187"/>
        <v>0.34572223072184832</v>
      </c>
      <c r="G364" s="1051">
        <f t="shared" si="187"/>
        <v>0.3344132739199005</v>
      </c>
      <c r="H364" s="1234">
        <f t="shared" si="187"/>
        <v>0.3197231297358899</v>
      </c>
      <c r="I364" s="1234">
        <f t="shared" si="187"/>
        <v>0.3197231297358899</v>
      </c>
      <c r="J364" s="1234">
        <f t="shared" si="187"/>
        <v>0.3197231297358899</v>
      </c>
      <c r="K364" s="1076">
        <f t="shared" si="187"/>
        <v>0.3197231297358899</v>
      </c>
      <c r="L364" s="1221"/>
      <c r="M364" s="1232">
        <f t="shared" si="188"/>
        <v>0</v>
      </c>
      <c r="N364" s="1235">
        <f t="shared" si="188"/>
        <v>0.31847687056190072</v>
      </c>
      <c r="O364" s="1232">
        <f t="shared" si="188"/>
        <v>0.31847687056190072</v>
      </c>
      <c r="P364" s="1233">
        <f t="shared" si="188"/>
        <v>0.31847687056190072</v>
      </c>
      <c r="Q364" s="1233">
        <f t="shared" si="188"/>
        <v>0.31847687056190072</v>
      </c>
      <c r="R364" s="1232">
        <f t="shared" si="188"/>
        <v>3.6704296077499567E-2</v>
      </c>
      <c r="S364" s="1233">
        <f t="shared" si="188"/>
        <v>7.5258278719689459E-2</v>
      </c>
      <c r="T364" s="1233">
        <f t="shared" si="188"/>
        <v>0.100033352274147</v>
      </c>
      <c r="U364" s="1236"/>
      <c r="V364" s="1221"/>
      <c r="W364" s="1256">
        <f t="shared" si="189"/>
        <v>0.31847687056190072</v>
      </c>
      <c r="X364" s="1234">
        <f t="shared" si="189"/>
        <v>0.32049692677953245</v>
      </c>
      <c r="Y364" s="1256">
        <f t="shared" si="189"/>
        <v>3.6704296077499567E-2</v>
      </c>
      <c r="Z364" s="1076">
        <f t="shared" si="189"/>
        <v>3.6704296077499567E-2</v>
      </c>
    </row>
    <row r="365" spans="1:26">
      <c r="A365" s="1052" t="s">
        <v>948</v>
      </c>
      <c r="B365" s="1053"/>
      <c r="C365" s="1236">
        <f t="shared" si="187"/>
        <v>8.8446694028484082E-2</v>
      </c>
      <c r="D365" s="1249">
        <f t="shared" si="187"/>
        <v>8.232193204792565E-2</v>
      </c>
      <c r="E365" s="1233">
        <f t="shared" si="187"/>
        <v>8.4277019583690507E-2</v>
      </c>
      <c r="F365" s="1233">
        <f t="shared" si="187"/>
        <v>7.5768782129731649E-2</v>
      </c>
      <c r="G365" s="1051">
        <f t="shared" si="187"/>
        <v>7.2996665046278678E-2</v>
      </c>
      <c r="H365" s="1234">
        <f t="shared" si="187"/>
        <v>8.2123115964964716E-2</v>
      </c>
      <c r="I365" s="1234">
        <f t="shared" si="187"/>
        <v>8.4073543970815984E-2</v>
      </c>
      <c r="J365" s="1234">
        <f t="shared" si="187"/>
        <v>7.5585795068321623E-2</v>
      </c>
      <c r="K365" s="1076">
        <f t="shared" si="187"/>
        <v>7.2820363798164908E-2</v>
      </c>
      <c r="L365" s="1221"/>
      <c r="M365" s="1232">
        <f t="shared" si="188"/>
        <v>0</v>
      </c>
      <c r="N365" s="1235">
        <f t="shared" si="188"/>
        <v>8.1803005603376347E-2</v>
      </c>
      <c r="O365" s="1232">
        <f t="shared" si="188"/>
        <v>8.3677129738093173E-2</v>
      </c>
      <c r="P365" s="1233">
        <f t="shared" si="188"/>
        <v>7.5144597353519318E-2</v>
      </c>
      <c r="Q365" s="1233">
        <f t="shared" si="188"/>
        <v>7.2327726239724915E-2</v>
      </c>
      <c r="R365" s="1232">
        <f t="shared" si="188"/>
        <v>0</v>
      </c>
      <c r="S365" s="1233">
        <f t="shared" si="188"/>
        <v>0</v>
      </c>
      <c r="T365" s="1233">
        <f t="shared" si="188"/>
        <v>0</v>
      </c>
      <c r="U365" s="1236"/>
      <c r="V365" s="1221"/>
      <c r="W365" s="1256">
        <f t="shared" si="189"/>
        <v>8.3677129738093173E-2</v>
      </c>
      <c r="X365" s="1234">
        <f t="shared" si="189"/>
        <v>8.4277019583690507E-2</v>
      </c>
      <c r="Y365" s="1256">
        <f t="shared" si="189"/>
        <v>0</v>
      </c>
      <c r="Z365" s="1076">
        <f t="shared" si="189"/>
        <v>0</v>
      </c>
    </row>
    <row r="366" spans="1:26">
      <c r="A366" s="1052" t="s">
        <v>941</v>
      </c>
      <c r="B366" s="1053"/>
      <c r="C366" s="1252">
        <f t="shared" si="187"/>
        <v>6.3338949078594626E-3</v>
      </c>
      <c r="D366" s="1249">
        <f t="shared" si="187"/>
        <v>0</v>
      </c>
      <c r="E366" s="1250">
        <f t="shared" si="187"/>
        <v>0</v>
      </c>
      <c r="F366" s="1250">
        <f t="shared" si="187"/>
        <v>0</v>
      </c>
      <c r="G366" s="1251">
        <f t="shared" si="187"/>
        <v>0</v>
      </c>
      <c r="H366" s="1253">
        <f t="shared" si="187"/>
        <v>6.06125163653831E-3</v>
      </c>
      <c r="I366" s="1253">
        <f t="shared" si="187"/>
        <v>5.7296803737233847E-3</v>
      </c>
      <c r="J366" s="1253">
        <f t="shared" si="187"/>
        <v>5.3828954371676783E-3</v>
      </c>
      <c r="K366" s="1254">
        <f t="shared" si="187"/>
        <v>5.0766524427961358E-3</v>
      </c>
      <c r="L366" s="1221"/>
      <c r="M366" s="1232">
        <f t="shared" si="188"/>
        <v>0</v>
      </c>
      <c r="N366" s="1235">
        <f t="shared" si="188"/>
        <v>6.0376252868771735E-3</v>
      </c>
      <c r="O366" s="1232">
        <f t="shared" si="188"/>
        <v>6.0376252868771735E-3</v>
      </c>
      <c r="P366" s="1233">
        <f t="shared" si="188"/>
        <v>6.0376252868771744E-3</v>
      </c>
      <c r="Q366" s="1233">
        <f t="shared" si="188"/>
        <v>6.0376252868771735E-3</v>
      </c>
      <c r="R366" s="1232">
        <f t="shared" si="188"/>
        <v>4.7057811730396977E-2</v>
      </c>
      <c r="S366" s="1233">
        <f t="shared" si="188"/>
        <v>8.3290647216362701E-2</v>
      </c>
      <c r="T366" s="1233">
        <f t="shared" si="188"/>
        <v>0.10861205341629745</v>
      </c>
      <c r="U366" s="1236"/>
      <c r="V366" s="1221"/>
      <c r="W366" s="1256">
        <f t="shared" si="189"/>
        <v>6.0376252868771735E-3</v>
      </c>
      <c r="X366" s="1234">
        <f t="shared" si="189"/>
        <v>5.7435474021672343E-3</v>
      </c>
      <c r="Y366" s="1256">
        <f t="shared" si="189"/>
        <v>4.7057811730396977E-2</v>
      </c>
      <c r="Z366" s="1076">
        <f t="shared" si="189"/>
        <v>4.7057811730396977E-2</v>
      </c>
    </row>
    <row r="367" spans="1:26">
      <c r="A367" s="1052" t="s">
        <v>942</v>
      </c>
      <c r="B367" s="1053"/>
      <c r="C367" s="1252">
        <f t="shared" si="187"/>
        <v>9.8931904375443584E-4</v>
      </c>
      <c r="D367" s="1249">
        <f t="shared" si="187"/>
        <v>7.0922346833546864E-4</v>
      </c>
      <c r="E367" s="1250">
        <f t="shared" si="187"/>
        <v>0</v>
      </c>
      <c r="F367" s="1250">
        <f t="shared" si="187"/>
        <v>0</v>
      </c>
      <c r="G367" s="1251">
        <f t="shared" si="187"/>
        <v>0</v>
      </c>
      <c r="H367" s="1253">
        <f t="shared" si="187"/>
        <v>9.4673368602536678E-4</v>
      </c>
      <c r="I367" s="1253">
        <f t="shared" si="187"/>
        <v>8.9494410482194729E-4</v>
      </c>
      <c r="J367" s="1253">
        <f t="shared" si="187"/>
        <v>8.4077823266704007E-4</v>
      </c>
      <c r="K367" s="1254">
        <f t="shared" si="187"/>
        <v>7.9294478567185805E-4</v>
      </c>
      <c r="L367" s="1221"/>
      <c r="M367" s="1232">
        <f t="shared" si="188"/>
        <v>0</v>
      </c>
      <c r="N367" s="1235">
        <f t="shared" si="188"/>
        <v>9.4304338203482214E-4</v>
      </c>
      <c r="O367" s="1232">
        <f t="shared" si="188"/>
        <v>9.4304338203482214E-4</v>
      </c>
      <c r="P367" s="1233">
        <f t="shared" si="188"/>
        <v>9.4304338203482236E-4</v>
      </c>
      <c r="Q367" s="1233">
        <f t="shared" si="188"/>
        <v>9.4304338203482236E-4</v>
      </c>
      <c r="R367" s="1232">
        <f t="shared" si="188"/>
        <v>7.3501676266406303E-3</v>
      </c>
      <c r="S367" s="1233">
        <f t="shared" si="188"/>
        <v>1.300953436337126E-2</v>
      </c>
      <c r="T367" s="1233">
        <f t="shared" si="188"/>
        <v>1.696459672747087E-2</v>
      </c>
      <c r="U367" s="1236"/>
      <c r="V367" s="1221"/>
      <c r="W367" s="1256">
        <f t="shared" si="189"/>
        <v>9.4304338203482214E-4</v>
      </c>
      <c r="X367" s="1234">
        <f t="shared" si="189"/>
        <v>8.9711005729185042E-4</v>
      </c>
      <c r="Y367" s="1256">
        <f t="shared" si="189"/>
        <v>7.3501676266406303E-3</v>
      </c>
      <c r="Z367" s="1076">
        <f t="shared" si="189"/>
        <v>7.3501676266406321E-3</v>
      </c>
    </row>
    <row r="368" spans="1:26">
      <c r="A368" s="1052" t="s">
        <v>950</v>
      </c>
      <c r="B368" s="1053"/>
      <c r="C368" s="1252">
        <f t="shared" si="187"/>
        <v>7.940764102644101E-3</v>
      </c>
      <c r="D368" s="1249">
        <f t="shared" si="187"/>
        <v>3.4826087441661303E-2</v>
      </c>
      <c r="E368" s="1250">
        <f t="shared" si="187"/>
        <v>2.5755264569889771E-2</v>
      </c>
      <c r="F368" s="1250">
        <f t="shared" si="187"/>
        <v>2.4195370390550981E-2</v>
      </c>
      <c r="G368" s="1251">
        <f t="shared" si="187"/>
        <v>2.2816873274227906E-2</v>
      </c>
      <c r="H368" s="1253">
        <f t="shared" si="187"/>
        <v>3.4741978795061815E-2</v>
      </c>
      <c r="I368" s="1253">
        <f t="shared" si="187"/>
        <v>2.5693081921891642E-2</v>
      </c>
      <c r="J368" s="1253">
        <f t="shared" si="187"/>
        <v>2.4136936829880655E-2</v>
      </c>
      <c r="K368" s="1254">
        <f t="shared" si="187"/>
        <v>2.2761766054826167E-2</v>
      </c>
      <c r="L368" s="1221"/>
      <c r="M368" s="1232">
        <f t="shared" si="188"/>
        <v>0</v>
      </c>
      <c r="N368" s="1235">
        <f t="shared" si="188"/>
        <v>3.4606556907281434E-2</v>
      </c>
      <c r="O368" s="1232">
        <f t="shared" si="188"/>
        <v>3.4606556907281434E-2</v>
      </c>
      <c r="P368" s="1233">
        <f t="shared" si="188"/>
        <v>3.4606556907281434E-2</v>
      </c>
      <c r="Q368" s="1233">
        <f t="shared" si="188"/>
        <v>3.4606556907281434E-2</v>
      </c>
      <c r="R368" s="1232">
        <f t="shared" si="188"/>
        <v>1.2692511215743103</v>
      </c>
      <c r="S368" s="1233">
        <f t="shared" si="188"/>
        <v>1.2879924909883793</v>
      </c>
      <c r="T368" s="1233">
        <f t="shared" si="188"/>
        <v>1.3093435013185435</v>
      </c>
      <c r="U368" s="1236"/>
      <c r="V368" s="1221"/>
      <c r="W368" s="1256">
        <f t="shared" si="189"/>
        <v>3.4606556907281434E-2</v>
      </c>
      <c r="X368" s="1234">
        <f t="shared" si="189"/>
        <v>2.5755264569889771E-2</v>
      </c>
      <c r="Y368" s="1256">
        <f t="shared" si="189"/>
        <v>1.2692511215743103</v>
      </c>
      <c r="Z368" s="1076">
        <f t="shared" si="189"/>
        <v>1.2692511215743103</v>
      </c>
    </row>
    <row r="369" spans="1:26">
      <c r="A369" s="1052" t="s">
        <v>549</v>
      </c>
      <c r="B369" s="1053"/>
      <c r="C369" s="1236">
        <f t="shared" si="187"/>
        <v>0</v>
      </c>
      <c r="D369" s="1249">
        <f t="shared" si="187"/>
        <v>0.10489570062009414</v>
      </c>
      <c r="E369" s="1233">
        <f t="shared" si="187"/>
        <v>0.14112959818746523</v>
      </c>
      <c r="F369" s="1233">
        <f t="shared" si="187"/>
        <v>0</v>
      </c>
      <c r="G369" s="1051">
        <f t="shared" si="187"/>
        <v>0</v>
      </c>
      <c r="H369" s="1234">
        <f t="shared" si="187"/>
        <v>0</v>
      </c>
      <c r="I369" s="1234">
        <f t="shared" si="187"/>
        <v>0</v>
      </c>
      <c r="J369" s="1234">
        <f t="shared" si="187"/>
        <v>0</v>
      </c>
      <c r="K369" s="1076">
        <f t="shared" si="187"/>
        <v>0</v>
      </c>
      <c r="L369" s="1221"/>
      <c r="M369" s="1232">
        <f t="shared" si="188"/>
        <v>0</v>
      </c>
      <c r="N369" s="1235">
        <f t="shared" si="188"/>
        <v>0</v>
      </c>
      <c r="O369" s="1232">
        <f t="shared" si="188"/>
        <v>0</v>
      </c>
      <c r="P369" s="1233">
        <f t="shared" si="188"/>
        <v>0</v>
      </c>
      <c r="Q369" s="1233">
        <f t="shared" si="188"/>
        <v>0</v>
      </c>
      <c r="R369" s="1232">
        <f t="shared" si="188"/>
        <v>0</v>
      </c>
      <c r="S369" s="1233">
        <f t="shared" si="188"/>
        <v>0</v>
      </c>
      <c r="T369" s="1233">
        <f t="shared" si="188"/>
        <v>0</v>
      </c>
      <c r="U369" s="1236"/>
      <c r="V369" s="1221"/>
      <c r="W369" s="1256">
        <f t="shared" si="189"/>
        <v>0</v>
      </c>
      <c r="X369" s="1234">
        <f t="shared" si="189"/>
        <v>0.14112959818746523</v>
      </c>
      <c r="Y369" s="1256">
        <f t="shared" si="189"/>
        <v>-19.685813627430463</v>
      </c>
      <c r="Z369" s="1076">
        <f t="shared" si="189"/>
        <v>-19.685813627430466</v>
      </c>
    </row>
    <row r="370" spans="1:26">
      <c r="A370" s="1052" t="s">
        <v>972</v>
      </c>
      <c r="B370" s="1053"/>
      <c r="C370" s="1236">
        <f t="shared" si="187"/>
        <v>0</v>
      </c>
      <c r="D370" s="1277">
        <f t="shared" si="187"/>
        <v>0</v>
      </c>
      <c r="E370" s="1233">
        <f t="shared" si="187"/>
        <v>0</v>
      </c>
      <c r="F370" s="1233">
        <f t="shared" si="187"/>
        <v>4.1989959339262195E-2</v>
      </c>
      <c r="G370" s="1051">
        <f t="shared" si="187"/>
        <v>3.9601076898105943E-2</v>
      </c>
      <c r="H370" s="1234">
        <f t="shared" si="187"/>
        <v>0</v>
      </c>
      <c r="I370" s="1234">
        <f t="shared" si="187"/>
        <v>0</v>
      </c>
      <c r="J370" s="1234">
        <f t="shared" si="187"/>
        <v>0</v>
      </c>
      <c r="K370" s="1076">
        <f t="shared" si="187"/>
        <v>0</v>
      </c>
      <c r="L370" s="1221"/>
      <c r="M370" s="1232">
        <f t="shared" si="188"/>
        <v>0</v>
      </c>
      <c r="N370" s="1235">
        <f t="shared" si="188"/>
        <v>0</v>
      </c>
      <c r="O370" s="1232">
        <f t="shared" si="188"/>
        <v>0</v>
      </c>
      <c r="P370" s="1233">
        <f t="shared" si="188"/>
        <v>0</v>
      </c>
      <c r="Q370" s="1233">
        <f t="shared" si="188"/>
        <v>0</v>
      </c>
      <c r="R370" s="1232">
        <f t="shared" si="188"/>
        <v>0</v>
      </c>
      <c r="S370" s="1233">
        <f t="shared" si="188"/>
        <v>0</v>
      </c>
      <c r="T370" s="1233">
        <f t="shared" si="188"/>
        <v>0</v>
      </c>
      <c r="U370" s="1236"/>
      <c r="V370" s="1221"/>
      <c r="W370" s="1256">
        <f t="shared" si="189"/>
        <v>0</v>
      </c>
      <c r="X370" s="1234">
        <f t="shared" si="189"/>
        <v>0</v>
      </c>
      <c r="Y370" s="1256">
        <f t="shared" si="189"/>
        <v>0</v>
      </c>
      <c r="Z370" s="1076">
        <f t="shared" si="189"/>
        <v>0</v>
      </c>
    </row>
    <row r="371" spans="1:26">
      <c r="A371" s="1052" t="s">
        <v>432</v>
      </c>
      <c r="B371" s="1053"/>
      <c r="C371" s="1236">
        <f t="shared" si="187"/>
        <v>1.7491350358152551</v>
      </c>
      <c r="D371" s="1232">
        <f t="shared" si="187"/>
        <v>1.8598124951981518</v>
      </c>
      <c r="E371" s="1233">
        <f t="shared" si="187"/>
        <v>1.4808342051002295</v>
      </c>
      <c r="F371" s="1233">
        <f t="shared" si="187"/>
        <v>1.3191217533248731</v>
      </c>
      <c r="G371" s="1051">
        <f t="shared" si="187"/>
        <v>1.3484258781950558</v>
      </c>
      <c r="H371" s="1234">
        <f t="shared" si="187"/>
        <v>1.7713856739372678</v>
      </c>
      <c r="I371" s="1234">
        <f t="shared" si="187"/>
        <v>1.6497832654788582</v>
      </c>
      <c r="J371" s="1234">
        <f t="shared" si="187"/>
        <v>1.615011262313252</v>
      </c>
      <c r="K371" s="1076">
        <f t="shared" si="187"/>
        <v>1.6638621090781969</v>
      </c>
      <c r="L371" s="1221"/>
      <c r="M371" s="1232">
        <f t="shared" si="188"/>
        <v>0</v>
      </c>
      <c r="N371" s="1235">
        <f t="shared" si="188"/>
        <v>1.7644809321732264</v>
      </c>
      <c r="O371" s="1232">
        <f t="shared" si="188"/>
        <v>1.7644809321732267</v>
      </c>
      <c r="P371" s="1233">
        <f t="shared" si="188"/>
        <v>1.7644809321732267</v>
      </c>
      <c r="Q371" s="1233">
        <f t="shared" si="188"/>
        <v>1.7644809321732267</v>
      </c>
      <c r="R371" s="1232">
        <f t="shared" si="188"/>
        <v>17.206422073331137</v>
      </c>
      <c r="S371" s="1233">
        <f t="shared" si="188"/>
        <v>19.288197321352737</v>
      </c>
      <c r="T371" s="1233">
        <f t="shared" si="188"/>
        <v>12.208148035148884</v>
      </c>
      <c r="U371" s="1236"/>
      <c r="V371" s="1221"/>
      <c r="W371" s="1232">
        <f t="shared" si="189"/>
        <v>1.7644809321732267</v>
      </c>
      <c r="X371" s="1233">
        <f t="shared" si="189"/>
        <v>1.4808342051002295</v>
      </c>
      <c r="Y371" s="1232">
        <f t="shared" si="189"/>
        <v>41.329651363485311</v>
      </c>
      <c r="Z371" s="1051">
        <f t="shared" si="189"/>
        <v>41.329651363485311</v>
      </c>
    </row>
    <row r="372" spans="1:26">
      <c r="A372" s="790" t="s">
        <v>38</v>
      </c>
      <c r="B372" s="1060" t="s">
        <v>998</v>
      </c>
      <c r="C372" s="1224">
        <f t="shared" ref="C372:K387" si="190">C148/C$179*100</f>
        <v>0.42331757390636954</v>
      </c>
      <c r="D372" s="1243">
        <f t="shared" si="190"/>
        <v>0.3288420994457652</v>
      </c>
      <c r="E372" s="1272">
        <f t="shared" si="190"/>
        <v>0.25584015418142364</v>
      </c>
      <c r="F372" s="1272">
        <f t="shared" si="190"/>
        <v>0.24132049531867375</v>
      </c>
      <c r="G372" s="1273">
        <f t="shared" si="190"/>
        <v>0.24038843704072757</v>
      </c>
      <c r="H372" s="1274">
        <f t="shared" si="190"/>
        <v>0.49826282490999285</v>
      </c>
      <c r="I372" s="1274">
        <f t="shared" si="190"/>
        <v>0.46253829440967947</v>
      </c>
      <c r="J372" s="1274">
        <f t="shared" si="190"/>
        <v>0.37480576509167279</v>
      </c>
      <c r="K372" s="1275">
        <f t="shared" si="190"/>
        <v>0.33569340573175138</v>
      </c>
      <c r="L372" s="1221"/>
      <c r="M372" s="1247">
        <f t="shared" ref="M372:T387" si="191">M148/M$179*100</f>
        <v>-0.11368602185887643</v>
      </c>
      <c r="N372" s="1248">
        <f t="shared" si="191"/>
        <v>0.38263460819923056</v>
      </c>
      <c r="O372" s="1247">
        <f t="shared" si="191"/>
        <v>0.48438497785041829</v>
      </c>
      <c r="P372" s="1244">
        <f t="shared" si="191"/>
        <v>0.40193311152501054</v>
      </c>
      <c r="Q372" s="1244">
        <f t="shared" si="191"/>
        <v>0.37694238480161074</v>
      </c>
      <c r="R372" s="1247">
        <f t="shared" si="191"/>
        <v>3.3755762127811293</v>
      </c>
      <c r="S372" s="1244">
        <f t="shared" si="191"/>
        <v>3.5585132236818464</v>
      </c>
      <c r="T372" s="1244">
        <f t="shared" si="191"/>
        <v>4.7490344972984726</v>
      </c>
      <c r="U372" s="1224"/>
      <c r="V372" s="1271"/>
      <c r="W372" s="1247">
        <f t="shared" ref="W372:Z387" si="192">W148/W$179*100</f>
        <v>0.48438497785041829</v>
      </c>
      <c r="X372" s="1244">
        <f t="shared" si="192"/>
        <v>0.27543335446780481</v>
      </c>
      <c r="Y372" s="1247">
        <f t="shared" si="192"/>
        <v>29.630522768133673</v>
      </c>
      <c r="Z372" s="1067">
        <f t="shared" si="192"/>
        <v>29.630522768133673</v>
      </c>
    </row>
    <row r="373" spans="1:26">
      <c r="A373" s="1052" t="s">
        <v>960</v>
      </c>
      <c r="B373" s="1060"/>
      <c r="C373" s="1236">
        <f t="shared" si="190"/>
        <v>7.3512241188557564E-2</v>
      </c>
      <c r="D373" s="1232">
        <f t="shared" si="190"/>
        <v>3.674132177711896E-2</v>
      </c>
      <c r="E373" s="1233">
        <f t="shared" si="190"/>
        <v>2.0935169692936274E-2</v>
      </c>
      <c r="F373" s="1233">
        <f t="shared" si="190"/>
        <v>8.0677141740249605E-2</v>
      </c>
      <c r="G373" s="1051">
        <f t="shared" si="190"/>
        <v>9.2764987029248125E-2</v>
      </c>
      <c r="H373" s="1234">
        <f t="shared" si="190"/>
        <v>4.9915703751429917E-2</v>
      </c>
      <c r="I373" s="1234">
        <f t="shared" si="190"/>
        <v>9.1613273383154642E-2</v>
      </c>
      <c r="J373" s="1234">
        <f t="shared" si="190"/>
        <v>8.623003818327972E-2</v>
      </c>
      <c r="K373" s="1076">
        <f t="shared" si="190"/>
        <v>6.7406540872947604E-2</v>
      </c>
      <c r="L373" s="1221"/>
      <c r="M373" s="1232">
        <f t="shared" si="191"/>
        <v>0</v>
      </c>
      <c r="N373" s="1235">
        <f t="shared" si="191"/>
        <v>4.9721135708205341E-2</v>
      </c>
      <c r="O373" s="1232">
        <f t="shared" si="191"/>
        <v>9.1181308656081692E-2</v>
      </c>
      <c r="P373" s="1233">
        <f t="shared" si="191"/>
        <v>8.5726709538533827E-2</v>
      </c>
      <c r="Q373" s="1233">
        <f t="shared" si="191"/>
        <v>6.6950528406289622E-2</v>
      </c>
      <c r="R373" s="1232">
        <f t="shared" si="191"/>
        <v>0</v>
      </c>
      <c r="S373" s="1233">
        <f t="shared" si="191"/>
        <v>0</v>
      </c>
      <c r="T373" s="1233">
        <f t="shared" si="191"/>
        <v>0</v>
      </c>
      <c r="U373" s="1236"/>
      <c r="V373" s="1221"/>
      <c r="W373" s="1232">
        <f t="shared" si="192"/>
        <v>9.1181308656081692E-2</v>
      </c>
      <c r="X373" s="1233">
        <f t="shared" si="192"/>
        <v>2.0935169692936274E-2</v>
      </c>
      <c r="Y373" s="1232">
        <f t="shared" si="192"/>
        <v>9.8896390201149629</v>
      </c>
      <c r="Z373" s="1051">
        <f t="shared" si="192"/>
        <v>9.8896390201149647</v>
      </c>
    </row>
    <row r="374" spans="1:26">
      <c r="A374" s="1052" t="s">
        <v>430</v>
      </c>
      <c r="B374" s="1053"/>
      <c r="C374" s="1236">
        <f t="shared" si="190"/>
        <v>0</v>
      </c>
      <c r="D374" s="1232">
        <f t="shared" si="190"/>
        <v>0</v>
      </c>
      <c r="E374" s="1233">
        <f t="shared" si="190"/>
        <v>0</v>
      </c>
      <c r="F374" s="1233">
        <f t="shared" si="190"/>
        <v>0</v>
      </c>
      <c r="G374" s="1051">
        <f t="shared" si="190"/>
        <v>0</v>
      </c>
      <c r="H374" s="1234">
        <f t="shared" si="190"/>
        <v>2.0676997852588253E-2</v>
      </c>
      <c r="I374" s="1234">
        <f t="shared" si="190"/>
        <v>1.954589511996524E-2</v>
      </c>
      <c r="J374" s="1234">
        <f t="shared" si="190"/>
        <v>1.8362893354249489E-2</v>
      </c>
      <c r="K374" s="1076">
        <f t="shared" si="190"/>
        <v>1.7318193989052537E-2</v>
      </c>
      <c r="L374" s="1221"/>
      <c r="M374" s="1232">
        <f t="shared" si="191"/>
        <v>0</v>
      </c>
      <c r="N374" s="1235">
        <f t="shared" si="191"/>
        <v>2.0596400310941419E-2</v>
      </c>
      <c r="O374" s="1232">
        <f t="shared" si="191"/>
        <v>1.9453734487132258E-2</v>
      </c>
      <c r="P374" s="1233">
        <f t="shared" si="191"/>
        <v>1.8255708312698623E-2</v>
      </c>
      <c r="Q374" s="1233">
        <f t="shared" si="191"/>
        <v>1.7201034552346017E-2</v>
      </c>
      <c r="R374" s="1232">
        <f t="shared" si="191"/>
        <v>0</v>
      </c>
      <c r="S374" s="1233">
        <f t="shared" si="191"/>
        <v>0</v>
      </c>
      <c r="T374" s="1233">
        <f t="shared" si="191"/>
        <v>0</v>
      </c>
      <c r="U374" s="1236"/>
      <c r="V374" s="1221"/>
      <c r="W374" s="1232">
        <f t="shared" si="192"/>
        <v>1.9453734487132258E-2</v>
      </c>
      <c r="X374" s="1233">
        <f t="shared" si="192"/>
        <v>1.9593200286381167E-2</v>
      </c>
      <c r="Y374" s="1232">
        <f t="shared" si="192"/>
        <v>0</v>
      </c>
      <c r="Z374" s="1051">
        <f t="shared" si="192"/>
        <v>0</v>
      </c>
    </row>
    <row r="375" spans="1:26">
      <c r="A375" s="1052" t="s">
        <v>999</v>
      </c>
      <c r="B375" s="1053"/>
      <c r="C375" s="1236">
        <f t="shared" si="190"/>
        <v>7.13212216886603E-3</v>
      </c>
      <c r="D375" s="1249">
        <f t="shared" si="190"/>
        <v>6.8416423912094886E-3</v>
      </c>
      <c r="E375" s="1233">
        <f t="shared" si="190"/>
        <v>6.4673762907085357E-3</v>
      </c>
      <c r="F375" s="1221">
        <f t="shared" si="190"/>
        <v>6.0759471163912395E-3</v>
      </c>
      <c r="G375" s="1051">
        <f t="shared" si="190"/>
        <v>5.7302758271559296E-3</v>
      </c>
      <c r="H375" s="1234">
        <f t="shared" si="190"/>
        <v>6.8251191086843924E-3</v>
      </c>
      <c r="I375" s="1234">
        <f t="shared" si="190"/>
        <v>6.4517616740438445E-3</v>
      </c>
      <c r="J375" s="1234">
        <f t="shared" si="190"/>
        <v>6.0612732668603401E-3</v>
      </c>
      <c r="K375" s="1076">
        <f t="shared" si="190"/>
        <v>5.7164360883168565E-3</v>
      </c>
      <c r="L375" s="1221"/>
      <c r="M375" s="1232">
        <f t="shared" si="191"/>
        <v>-6.7985152551884188E-3</v>
      </c>
      <c r="N375" s="1235">
        <f t="shared" si="191"/>
        <v>0</v>
      </c>
      <c r="O375" s="1232">
        <f t="shared" si="191"/>
        <v>6.4213410442840908E-3</v>
      </c>
      <c r="P375" s="1233">
        <f t="shared" si="191"/>
        <v>6.0258933398288934E-3</v>
      </c>
      <c r="Q375" s="1233">
        <f t="shared" si="191"/>
        <v>5.6777637860837612E-3</v>
      </c>
      <c r="R375" s="1232">
        <f t="shared" si="191"/>
        <v>0</v>
      </c>
      <c r="S375" s="1233">
        <f t="shared" si="191"/>
        <v>0</v>
      </c>
      <c r="T375" s="1233">
        <f t="shared" si="191"/>
        <v>0</v>
      </c>
      <c r="U375" s="1236"/>
      <c r="V375" s="1221"/>
      <c r="W375" s="1232">
        <f t="shared" si="192"/>
        <v>6.4213410442840908E-3</v>
      </c>
      <c r="X375" s="1233">
        <f t="shared" si="192"/>
        <v>6.4673762907085357E-3</v>
      </c>
      <c r="Y375" s="1232">
        <f t="shared" si="192"/>
        <v>0</v>
      </c>
      <c r="Z375" s="1051">
        <f t="shared" si="192"/>
        <v>0</v>
      </c>
    </row>
    <row r="376" spans="1:26">
      <c r="A376" s="1052" t="s">
        <v>1000</v>
      </c>
      <c r="B376" s="1053"/>
      <c r="C376" s="1236">
        <f t="shared" si="190"/>
        <v>0.18370882822904797</v>
      </c>
      <c r="D376" s="1249">
        <f t="shared" si="190"/>
        <v>9.1844439149443208E-2</v>
      </c>
      <c r="E376" s="1233">
        <f t="shared" si="190"/>
        <v>0</v>
      </c>
      <c r="F376" s="1221">
        <f t="shared" si="190"/>
        <v>0</v>
      </c>
      <c r="G376" s="1051">
        <f t="shared" si="190"/>
        <v>0</v>
      </c>
      <c r="H376" s="1234">
        <f t="shared" si="190"/>
        <v>9.1622625215061718E-2</v>
      </c>
      <c r="I376" s="1234">
        <f t="shared" si="190"/>
        <v>8.9174314776003363E-2</v>
      </c>
      <c r="J376" s="1234">
        <f t="shared" si="190"/>
        <v>8.3777101131449067E-2</v>
      </c>
      <c r="K376" s="1076">
        <f t="shared" si="190"/>
        <v>7.9010865076943423E-2</v>
      </c>
      <c r="L376" s="1221"/>
      <c r="M376" s="1232">
        <f t="shared" si="191"/>
        <v>0</v>
      </c>
      <c r="N376" s="1235">
        <f t="shared" si="191"/>
        <v>9.1265486407764371E-2</v>
      </c>
      <c r="O376" s="1232">
        <f t="shared" si="191"/>
        <v>8.8753849955550662E-2</v>
      </c>
      <c r="P376" s="1233">
        <f t="shared" si="191"/>
        <v>8.3288090391553465E-2</v>
      </c>
      <c r="Q376" s="1233">
        <f t="shared" si="191"/>
        <v>7.847634811449565E-2</v>
      </c>
      <c r="R376" s="1232">
        <f t="shared" si="191"/>
        <v>0</v>
      </c>
      <c r="S376" s="1233">
        <f t="shared" si="191"/>
        <v>0</v>
      </c>
      <c r="T376" s="1233">
        <f t="shared" si="191"/>
        <v>0</v>
      </c>
      <c r="U376" s="1236"/>
      <c r="V376" s="1221"/>
      <c r="W376" s="1232">
        <f t="shared" si="192"/>
        <v>8.8753849955550662E-2</v>
      </c>
      <c r="X376" s="1233">
        <f t="shared" si="192"/>
        <v>0</v>
      </c>
      <c r="Y376" s="1232">
        <f t="shared" si="192"/>
        <v>12.468805741133391</v>
      </c>
      <c r="Z376" s="1051">
        <f t="shared" si="192"/>
        <v>12.468805741133391</v>
      </c>
    </row>
    <row r="377" spans="1:26">
      <c r="A377" s="1052" t="s">
        <v>1001</v>
      </c>
      <c r="B377" s="1053"/>
      <c r="C377" s="1236">
        <f t="shared" si="190"/>
        <v>0</v>
      </c>
      <c r="D377" s="1249">
        <f t="shared" si="190"/>
        <v>1.2493630972554834E-2</v>
      </c>
      <c r="E377" s="1233">
        <f t="shared" si="190"/>
        <v>7.0439426635498639E-2</v>
      </c>
      <c r="F377" s="1221">
        <f t="shared" si="190"/>
        <v>0</v>
      </c>
      <c r="G377" s="1051">
        <f t="shared" si="190"/>
        <v>0</v>
      </c>
      <c r="H377" s="1234">
        <f t="shared" si="190"/>
        <v>1.2463457545982718E-2</v>
      </c>
      <c r="I377" s="1234">
        <f t="shared" si="190"/>
        <v>7.0269360043490658E-2</v>
      </c>
      <c r="J377" s="1234">
        <f t="shared" si="190"/>
        <v>0</v>
      </c>
      <c r="K377" s="1076">
        <f t="shared" si="190"/>
        <v>0</v>
      </c>
      <c r="L377" s="1221"/>
      <c r="M377" s="1232">
        <f t="shared" si="191"/>
        <v>0</v>
      </c>
      <c r="N377" s="1235">
        <f t="shared" si="191"/>
        <v>1.2414875829923773E-2</v>
      </c>
      <c r="O377" s="1232">
        <f t="shared" si="191"/>
        <v>6.9938033764973914E-2</v>
      </c>
      <c r="P377" s="1233">
        <f t="shared" si="191"/>
        <v>0</v>
      </c>
      <c r="Q377" s="1233">
        <f t="shared" si="191"/>
        <v>0</v>
      </c>
      <c r="R377" s="1232">
        <f t="shared" si="191"/>
        <v>0</v>
      </c>
      <c r="S377" s="1233">
        <f t="shared" si="191"/>
        <v>0</v>
      </c>
      <c r="T377" s="1233">
        <f t="shared" si="191"/>
        <v>0</v>
      </c>
      <c r="U377" s="1236"/>
      <c r="V377" s="1221"/>
      <c r="W377" s="1232">
        <f t="shared" si="192"/>
        <v>6.9938033764973914E-2</v>
      </c>
      <c r="X377" s="1233">
        <f t="shared" si="192"/>
        <v>7.0439426635498639E-2</v>
      </c>
      <c r="Y377" s="1232">
        <f t="shared" si="192"/>
        <v>0</v>
      </c>
      <c r="Z377" s="1051">
        <f t="shared" si="192"/>
        <v>0</v>
      </c>
    </row>
    <row r="378" spans="1:26">
      <c r="A378" s="1052" t="s">
        <v>549</v>
      </c>
      <c r="B378" s="1053"/>
      <c r="C378" s="1236">
        <f t="shared" si="190"/>
        <v>0</v>
      </c>
      <c r="D378" s="1249">
        <f t="shared" si="190"/>
        <v>0</v>
      </c>
      <c r="E378" s="1233">
        <f t="shared" si="190"/>
        <v>3.5910556039589155E-2</v>
      </c>
      <c r="F378" s="1233">
        <f t="shared" si="190"/>
        <v>4.700913255197442E-2</v>
      </c>
      <c r="G378" s="1051">
        <f t="shared" si="190"/>
        <v>4.4584305140306008E-2</v>
      </c>
      <c r="H378" s="1234">
        <f t="shared" si="190"/>
        <v>0</v>
      </c>
      <c r="I378" s="1234">
        <f t="shared" si="190"/>
        <v>0</v>
      </c>
      <c r="J378" s="1234">
        <f t="shared" si="190"/>
        <v>0</v>
      </c>
      <c r="K378" s="1076">
        <f t="shared" si="190"/>
        <v>0</v>
      </c>
      <c r="L378" s="1221"/>
      <c r="M378" s="1232">
        <f t="shared" si="191"/>
        <v>0</v>
      </c>
      <c r="N378" s="1235">
        <f t="shared" si="191"/>
        <v>0</v>
      </c>
      <c r="O378" s="1232">
        <f t="shared" si="191"/>
        <v>0</v>
      </c>
      <c r="P378" s="1233">
        <f t="shared" si="191"/>
        <v>0</v>
      </c>
      <c r="Q378" s="1233">
        <f t="shared" si="191"/>
        <v>0</v>
      </c>
      <c r="R378" s="1232">
        <f t="shared" si="191"/>
        <v>0</v>
      </c>
      <c r="S378" s="1233">
        <f t="shared" si="191"/>
        <v>0</v>
      </c>
      <c r="T378" s="1233">
        <f t="shared" si="191"/>
        <v>0</v>
      </c>
      <c r="U378" s="1236"/>
      <c r="V378" s="1221"/>
      <c r="W378" s="1256">
        <f t="shared" si="192"/>
        <v>0</v>
      </c>
      <c r="X378" s="1234">
        <f t="shared" si="192"/>
        <v>3.5910556039589155E-2</v>
      </c>
      <c r="Y378" s="1256">
        <f t="shared" si="192"/>
        <v>-5.0090733802963321</v>
      </c>
      <c r="Z378" s="1076">
        <f t="shared" si="192"/>
        <v>-5.0090733802963321</v>
      </c>
    </row>
    <row r="379" spans="1:26">
      <c r="A379" s="1052" t="s">
        <v>432</v>
      </c>
      <c r="B379" s="1053"/>
      <c r="C379" s="1236">
        <f t="shared" si="190"/>
        <v>0.15896438231989796</v>
      </c>
      <c r="D379" s="1232">
        <f t="shared" si="190"/>
        <v>0.18092106515543871</v>
      </c>
      <c r="E379" s="1233">
        <f t="shared" si="190"/>
        <v>0.12208762552269105</v>
      </c>
      <c r="F379" s="1233">
        <f t="shared" si="190"/>
        <v>0.10755827391005846</v>
      </c>
      <c r="G379" s="1051">
        <f t="shared" si="190"/>
        <v>9.7308869044017518E-2</v>
      </c>
      <c r="H379" s="1234">
        <f t="shared" si="190"/>
        <v>0.3167589214362459</v>
      </c>
      <c r="I379" s="1234">
        <f t="shared" si="190"/>
        <v>0.18548368941302174</v>
      </c>
      <c r="J379" s="1234">
        <f t="shared" si="190"/>
        <v>0.18037445915583417</v>
      </c>
      <c r="K379" s="1076">
        <f t="shared" si="190"/>
        <v>0.16624136970449097</v>
      </c>
      <c r="L379" s="1221"/>
      <c r="M379" s="1232">
        <f t="shared" si="191"/>
        <v>-0.106887506603688</v>
      </c>
      <c r="N379" s="1235">
        <f t="shared" si="191"/>
        <v>0.20863670994239569</v>
      </c>
      <c r="O379" s="1232">
        <f t="shared" si="191"/>
        <v>0.20863670994239575</v>
      </c>
      <c r="P379" s="1233">
        <f t="shared" si="191"/>
        <v>0.20863670994239575</v>
      </c>
      <c r="Q379" s="1233">
        <f t="shared" si="191"/>
        <v>0.20863670994239575</v>
      </c>
      <c r="R379" s="1232">
        <f t="shared" si="191"/>
        <v>3.3755762127811293</v>
      </c>
      <c r="S379" s="1233">
        <f t="shared" si="191"/>
        <v>3.5585132236818464</v>
      </c>
      <c r="T379" s="1233">
        <f t="shared" si="191"/>
        <v>4.7490344972984726</v>
      </c>
      <c r="U379" s="1236"/>
      <c r="V379" s="1221"/>
      <c r="W379" s="1232">
        <f t="shared" si="192"/>
        <v>0.20863670994239575</v>
      </c>
      <c r="X379" s="1233">
        <f t="shared" si="192"/>
        <v>0.12208762552269105</v>
      </c>
      <c r="Y379" s="1232">
        <f t="shared" si="192"/>
        <v>12.281151387181646</v>
      </c>
      <c r="Z379" s="1051">
        <f t="shared" si="192"/>
        <v>12.281151387181646</v>
      </c>
    </row>
    <row r="380" spans="1:26">
      <c r="A380" s="790" t="s">
        <v>1002</v>
      </c>
      <c r="B380" s="1060" t="s">
        <v>1003</v>
      </c>
      <c r="C380" s="1224">
        <f t="shared" si="190"/>
        <v>2.0327139649589032</v>
      </c>
      <c r="D380" s="1247">
        <f t="shared" si="190"/>
        <v>1.8958441658333638</v>
      </c>
      <c r="E380" s="1244">
        <f t="shared" si="190"/>
        <v>2.0747260454717811</v>
      </c>
      <c r="F380" s="1244">
        <f t="shared" si="190"/>
        <v>2.394340963953574</v>
      </c>
      <c r="G380" s="1067">
        <f t="shared" si="190"/>
        <v>2.4902998603604778</v>
      </c>
      <c r="H380" s="1245">
        <f t="shared" si="190"/>
        <v>1.9896367213365871</v>
      </c>
      <c r="I380" s="1245">
        <f t="shared" si="190"/>
        <v>2.1149255231932957</v>
      </c>
      <c r="J380" s="1245">
        <f t="shared" si="190"/>
        <v>2.1096966247931142</v>
      </c>
      <c r="K380" s="1246">
        <f t="shared" si="190"/>
        <v>2.1773289416454347</v>
      </c>
      <c r="L380" s="1221"/>
      <c r="M380" s="1247">
        <f t="shared" si="191"/>
        <v>0</v>
      </c>
      <c r="N380" s="1248">
        <f t="shared" si="191"/>
        <v>1.9818812517247393</v>
      </c>
      <c r="O380" s="1247">
        <f t="shared" si="191"/>
        <v>1.9305971371277806</v>
      </c>
      <c r="P380" s="1244">
        <f t="shared" si="191"/>
        <v>1.8801625311520818</v>
      </c>
      <c r="Q380" s="1244">
        <f t="shared" si="191"/>
        <v>1.8695726995323434</v>
      </c>
      <c r="R380" s="1247">
        <f t="shared" si="191"/>
        <v>-24.494882619169605</v>
      </c>
      <c r="S380" s="1244">
        <f t="shared" si="191"/>
        <v>-26.367948490483766</v>
      </c>
      <c r="T380" s="1244">
        <f t="shared" si="191"/>
        <v>-31.97594190205087</v>
      </c>
      <c r="U380" s="1224"/>
      <c r="V380" s="1271"/>
      <c r="W380" s="1247">
        <f t="shared" si="192"/>
        <v>1.9305971371277806</v>
      </c>
      <c r="X380" s="1244">
        <f t="shared" si="192"/>
        <v>2.0941732359334715</v>
      </c>
      <c r="Y380" s="1247">
        <f t="shared" si="192"/>
        <v>-20.886222554469608</v>
      </c>
      <c r="Z380" s="1067">
        <f t="shared" si="192"/>
        <v>-20.886222554469608</v>
      </c>
    </row>
    <row r="381" spans="1:26">
      <c r="A381" s="1052" t="s">
        <v>953</v>
      </c>
      <c r="B381" s="1060"/>
      <c r="C381" s="1236">
        <f t="shared" si="190"/>
        <v>1.7108754734180213E-3</v>
      </c>
      <c r="D381" s="1232">
        <f t="shared" si="190"/>
        <v>5.8156324403508281E-3</v>
      </c>
      <c r="E381" s="1233">
        <f t="shared" si="190"/>
        <v>0.13156389052906375</v>
      </c>
      <c r="F381" s="1233">
        <f t="shared" si="190"/>
        <v>0.38690680374550174</v>
      </c>
      <c r="G381" s="1051">
        <f t="shared" si="190"/>
        <v>0.3877569422493255</v>
      </c>
      <c r="H381" s="1234">
        <f t="shared" si="190"/>
        <v>0.11764972376899897</v>
      </c>
      <c r="I381" s="1234">
        <f t="shared" si="190"/>
        <v>0.11342786606196772</v>
      </c>
      <c r="J381" s="1234">
        <f t="shared" si="190"/>
        <v>0.10843343848159462</v>
      </c>
      <c r="K381" s="1076">
        <f t="shared" si="190"/>
        <v>0.10437966063607848</v>
      </c>
      <c r="L381" s="1221"/>
      <c r="M381" s="1232">
        <f t="shared" si="191"/>
        <v>0</v>
      </c>
      <c r="N381" s="1235">
        <f t="shared" si="191"/>
        <v>0.11719113308872652</v>
      </c>
      <c r="O381" s="1232">
        <f t="shared" si="191"/>
        <v>0.11289304359141802</v>
      </c>
      <c r="P381" s="1233">
        <f t="shared" si="191"/>
        <v>0.10780050758203877</v>
      </c>
      <c r="Q381" s="1233">
        <f t="shared" si="191"/>
        <v>0.1036735210552728</v>
      </c>
      <c r="R381" s="1232">
        <f t="shared" si="191"/>
        <v>0</v>
      </c>
      <c r="S381" s="1233">
        <f t="shared" si="191"/>
        <v>0</v>
      </c>
      <c r="T381" s="1233">
        <f t="shared" si="191"/>
        <v>0</v>
      </c>
      <c r="U381" s="1236"/>
      <c r="V381" s="1221"/>
      <c r="W381" s="1232">
        <f t="shared" si="192"/>
        <v>0.11289304359141802</v>
      </c>
      <c r="X381" s="1233">
        <f t="shared" si="192"/>
        <v>0.13156389052906375</v>
      </c>
      <c r="Y381" s="1232">
        <f t="shared" si="192"/>
        <v>-2.4914565599024576</v>
      </c>
      <c r="Z381" s="1051">
        <f t="shared" si="192"/>
        <v>-2.4914565599024576</v>
      </c>
    </row>
    <row r="382" spans="1:26">
      <c r="A382" s="1052" t="s">
        <v>960</v>
      </c>
      <c r="B382" s="1060"/>
      <c r="C382" s="1236">
        <f t="shared" si="190"/>
        <v>2.9215951405258497E-2</v>
      </c>
      <c r="D382" s="1232">
        <f t="shared" si="190"/>
        <v>4.015386869892652E-3</v>
      </c>
      <c r="E382" s="1233">
        <f t="shared" si="190"/>
        <v>3.1139717361952694E-2</v>
      </c>
      <c r="F382" s="1233">
        <f t="shared" si="190"/>
        <v>9.7310103657815727E-2</v>
      </c>
      <c r="G382" s="1051">
        <f t="shared" si="190"/>
        <v>9.5697718040929608E-2</v>
      </c>
      <c r="H382" s="1234">
        <f t="shared" si="190"/>
        <v>2.6930663996036802E-2</v>
      </c>
      <c r="I382" s="1234">
        <f t="shared" si="190"/>
        <v>2.5964257720656355E-2</v>
      </c>
      <c r="J382" s="1234">
        <f t="shared" si="190"/>
        <v>2.4821005983970086E-2</v>
      </c>
      <c r="K382" s="1076">
        <f t="shared" si="190"/>
        <v>2.3893074106403369E-2</v>
      </c>
      <c r="L382" s="1221"/>
      <c r="M382" s="1232">
        <f t="shared" si="191"/>
        <v>0</v>
      </c>
      <c r="N382" s="1235">
        <f t="shared" si="191"/>
        <v>2.6825690085971531E-2</v>
      </c>
      <c r="O382" s="1232">
        <f t="shared" si="191"/>
        <v>2.584183393766316E-2</v>
      </c>
      <c r="P382" s="1233">
        <f t="shared" si="191"/>
        <v>2.467612464602394E-2</v>
      </c>
      <c r="Q382" s="1233">
        <f t="shared" si="191"/>
        <v>2.3731434901688206E-2</v>
      </c>
      <c r="R382" s="1232">
        <f t="shared" si="191"/>
        <v>0</v>
      </c>
      <c r="S382" s="1233">
        <f t="shared" si="191"/>
        <v>0</v>
      </c>
      <c r="T382" s="1233">
        <f t="shared" si="191"/>
        <v>0</v>
      </c>
      <c r="U382" s="1236"/>
      <c r="V382" s="1221"/>
      <c r="W382" s="1232">
        <f t="shared" si="192"/>
        <v>2.584183393766316E-2</v>
      </c>
      <c r="X382" s="1233">
        <f t="shared" si="192"/>
        <v>3.1139717361952694E-2</v>
      </c>
      <c r="Y382" s="1232">
        <f t="shared" si="192"/>
        <v>-0.71314663517058241</v>
      </c>
      <c r="Z382" s="1051">
        <f t="shared" si="192"/>
        <v>-0.71314663517058241</v>
      </c>
    </row>
    <row r="383" spans="1:26">
      <c r="A383" s="1052" t="s">
        <v>1004</v>
      </c>
      <c r="B383" s="1053"/>
      <c r="C383" s="1236">
        <f t="shared" si="190"/>
        <v>0.84308387343632729</v>
      </c>
      <c r="D383" s="1232">
        <f t="shared" si="190"/>
        <v>0.78150161403265017</v>
      </c>
      <c r="E383" s="1233">
        <f t="shared" si="190"/>
        <v>0.85828161906904321</v>
      </c>
      <c r="F383" s="1233">
        <f t="shared" si="190"/>
        <v>0.88718485589960128</v>
      </c>
      <c r="G383" s="1051">
        <f t="shared" si="190"/>
        <v>0.86633493881525958</v>
      </c>
      <c r="H383" s="1234">
        <f t="shared" si="190"/>
        <v>0.7049942399849175</v>
      </c>
      <c r="I383" s="1234">
        <f t="shared" si="190"/>
        <v>0.85620941267966577</v>
      </c>
      <c r="J383" s="1234">
        <f t="shared" si="190"/>
        <v>0.88504224062791081</v>
      </c>
      <c r="K383" s="1076">
        <f t="shared" si="190"/>
        <v>0.86424257019950335</v>
      </c>
      <c r="L383" s="1221"/>
      <c r="M383" s="1255">
        <f t="shared" si="191"/>
        <v>0</v>
      </c>
      <c r="N383" s="1235">
        <f t="shared" si="191"/>
        <v>0.70224622003429149</v>
      </c>
      <c r="O383" s="1232">
        <f t="shared" si="191"/>
        <v>0.70224622003429149</v>
      </c>
      <c r="P383" s="1233">
        <f t="shared" si="191"/>
        <v>0.7022462200342916</v>
      </c>
      <c r="Q383" s="1233">
        <f t="shared" si="191"/>
        <v>0.70224622003429149</v>
      </c>
      <c r="R383" s="1232">
        <f t="shared" si="191"/>
        <v>-21.062740176367736</v>
      </c>
      <c r="S383" s="1233">
        <f t="shared" si="191"/>
        <v>-21.562217536256163</v>
      </c>
      <c r="T383" s="1233">
        <f t="shared" si="191"/>
        <v>-17.039531973638493</v>
      </c>
      <c r="U383" s="1236"/>
      <c r="V383" s="1221"/>
      <c r="W383" s="1232">
        <f t="shared" si="192"/>
        <v>0.70224622003429149</v>
      </c>
      <c r="X383" s="1233">
        <f t="shared" si="192"/>
        <v>0.85828161906904321</v>
      </c>
      <c r="Y383" s="1232">
        <f t="shared" si="192"/>
        <v>-21.062740176367736</v>
      </c>
      <c r="Z383" s="1051">
        <f t="shared" si="192"/>
        <v>-21.062740176367736</v>
      </c>
    </row>
    <row r="384" spans="1:26">
      <c r="A384" s="1052" t="s">
        <v>1005</v>
      </c>
      <c r="B384" s="1053"/>
      <c r="C384" s="1236">
        <f t="shared" si="190"/>
        <v>7.5943300170936812E-2</v>
      </c>
      <c r="D384" s="1232">
        <f t="shared" si="190"/>
        <v>7.4747425406102838E-2</v>
      </c>
      <c r="E384" s="1233">
        <f t="shared" si="190"/>
        <v>7.2165773623947951E-2</v>
      </c>
      <c r="F384" s="1233">
        <f t="shared" si="190"/>
        <v>7.1829074194725381E-2</v>
      </c>
      <c r="G384" s="1051">
        <f t="shared" si="190"/>
        <v>7.3481778238280476E-2</v>
      </c>
      <c r="H384" s="1234">
        <f t="shared" si="190"/>
        <v>7.4566902549544942E-2</v>
      </c>
      <c r="I384" s="1234">
        <f t="shared" si="190"/>
        <v>7.1991538997602217E-2</v>
      </c>
      <c r="J384" s="1234">
        <f t="shared" si="190"/>
        <v>7.1655601811492511E-2</v>
      </c>
      <c r="K384" s="1076">
        <f t="shared" si="190"/>
        <v>7.3304305346761175E-2</v>
      </c>
      <c r="L384" s="1221"/>
      <c r="M384" s="1255">
        <f t="shared" si="191"/>
        <v>0</v>
      </c>
      <c r="N384" s="1235">
        <f t="shared" si="191"/>
        <v>7.4276245797701257E-2</v>
      </c>
      <c r="O384" s="1232">
        <f t="shared" si="191"/>
        <v>7.1652092492240485E-2</v>
      </c>
      <c r="P384" s="1233">
        <f t="shared" si="191"/>
        <v>7.1237344813025572E-2</v>
      </c>
      <c r="Q384" s="1233">
        <f t="shared" si="191"/>
        <v>7.2808393871926197E-2</v>
      </c>
      <c r="R384" s="1232">
        <f t="shared" si="191"/>
        <v>0</v>
      </c>
      <c r="S384" s="1233">
        <f t="shared" si="191"/>
        <v>0</v>
      </c>
      <c r="T384" s="1233">
        <f t="shared" si="191"/>
        <v>0</v>
      </c>
      <c r="U384" s="1236"/>
      <c r="V384" s="1221"/>
      <c r="W384" s="1232">
        <f t="shared" si="192"/>
        <v>7.1652092492240485E-2</v>
      </c>
      <c r="X384" s="1233">
        <f t="shared" si="192"/>
        <v>7.2165773623947951E-2</v>
      </c>
      <c r="Y384" s="1232">
        <f t="shared" si="192"/>
        <v>0</v>
      </c>
      <c r="Z384" s="1051">
        <f t="shared" si="192"/>
        <v>0</v>
      </c>
    </row>
    <row r="385" spans="1:26">
      <c r="A385" s="1052" t="s">
        <v>1006</v>
      </c>
      <c r="B385" s="1053"/>
      <c r="C385" s="1236">
        <f t="shared" si="190"/>
        <v>8.4628026682023155E-2</v>
      </c>
      <c r="D385" s="1232">
        <f t="shared" si="190"/>
        <v>5.8848999324249411E-2</v>
      </c>
      <c r="E385" s="1233">
        <f t="shared" si="190"/>
        <v>0.1014956793107224</v>
      </c>
      <c r="F385" s="1233">
        <f t="shared" si="190"/>
        <v>9.7509838347153779E-2</v>
      </c>
      <c r="G385" s="1051">
        <f t="shared" si="190"/>
        <v>9.8105146707719276E-2</v>
      </c>
      <c r="H385" s="1234">
        <f t="shared" si="190"/>
        <v>6.5113381489710326E-2</v>
      </c>
      <c r="I385" s="1234">
        <f t="shared" si="190"/>
        <v>0.10125063154261334</v>
      </c>
      <c r="J385" s="1234">
        <f t="shared" si="190"/>
        <v>9.7274345070421916E-2</v>
      </c>
      <c r="K385" s="1076">
        <f t="shared" si="190"/>
        <v>9.7868203556960395E-2</v>
      </c>
      <c r="L385" s="1221"/>
      <c r="M385" s="1255">
        <f t="shared" si="191"/>
        <v>0</v>
      </c>
      <c r="N385" s="1235">
        <f t="shared" si="191"/>
        <v>6.4859573924714808E-2</v>
      </c>
      <c r="O385" s="1232">
        <f t="shared" si="191"/>
        <v>6.2480791109511026E-2</v>
      </c>
      <c r="P385" s="1233">
        <f t="shared" si="191"/>
        <v>5.9662320914205966E-2</v>
      </c>
      <c r="Q385" s="1233">
        <f t="shared" si="191"/>
        <v>5.7378235244376137E-2</v>
      </c>
      <c r="R385" s="1232">
        <f t="shared" si="191"/>
        <v>-5.379608095191152</v>
      </c>
      <c r="S385" s="1233">
        <f t="shared" si="191"/>
        <v>-4.4967391914509065</v>
      </c>
      <c r="T385" s="1233">
        <f t="shared" si="191"/>
        <v>-4.3461410015685775</v>
      </c>
      <c r="U385" s="1236"/>
      <c r="V385" s="1221"/>
      <c r="W385" s="1232">
        <f t="shared" si="192"/>
        <v>6.2480791109511026E-2</v>
      </c>
      <c r="X385" s="1233">
        <f t="shared" si="192"/>
        <v>0.1014956793107224</v>
      </c>
      <c r="Y385" s="1232">
        <f t="shared" si="192"/>
        <v>-5.379608095191152</v>
      </c>
      <c r="Z385" s="1051">
        <f t="shared" si="192"/>
        <v>-5.3796080951911511</v>
      </c>
    </row>
    <row r="386" spans="1:26">
      <c r="A386" s="1052" t="s">
        <v>1007</v>
      </c>
      <c r="B386" s="1053"/>
      <c r="C386" s="1236">
        <f t="shared" si="190"/>
        <v>2.6269819025234079E-2</v>
      </c>
      <c r="D386" s="1232">
        <f t="shared" si="190"/>
        <v>1.6834601060056242E-2</v>
      </c>
      <c r="E386" s="1233">
        <f t="shared" si="190"/>
        <v>1.5444380630645023E-2</v>
      </c>
      <c r="F386" s="1233">
        <f t="shared" si="190"/>
        <v>3.2543268236911678E-2</v>
      </c>
      <c r="G386" s="1051">
        <f t="shared" si="190"/>
        <v>0.16197038456709822</v>
      </c>
      <c r="H386" s="1234">
        <f t="shared" si="190"/>
        <v>3.4481709221864026E-2</v>
      </c>
      <c r="I386" s="1234">
        <f t="shared" si="190"/>
        <v>3.2127276255924618E-2</v>
      </c>
      <c r="J386" s="1234">
        <f t="shared" si="190"/>
        <v>3.2464673902200654E-2</v>
      </c>
      <c r="K386" s="1076">
        <f t="shared" si="190"/>
        <v>0.16157919435397622</v>
      </c>
      <c r="L386" s="1221"/>
      <c r="M386" s="1255">
        <f t="shared" si="191"/>
        <v>0</v>
      </c>
      <c r="N386" s="1235">
        <f t="shared" si="191"/>
        <v>3.4347301847308179E-2</v>
      </c>
      <c r="O386" s="1232">
        <f t="shared" si="191"/>
        <v>3.4347301847308186E-2</v>
      </c>
      <c r="P386" s="1233">
        <f t="shared" si="191"/>
        <v>3.4347301847308186E-2</v>
      </c>
      <c r="Q386" s="1233">
        <f t="shared" si="191"/>
        <v>3.4347301847308186E-2</v>
      </c>
      <c r="R386" s="1232">
        <f t="shared" si="191"/>
        <v>0.33316728790024924</v>
      </c>
      <c r="S386" s="1233">
        <f t="shared" si="191"/>
        <v>0.25153199527748699</v>
      </c>
      <c r="T386" s="1233">
        <f t="shared" si="191"/>
        <v>-13.764653889878076</v>
      </c>
      <c r="U386" s="1236"/>
      <c r="V386" s="1221"/>
      <c r="W386" s="1232">
        <f t="shared" si="192"/>
        <v>3.4347301847308186E-2</v>
      </c>
      <c r="X386" s="1233">
        <f t="shared" si="192"/>
        <v>1.5444380630645023E-2</v>
      </c>
      <c r="Y386" s="1232">
        <f t="shared" si="192"/>
        <v>2.67106836436276</v>
      </c>
      <c r="Z386" s="1051">
        <f t="shared" si="192"/>
        <v>2.67106836436276</v>
      </c>
    </row>
    <row r="387" spans="1:26">
      <c r="A387" s="1052" t="s">
        <v>1008</v>
      </c>
      <c r="B387" s="1053"/>
      <c r="C387" s="1236">
        <f t="shared" si="190"/>
        <v>3.7473091580022107E-2</v>
      </c>
      <c r="D387" s="1232">
        <f t="shared" si="190"/>
        <v>1.0992963759199765E-2</v>
      </c>
      <c r="E387" s="1233">
        <f t="shared" si="190"/>
        <v>1.0391603231442535E-2</v>
      </c>
      <c r="F387" s="1233">
        <f t="shared" si="190"/>
        <v>9.7626655463784601E-3</v>
      </c>
      <c r="G387" s="1051">
        <f t="shared" si="190"/>
        <v>3.7819028437691173E-2</v>
      </c>
      <c r="H387" s="1234">
        <f t="shared" si="190"/>
        <v>1.0966414601030552E-2</v>
      </c>
      <c r="I387" s="1234">
        <f t="shared" si="190"/>
        <v>1.0366514092710392E-2</v>
      </c>
      <c r="J387" s="1234">
        <f t="shared" si="190"/>
        <v>9.7390880065309545E-3</v>
      </c>
      <c r="K387" s="1076">
        <f t="shared" si="190"/>
        <v>3.7727688074240484E-2</v>
      </c>
      <c r="L387" s="1221"/>
      <c r="M387" s="1255">
        <f t="shared" si="191"/>
        <v>0</v>
      </c>
      <c r="N387" s="1235">
        <f t="shared" si="191"/>
        <v>1.0923668257299983E-2</v>
      </c>
      <c r="O387" s="1232">
        <f t="shared" si="191"/>
        <v>1.0317635057332764E-2</v>
      </c>
      <c r="P387" s="1233">
        <f t="shared" si="191"/>
        <v>9.6822405080180911E-3</v>
      </c>
      <c r="Q387" s="1233">
        <f t="shared" si="191"/>
        <v>3.7472456224671678E-2</v>
      </c>
      <c r="R387" s="1232">
        <f t="shared" si="191"/>
        <v>0</v>
      </c>
      <c r="S387" s="1233">
        <f t="shared" si="191"/>
        <v>0</v>
      </c>
      <c r="T387" s="1233">
        <f t="shared" si="191"/>
        <v>0</v>
      </c>
      <c r="U387" s="1236"/>
      <c r="V387" s="1221"/>
      <c r="W387" s="1232">
        <f t="shared" si="192"/>
        <v>1.0317635057332764E-2</v>
      </c>
      <c r="X387" s="1233">
        <f t="shared" si="192"/>
        <v>1.0391603231442535E-2</v>
      </c>
      <c r="Y387" s="1232">
        <f t="shared" si="192"/>
        <v>0</v>
      </c>
      <c r="Z387" s="1051">
        <f t="shared" si="192"/>
        <v>0</v>
      </c>
    </row>
    <row r="388" spans="1:26">
      <c r="A388" s="1052" t="s">
        <v>547</v>
      </c>
      <c r="B388" s="1053"/>
      <c r="C388" s="1236">
        <f t="shared" ref="C388:K402" si="193">C164/C$179*100</f>
        <v>0</v>
      </c>
      <c r="D388" s="1232">
        <f t="shared" si="193"/>
        <v>0</v>
      </c>
      <c r="E388" s="1233">
        <f t="shared" si="193"/>
        <v>4.4193268315838988E-2</v>
      </c>
      <c r="F388" s="1233">
        <f t="shared" si="193"/>
        <v>0.13468998536122032</v>
      </c>
      <c r="G388" s="1051">
        <f t="shared" si="193"/>
        <v>0.22223866948217216</v>
      </c>
      <c r="H388" s="1234">
        <f t="shared" si="193"/>
        <v>0</v>
      </c>
      <c r="I388" s="1234">
        <f t="shared" si="193"/>
        <v>0</v>
      </c>
      <c r="J388" s="1234">
        <f t="shared" si="193"/>
        <v>0</v>
      </c>
      <c r="K388" s="1076">
        <f t="shared" si="193"/>
        <v>0</v>
      </c>
      <c r="L388" s="1221"/>
      <c r="M388" s="1255">
        <f t="shared" ref="M388:T402" si="194">M164/M$179*100</f>
        <v>0</v>
      </c>
      <c r="N388" s="1235">
        <f t="shared" si="194"/>
        <v>0</v>
      </c>
      <c r="O388" s="1232">
        <f t="shared" si="194"/>
        <v>0</v>
      </c>
      <c r="P388" s="1233">
        <f t="shared" si="194"/>
        <v>0</v>
      </c>
      <c r="Q388" s="1233">
        <f t="shared" si="194"/>
        <v>0</v>
      </c>
      <c r="R388" s="1232">
        <f t="shared" si="194"/>
        <v>0</v>
      </c>
      <c r="S388" s="1233">
        <f t="shared" si="194"/>
        <v>0</v>
      </c>
      <c r="T388" s="1233">
        <f t="shared" si="194"/>
        <v>0</v>
      </c>
      <c r="U388" s="1236"/>
      <c r="V388" s="1221"/>
      <c r="W388" s="1232">
        <f t="shared" ref="W388:Z402" si="195">W164/W$179*100</f>
        <v>0</v>
      </c>
      <c r="X388" s="1233">
        <f t="shared" si="195"/>
        <v>4.4193268315838988E-2</v>
      </c>
      <c r="Y388" s="1232">
        <f t="shared" si="195"/>
        <v>-6.1644081385183407</v>
      </c>
      <c r="Z388" s="1051">
        <f t="shared" si="195"/>
        <v>-6.1644081385183425</v>
      </c>
    </row>
    <row r="389" spans="1:26">
      <c r="A389" s="1052" t="s">
        <v>971</v>
      </c>
      <c r="B389" s="1053"/>
      <c r="C389" s="1236">
        <f t="shared" si="193"/>
        <v>0</v>
      </c>
      <c r="D389" s="1232">
        <f t="shared" si="193"/>
        <v>1.678613745638665E-2</v>
      </c>
      <c r="E389" s="1233">
        <f t="shared" si="193"/>
        <v>5.9187481342367843E-2</v>
      </c>
      <c r="F389" s="1233">
        <f t="shared" si="193"/>
        <v>0.12667658268020315</v>
      </c>
      <c r="G389" s="1051">
        <f t="shared" si="193"/>
        <v>0.11946972968886294</v>
      </c>
      <c r="H389" s="1234">
        <f t="shared" si="193"/>
        <v>0</v>
      </c>
      <c r="I389" s="1234">
        <f t="shared" si="193"/>
        <v>0</v>
      </c>
      <c r="J389" s="1234">
        <f t="shared" si="193"/>
        <v>0</v>
      </c>
      <c r="K389" s="1076">
        <f t="shared" si="193"/>
        <v>0</v>
      </c>
      <c r="L389" s="1221"/>
      <c r="M389" s="1255">
        <f t="shared" si="194"/>
        <v>0</v>
      </c>
      <c r="N389" s="1235">
        <f t="shared" si="194"/>
        <v>0</v>
      </c>
      <c r="O389" s="1232">
        <f t="shared" si="194"/>
        <v>0</v>
      </c>
      <c r="P389" s="1233">
        <f t="shared" si="194"/>
        <v>0</v>
      </c>
      <c r="Q389" s="1233">
        <f t="shared" si="194"/>
        <v>0</v>
      </c>
      <c r="R389" s="1232">
        <f t="shared" si="194"/>
        <v>0</v>
      </c>
      <c r="S389" s="1233">
        <f t="shared" si="194"/>
        <v>0</v>
      </c>
      <c r="T389" s="1233">
        <f t="shared" si="194"/>
        <v>0</v>
      </c>
      <c r="U389" s="1236"/>
      <c r="V389" s="1221"/>
      <c r="W389" s="1232">
        <f t="shared" si="195"/>
        <v>0</v>
      </c>
      <c r="X389" s="1233">
        <f t="shared" si="195"/>
        <v>5.9187481342367843E-2</v>
      </c>
      <c r="Y389" s="1232">
        <f t="shared" si="195"/>
        <v>-8.255913300590386</v>
      </c>
      <c r="Z389" s="1051">
        <f t="shared" si="195"/>
        <v>-8.2559133005903877</v>
      </c>
    </row>
    <row r="390" spans="1:26">
      <c r="A390" s="1052" t="s">
        <v>961</v>
      </c>
      <c r="B390" s="1053"/>
      <c r="C390" s="1236">
        <f t="shared" si="193"/>
        <v>0</v>
      </c>
      <c r="D390" s="1232">
        <f t="shared" si="193"/>
        <v>0</v>
      </c>
      <c r="E390" s="1233">
        <f t="shared" si="193"/>
        <v>-9.3620523478456355E-2</v>
      </c>
      <c r="F390" s="1233">
        <f t="shared" si="193"/>
        <v>-0.2481753561808083</v>
      </c>
      <c r="G390" s="1051">
        <f t="shared" si="193"/>
        <v>-0.3292681040039141</v>
      </c>
      <c r="H390" s="1234">
        <f t="shared" si="193"/>
        <v>0</v>
      </c>
      <c r="I390" s="1234">
        <f t="shared" si="193"/>
        <v>0</v>
      </c>
      <c r="J390" s="1234">
        <f t="shared" si="193"/>
        <v>0</v>
      </c>
      <c r="K390" s="1076">
        <f t="shared" si="193"/>
        <v>0</v>
      </c>
      <c r="L390" s="1221"/>
      <c r="M390" s="1255">
        <f t="shared" si="194"/>
        <v>0</v>
      </c>
      <c r="N390" s="1235">
        <f t="shared" si="194"/>
        <v>0</v>
      </c>
      <c r="O390" s="1232">
        <f t="shared" si="194"/>
        <v>0</v>
      </c>
      <c r="P390" s="1233">
        <f t="shared" si="194"/>
        <v>0</v>
      </c>
      <c r="Q390" s="1233">
        <f t="shared" si="194"/>
        <v>0</v>
      </c>
      <c r="R390" s="1232">
        <f t="shared" si="194"/>
        <v>0</v>
      </c>
      <c r="S390" s="1233">
        <f t="shared" si="194"/>
        <v>0</v>
      </c>
      <c r="T390" s="1233">
        <f t="shared" si="194"/>
        <v>0</v>
      </c>
      <c r="U390" s="1236"/>
      <c r="V390" s="1221"/>
      <c r="W390" s="1232">
        <f t="shared" si="195"/>
        <v>0</v>
      </c>
      <c r="X390" s="1233">
        <f t="shared" si="195"/>
        <v>-9.3620523478456355E-2</v>
      </c>
      <c r="Y390" s="1232">
        <f t="shared" si="195"/>
        <v>13.058891972832528</v>
      </c>
      <c r="Z390" s="1051">
        <f t="shared" si="195"/>
        <v>13.058891972832528</v>
      </c>
    </row>
    <row r="391" spans="1:26">
      <c r="A391" s="1052" t="s">
        <v>1009</v>
      </c>
      <c r="B391" s="1053"/>
      <c r="C391" s="1236">
        <f t="shared" si="193"/>
        <v>2.6552861261272185E-2</v>
      </c>
      <c r="D391" s="1232">
        <f t="shared" si="193"/>
        <v>0</v>
      </c>
      <c r="E391" s="1233">
        <f t="shared" si="193"/>
        <v>0</v>
      </c>
      <c r="F391" s="1233">
        <f t="shared" si="193"/>
        <v>0</v>
      </c>
      <c r="G391" s="1051">
        <f t="shared" si="193"/>
        <v>0</v>
      </c>
      <c r="H391" s="1234">
        <f t="shared" si="193"/>
        <v>0</v>
      </c>
      <c r="I391" s="1234">
        <f t="shared" si="193"/>
        <v>0</v>
      </c>
      <c r="J391" s="1234">
        <f t="shared" si="193"/>
        <v>0</v>
      </c>
      <c r="K391" s="1076">
        <f t="shared" si="193"/>
        <v>0</v>
      </c>
      <c r="L391" s="1221"/>
      <c r="M391" s="1255">
        <f t="shared" si="194"/>
        <v>0</v>
      </c>
      <c r="N391" s="1235">
        <f t="shared" si="194"/>
        <v>0</v>
      </c>
      <c r="O391" s="1232">
        <f t="shared" si="194"/>
        <v>0</v>
      </c>
      <c r="P391" s="1233">
        <f t="shared" si="194"/>
        <v>0</v>
      </c>
      <c r="Q391" s="1233">
        <f t="shared" si="194"/>
        <v>0</v>
      </c>
      <c r="R391" s="1232">
        <f t="shared" si="194"/>
        <v>0</v>
      </c>
      <c r="S391" s="1233">
        <f t="shared" si="194"/>
        <v>0</v>
      </c>
      <c r="T391" s="1233">
        <f t="shared" si="194"/>
        <v>0</v>
      </c>
      <c r="U391" s="1236"/>
      <c r="V391" s="1221"/>
      <c r="W391" s="1232">
        <f t="shared" si="195"/>
        <v>0</v>
      </c>
      <c r="X391" s="1233">
        <f t="shared" si="195"/>
        <v>0</v>
      </c>
      <c r="Y391" s="1232">
        <f t="shared" si="195"/>
        <v>0</v>
      </c>
      <c r="Z391" s="1051">
        <f t="shared" si="195"/>
        <v>0</v>
      </c>
    </row>
    <row r="392" spans="1:26">
      <c r="A392" s="1052" t="s">
        <v>1010</v>
      </c>
      <c r="B392" s="1053"/>
      <c r="C392" s="1236">
        <f t="shared" si="193"/>
        <v>0</v>
      </c>
      <c r="D392" s="1232">
        <f t="shared" si="193"/>
        <v>0</v>
      </c>
      <c r="E392" s="1233">
        <f t="shared" si="193"/>
        <v>0</v>
      </c>
      <c r="F392" s="1233">
        <f t="shared" si="193"/>
        <v>0</v>
      </c>
      <c r="G392" s="1051">
        <f t="shared" si="193"/>
        <v>0</v>
      </c>
      <c r="H392" s="1234">
        <f t="shared" si="193"/>
        <v>1.0376822418179448E-2</v>
      </c>
      <c r="I392" s="1234">
        <f t="shared" si="193"/>
        <v>3.4053441455086288E-3</v>
      </c>
      <c r="J392" s="1234">
        <f t="shared" si="193"/>
        <v>3.2952675516291349E-3</v>
      </c>
      <c r="K392" s="1076">
        <f t="shared" si="193"/>
        <v>3.201026435011016E-3</v>
      </c>
      <c r="L392" s="1221"/>
      <c r="M392" s="1255">
        <f t="shared" si="194"/>
        <v>0</v>
      </c>
      <c r="N392" s="1235">
        <f t="shared" si="194"/>
        <v>1.0336374264972028E-2</v>
      </c>
      <c r="O392" s="1232">
        <f t="shared" si="194"/>
        <v>3.389287645177591E-3</v>
      </c>
      <c r="P392" s="1233">
        <f t="shared" si="194"/>
        <v>3.2760329254387663E-3</v>
      </c>
      <c r="Q392" s="1233">
        <f t="shared" si="194"/>
        <v>3.1793711484236482E-3</v>
      </c>
      <c r="R392" s="1232">
        <f t="shared" si="194"/>
        <v>0</v>
      </c>
      <c r="S392" s="1233">
        <f t="shared" si="194"/>
        <v>0</v>
      </c>
      <c r="T392" s="1233">
        <f t="shared" si="194"/>
        <v>0</v>
      </c>
      <c r="U392" s="1236"/>
      <c r="V392" s="1221"/>
      <c r="W392" s="1232">
        <f t="shared" si="195"/>
        <v>3.389287645177591E-3</v>
      </c>
      <c r="X392" s="1233">
        <f t="shared" si="195"/>
        <v>3.4135857926942954E-3</v>
      </c>
      <c r="Y392" s="1232">
        <f t="shared" si="195"/>
        <v>0</v>
      </c>
      <c r="Z392" s="1051">
        <f t="shared" si="195"/>
        <v>0</v>
      </c>
    </row>
    <row r="393" spans="1:26">
      <c r="A393" s="1052" t="s">
        <v>940</v>
      </c>
      <c r="B393" s="1053"/>
      <c r="C393" s="1236">
        <f t="shared" si="193"/>
        <v>3.7641847349764765E-2</v>
      </c>
      <c r="D393" s="1232">
        <f t="shared" si="193"/>
        <v>1.6204574212351566E-2</v>
      </c>
      <c r="E393" s="1233">
        <f t="shared" si="193"/>
        <v>1.976480811604656E-2</v>
      </c>
      <c r="F393" s="1233">
        <f t="shared" si="193"/>
        <v>1.8617298222045379E-2</v>
      </c>
      <c r="G393" s="1051">
        <f t="shared" si="193"/>
        <v>1.7450709548611613E-2</v>
      </c>
      <c r="H393" s="1234">
        <f t="shared" si="193"/>
        <v>1.6165438469411594E-2</v>
      </c>
      <c r="I393" s="1234">
        <f t="shared" si="193"/>
        <v>1.9717088625435406E-2</v>
      </c>
      <c r="J393" s="1234">
        <f t="shared" si="193"/>
        <v>1.8572336107078116E-2</v>
      </c>
      <c r="K393" s="1076">
        <f t="shared" si="193"/>
        <v>1.7408562665984291E-2</v>
      </c>
      <c r="L393" s="1221"/>
      <c r="M393" s="1232">
        <f t="shared" si="194"/>
        <v>0</v>
      </c>
      <c r="N393" s="1235">
        <f t="shared" si="194"/>
        <v>1.6102426681647901E-2</v>
      </c>
      <c r="O393" s="1232">
        <f t="shared" si="194"/>
        <v>1.6120748315471636E-2</v>
      </c>
      <c r="P393" s="1233">
        <f t="shared" si="194"/>
        <v>1.6132620681499038E-2</v>
      </c>
      <c r="Q393" s="1233">
        <f t="shared" si="194"/>
        <v>1.6217150173385285E-2</v>
      </c>
      <c r="R393" s="1232">
        <f t="shared" si="194"/>
        <v>-0.49218001213904772</v>
      </c>
      <c r="S393" s="1233">
        <f t="shared" si="194"/>
        <v>-0.28299369648162903</v>
      </c>
      <c r="T393" s="1233">
        <f t="shared" si="194"/>
        <v>-0.11715909279188988</v>
      </c>
      <c r="U393" s="1236"/>
      <c r="V393" s="1221"/>
      <c r="W393" s="1232">
        <f t="shared" si="195"/>
        <v>1.6120748315471636E-2</v>
      </c>
      <c r="X393" s="1233">
        <f t="shared" si="195"/>
        <v>1.976480811604656E-2</v>
      </c>
      <c r="Y393" s="1232">
        <f t="shared" si="195"/>
        <v>-0.49218001213904772</v>
      </c>
      <c r="Z393" s="1051">
        <f t="shared" si="195"/>
        <v>-0.49218001213904772</v>
      </c>
    </row>
    <row r="394" spans="1:26">
      <c r="A394" s="1052" t="s">
        <v>1011</v>
      </c>
      <c r="B394" s="1053"/>
      <c r="C394" s="1236">
        <f t="shared" si="193"/>
        <v>0</v>
      </c>
      <c r="D394" s="1232">
        <f t="shared" si="193"/>
        <v>0</v>
      </c>
      <c r="E394" s="1233">
        <f t="shared" si="193"/>
        <v>7.6841995078097101E-3</v>
      </c>
      <c r="F394" s="1233">
        <f t="shared" si="193"/>
        <v>7.2191237594026528E-3</v>
      </c>
      <c r="G394" s="1051">
        <f t="shared" si="193"/>
        <v>6.8084151457068641E-3</v>
      </c>
      <c r="H394" s="1234">
        <f t="shared" si="193"/>
        <v>0</v>
      </c>
      <c r="I394" s="1234">
        <f t="shared" si="193"/>
        <v>7.6656470339321898E-3</v>
      </c>
      <c r="J394" s="1234">
        <f t="shared" si="193"/>
        <v>7.2016890560121904E-3</v>
      </c>
      <c r="K394" s="1076">
        <f t="shared" si="193"/>
        <v>6.7919714891767485E-3</v>
      </c>
      <c r="L394" s="1221"/>
      <c r="M394" s="1232">
        <f t="shared" si="194"/>
        <v>0</v>
      </c>
      <c r="N394" s="1235">
        <f t="shared" si="194"/>
        <v>0</v>
      </c>
      <c r="O394" s="1232">
        <f t="shared" si="194"/>
        <v>0</v>
      </c>
      <c r="P394" s="1233">
        <f t="shared" si="194"/>
        <v>0</v>
      </c>
      <c r="Q394" s="1233">
        <f t="shared" si="194"/>
        <v>0</v>
      </c>
      <c r="R394" s="1232">
        <f t="shared" si="194"/>
        <v>-1.0718497135221792</v>
      </c>
      <c r="S394" s="1233">
        <f t="shared" si="194"/>
        <v>-0.86909865286588817</v>
      </c>
      <c r="T394" s="1233">
        <f t="shared" si="194"/>
        <v>-0.7361468372899741</v>
      </c>
      <c r="U394" s="1236"/>
      <c r="V394" s="1221"/>
      <c r="W394" s="1232">
        <f t="shared" si="195"/>
        <v>0</v>
      </c>
      <c r="X394" s="1233">
        <f t="shared" si="195"/>
        <v>7.6841995078097101E-3</v>
      </c>
      <c r="Y394" s="1232">
        <f t="shared" si="195"/>
        <v>-1.0718497135221792</v>
      </c>
      <c r="Z394" s="1051">
        <f t="shared" si="195"/>
        <v>-1.0718497135221792</v>
      </c>
    </row>
    <row r="395" spans="1:26">
      <c r="A395" s="1052" t="s">
        <v>941</v>
      </c>
      <c r="B395" s="1053"/>
      <c r="C395" s="1252">
        <f t="shared" si="193"/>
        <v>-4.9269824964561805E-4</v>
      </c>
      <c r="D395" s="1249">
        <f t="shared" si="193"/>
        <v>0</v>
      </c>
      <c r="E395" s="1250">
        <f t="shared" si="193"/>
        <v>0</v>
      </c>
      <c r="F395" s="1250">
        <f t="shared" si="193"/>
        <v>0</v>
      </c>
      <c r="G395" s="1251">
        <f t="shared" si="193"/>
        <v>0</v>
      </c>
      <c r="H395" s="1253">
        <f t="shared" si="193"/>
        <v>-4.7148999398117662E-4</v>
      </c>
      <c r="I395" s="1253">
        <f t="shared" si="193"/>
        <v>-4.4569787346162258E-4</v>
      </c>
      <c r="J395" s="1253">
        <f t="shared" si="193"/>
        <v>-4.1872231833637891E-4</v>
      </c>
      <c r="K395" s="1254">
        <f t="shared" si="193"/>
        <v>-3.9490042209590532E-4</v>
      </c>
      <c r="L395" s="1221"/>
      <c r="M395" s="1232">
        <f t="shared" si="194"/>
        <v>0</v>
      </c>
      <c r="N395" s="1235">
        <f t="shared" si="194"/>
        <v>-4.6965215781671595E-4</v>
      </c>
      <c r="O395" s="1232">
        <f t="shared" si="194"/>
        <v>0</v>
      </c>
      <c r="P395" s="1233">
        <f t="shared" si="194"/>
        <v>0</v>
      </c>
      <c r="Q395" s="1233">
        <f t="shared" si="194"/>
        <v>0</v>
      </c>
      <c r="R395" s="1232">
        <f t="shared" si="194"/>
        <v>6.2319741030683939E-2</v>
      </c>
      <c r="S395" s="1233">
        <f t="shared" si="194"/>
        <v>5.0531340628657724E-2</v>
      </c>
      <c r="T395" s="1233">
        <f t="shared" si="194"/>
        <v>4.2801224538946449E-2</v>
      </c>
      <c r="U395" s="1236"/>
      <c r="V395" s="1221"/>
      <c r="W395" s="1256">
        <f t="shared" si="195"/>
        <v>0</v>
      </c>
      <c r="X395" s="1234">
        <f t="shared" si="195"/>
        <v>-4.4677655581133952E-4</v>
      </c>
      <c r="Y395" s="1256">
        <f t="shared" si="195"/>
        <v>6.2319741030683939E-2</v>
      </c>
      <c r="Z395" s="1076">
        <f t="shared" si="195"/>
        <v>6.2319741030683939E-2</v>
      </c>
    </row>
    <row r="396" spans="1:26">
      <c r="A396" s="1052" t="s">
        <v>985</v>
      </c>
      <c r="B396" s="1053"/>
      <c r="C396" s="1252">
        <f t="shared" si="193"/>
        <v>0</v>
      </c>
      <c r="D396" s="1249">
        <f t="shared" si="193"/>
        <v>0.1152748184650193</v>
      </c>
      <c r="E396" s="1250">
        <f t="shared" si="193"/>
        <v>0</v>
      </c>
      <c r="F396" s="1250">
        <f t="shared" si="193"/>
        <v>0</v>
      </c>
      <c r="G396" s="1251">
        <f t="shared" si="193"/>
        <v>0</v>
      </c>
      <c r="H396" s="1253">
        <f t="shared" si="193"/>
        <v>0</v>
      </c>
      <c r="I396" s="1253">
        <f t="shared" si="193"/>
        <v>0</v>
      </c>
      <c r="J396" s="1253">
        <f t="shared" si="193"/>
        <v>0</v>
      </c>
      <c r="K396" s="1254">
        <f t="shared" si="193"/>
        <v>0</v>
      </c>
      <c r="L396" s="1221"/>
      <c r="M396" s="1232">
        <f t="shared" si="194"/>
        <v>0</v>
      </c>
      <c r="N396" s="1235">
        <f t="shared" si="194"/>
        <v>0</v>
      </c>
      <c r="O396" s="1232">
        <f t="shared" si="194"/>
        <v>0</v>
      </c>
      <c r="P396" s="1233">
        <f t="shared" si="194"/>
        <v>0</v>
      </c>
      <c r="Q396" s="1233">
        <f t="shared" si="194"/>
        <v>0</v>
      </c>
      <c r="R396" s="1232">
        <f t="shared" si="194"/>
        <v>0</v>
      </c>
      <c r="S396" s="1233">
        <f t="shared" si="194"/>
        <v>0</v>
      </c>
      <c r="T396" s="1233">
        <f t="shared" si="194"/>
        <v>0</v>
      </c>
      <c r="U396" s="1236"/>
      <c r="V396" s="1221"/>
      <c r="W396" s="1256">
        <f t="shared" si="195"/>
        <v>0</v>
      </c>
      <c r="X396" s="1234">
        <f t="shared" si="195"/>
        <v>0</v>
      </c>
      <c r="Y396" s="1256">
        <f t="shared" si="195"/>
        <v>0</v>
      </c>
      <c r="Z396" s="1076">
        <f t="shared" si="195"/>
        <v>0</v>
      </c>
    </row>
    <row r="397" spans="1:26">
      <c r="A397" s="1052" t="s">
        <v>942</v>
      </c>
      <c r="B397" s="1053"/>
      <c r="C397" s="1252">
        <f t="shared" si="193"/>
        <v>5.8520518763063292E-3</v>
      </c>
      <c r="D397" s="1249">
        <f t="shared" si="193"/>
        <v>9.456312911139583E-4</v>
      </c>
      <c r="E397" s="1250">
        <f t="shared" si="193"/>
        <v>0</v>
      </c>
      <c r="F397" s="1250">
        <f t="shared" si="193"/>
        <v>0</v>
      </c>
      <c r="G397" s="1251">
        <f t="shared" si="193"/>
        <v>0</v>
      </c>
      <c r="H397" s="1253">
        <f t="shared" si="193"/>
        <v>5.6001495964757252E-3</v>
      </c>
      <c r="I397" s="1253">
        <f t="shared" si="193"/>
        <v>5.2938021974562668E-3</v>
      </c>
      <c r="J397" s="1253">
        <f t="shared" si="193"/>
        <v>4.973398485653693E-3</v>
      </c>
      <c r="K397" s="1254">
        <f t="shared" si="193"/>
        <v>4.690452539140774E-3</v>
      </c>
      <c r="L397" s="1221"/>
      <c r="M397" s="1232">
        <f t="shared" si="194"/>
        <v>0</v>
      </c>
      <c r="N397" s="1235">
        <f t="shared" si="194"/>
        <v>5.5783205914360047E-3</v>
      </c>
      <c r="O397" s="1232">
        <f t="shared" si="194"/>
        <v>5.373730700419947E-3</v>
      </c>
      <c r="P397" s="1233">
        <f t="shared" si="194"/>
        <v>5.131325001839989E-3</v>
      </c>
      <c r="Q397" s="1233">
        <f t="shared" si="194"/>
        <v>4.9348796453008749E-3</v>
      </c>
      <c r="R397" s="1232">
        <f t="shared" si="194"/>
        <v>1.4735627739341124E-2</v>
      </c>
      <c r="S397" s="1233">
        <f t="shared" si="194"/>
        <v>2.2694343870052393E-2</v>
      </c>
      <c r="T397" s="1233">
        <f t="shared" si="194"/>
        <v>3.0135269136421783E-2</v>
      </c>
      <c r="U397" s="1236"/>
      <c r="V397" s="1221"/>
      <c r="W397" s="1256">
        <f t="shared" si="195"/>
        <v>5.373730700419947E-3</v>
      </c>
      <c r="X397" s="1234">
        <f t="shared" si="195"/>
        <v>5.3066143092775292E-3</v>
      </c>
      <c r="Y397" s="1256">
        <f t="shared" si="195"/>
        <v>1.4735627739341124E-2</v>
      </c>
      <c r="Z397" s="1076">
        <f t="shared" si="195"/>
        <v>1.4735627739341124E-2</v>
      </c>
    </row>
    <row r="398" spans="1:26">
      <c r="A398" s="1052" t="s">
        <v>950</v>
      </c>
      <c r="B398" s="1053"/>
      <c r="C398" s="1252">
        <f t="shared" si="193"/>
        <v>1.2032190761940087E-2</v>
      </c>
      <c r="D398" s="1249">
        <f t="shared" si="193"/>
        <v>7.477461230572237E-3</v>
      </c>
      <c r="E398" s="1250">
        <f t="shared" si="193"/>
        <v>3.109536421155819E-3</v>
      </c>
      <c r="F398" s="1250">
        <f t="shared" si="193"/>
        <v>3.2243040027635961E-3</v>
      </c>
      <c r="G398" s="1251">
        <f t="shared" si="193"/>
        <v>2.8963237616352229E-3</v>
      </c>
      <c r="H398" s="1253">
        <f t="shared" si="193"/>
        <v>7.4594023789956096E-3</v>
      </c>
      <c r="I398" s="1253">
        <f t="shared" si="193"/>
        <v>1.4248818207587822E-2</v>
      </c>
      <c r="J398" s="1253">
        <f t="shared" si="193"/>
        <v>1.3688654717996705E-2</v>
      </c>
      <c r="K398" s="1254">
        <f t="shared" si="193"/>
        <v>1.2765686706900403E-2</v>
      </c>
      <c r="L398" s="1221"/>
      <c r="M398" s="1232">
        <f t="shared" si="194"/>
        <v>0</v>
      </c>
      <c r="N398" s="1235">
        <f t="shared" si="194"/>
        <v>7.4303261321348344E-3</v>
      </c>
      <c r="O398" s="1232">
        <f t="shared" si="194"/>
        <v>7.1578122834469269E-3</v>
      </c>
      <c r="P398" s="1233">
        <f t="shared" si="194"/>
        <v>6.8349277580393624E-3</v>
      </c>
      <c r="Q398" s="1233">
        <f t="shared" si="194"/>
        <v>6.5732624338071871E-3</v>
      </c>
      <c r="R398" s="1232">
        <f t="shared" si="194"/>
        <v>-0.98675906043131434</v>
      </c>
      <c r="S398" s="1233">
        <f t="shared" si="194"/>
        <v>-0.82226375951686415</v>
      </c>
      <c r="T398" s="1233">
        <f t="shared" si="194"/>
        <v>-0.66631242468746621</v>
      </c>
      <c r="U398" s="1236"/>
      <c r="V398" s="1221"/>
      <c r="W398" s="1256">
        <f t="shared" si="195"/>
        <v>7.1578122834469269E-3</v>
      </c>
      <c r="X398" s="1234">
        <f t="shared" si="195"/>
        <v>1.4283303336685427E-2</v>
      </c>
      <c r="Y398" s="1256">
        <f t="shared" si="195"/>
        <v>-0.98675906043131434</v>
      </c>
      <c r="Z398" s="1076">
        <f t="shared" si="195"/>
        <v>-0.98675906043131434</v>
      </c>
    </row>
    <row r="399" spans="1:26">
      <c r="A399" s="1109" t="s">
        <v>432</v>
      </c>
      <c r="B399" s="1110"/>
      <c r="C399" s="1257">
        <f t="shared" si="193"/>
        <v>0.85280277418604578</v>
      </c>
      <c r="D399" s="1258">
        <f t="shared" si="193"/>
        <v>0.78639892028541813</v>
      </c>
      <c r="E399" s="1259">
        <f t="shared" si="193"/>
        <v>0.81392461149020146</v>
      </c>
      <c r="F399" s="1259">
        <f t="shared" si="193"/>
        <v>0.76904241648065919</v>
      </c>
      <c r="G399" s="1087">
        <f t="shared" si="193"/>
        <v>0.72953817968109935</v>
      </c>
      <c r="H399" s="1260">
        <f t="shared" si="193"/>
        <v>0.91580336285540309</v>
      </c>
      <c r="I399" s="1260">
        <f t="shared" si="193"/>
        <v>0.8537030235056966</v>
      </c>
      <c r="J399" s="1260">
        <f t="shared" si="193"/>
        <v>0.8329536073089594</v>
      </c>
      <c r="K399" s="1261">
        <f t="shared" si="193"/>
        <v>0.76987144595739321</v>
      </c>
      <c r="L399" s="1221"/>
      <c r="M399" s="1258">
        <f t="shared" si="194"/>
        <v>0</v>
      </c>
      <c r="N399" s="1262">
        <f t="shared" si="194"/>
        <v>0.91223362317635148</v>
      </c>
      <c r="O399" s="1258">
        <f t="shared" si="194"/>
        <v>0.87877664011349943</v>
      </c>
      <c r="P399" s="1259">
        <f t="shared" si="194"/>
        <v>0.83913556444035231</v>
      </c>
      <c r="Q399" s="1259">
        <f t="shared" si="194"/>
        <v>0.80701047295189154</v>
      </c>
      <c r="R399" s="1258">
        <f t="shared" si="194"/>
        <v>4.0880317818115488</v>
      </c>
      <c r="S399" s="1259">
        <f t="shared" si="194"/>
        <v>1.3406066663114855</v>
      </c>
      <c r="T399" s="1259">
        <f t="shared" si="194"/>
        <v>4.6210668241282464</v>
      </c>
      <c r="U399" s="1257"/>
      <c r="V399" s="1221"/>
      <c r="W399" s="1258">
        <f t="shared" si="195"/>
        <v>0.87877664011349943</v>
      </c>
      <c r="X399" s="1259">
        <f t="shared" si="195"/>
        <v>0.81392461149020146</v>
      </c>
      <c r="Y399" s="1258">
        <f t="shared" si="195"/>
        <v>9.9248234313982753</v>
      </c>
      <c r="Z399" s="1087">
        <f t="shared" si="195"/>
        <v>9.9248234313982771</v>
      </c>
    </row>
    <row r="400" spans="1:26">
      <c r="A400" s="1022" t="s">
        <v>55</v>
      </c>
      <c r="B400" s="1023" t="s">
        <v>1012</v>
      </c>
      <c r="C400" s="1218">
        <f t="shared" si="193"/>
        <v>-2.1858611321595753</v>
      </c>
      <c r="D400" s="1219">
        <f t="shared" si="193"/>
        <v>-1.6259539031147514</v>
      </c>
      <c r="E400" s="1220">
        <f t="shared" si="193"/>
        <v>-0.82999969762914805</v>
      </c>
      <c r="F400" s="1220">
        <f t="shared" si="193"/>
        <v>-0.32484167369140149</v>
      </c>
      <c r="G400" s="1031">
        <f t="shared" si="193"/>
        <v>-0.27030507058339298</v>
      </c>
      <c r="H400" s="1220">
        <f t="shared" si="193"/>
        <v>-1.6877127592835026</v>
      </c>
      <c r="I400" s="1220">
        <f t="shared" si="193"/>
        <v>-1.3925511896846143</v>
      </c>
      <c r="J400" s="1220">
        <f t="shared" si="193"/>
        <v>-0.880642152447632</v>
      </c>
      <c r="K400" s="1031">
        <f t="shared" si="193"/>
        <v>-0.78091858075036102</v>
      </c>
      <c r="L400" s="1221"/>
      <c r="M400" s="1219">
        <f t="shared" si="194"/>
        <v>0.1301302536440592</v>
      </c>
      <c r="N400" s="1218">
        <f t="shared" si="194"/>
        <v>-1.5510039152476465</v>
      </c>
      <c r="O400" s="1219">
        <f t="shared" si="194"/>
        <v>-1.3503320682774429</v>
      </c>
      <c r="P400" s="1220">
        <f t="shared" si="194"/>
        <v>-0.74958248788769055</v>
      </c>
      <c r="Q400" s="1220">
        <f t="shared" si="194"/>
        <v>-0.44451044470516876</v>
      </c>
      <c r="R400" s="1219"/>
      <c r="S400" s="1220"/>
      <c r="T400" s="1220"/>
      <c r="U400" s="1218"/>
      <c r="V400" s="1221"/>
      <c r="W400" s="1219">
        <f t="shared" si="195"/>
        <v>-1.3503320682774429</v>
      </c>
      <c r="X400" s="1220">
        <f t="shared" si="195"/>
        <v>-0.82366193871490945</v>
      </c>
      <c r="Y400" s="1219"/>
      <c r="Z400" s="1031"/>
    </row>
    <row r="401" spans="1:26">
      <c r="A401" s="1111" t="s">
        <v>509</v>
      </c>
      <c r="B401" s="1112"/>
      <c r="C401" s="1278">
        <f t="shared" si="193"/>
        <v>-2.6934741946679172E-3</v>
      </c>
      <c r="D401" s="1279">
        <f t="shared" si="193"/>
        <v>-1.9219411108677279E-3</v>
      </c>
      <c r="E401" s="1280">
        <f t="shared" si="193"/>
        <v>-9.2742231612681528E-4</v>
      </c>
      <c r="F401" s="1280">
        <f t="shared" si="193"/>
        <v>-3.4100221674999564E-4</v>
      </c>
      <c r="G401" s="1281">
        <f t="shared" si="193"/>
        <v>-2.6760929715302249E-4</v>
      </c>
      <c r="H401" s="1279">
        <f t="shared" si="193"/>
        <v>-1.9901244995432434E-3</v>
      </c>
      <c r="I401" s="1280">
        <f t="shared" si="193"/>
        <v>-1.5522474766329222E-3</v>
      </c>
      <c r="J401" s="1280">
        <f t="shared" si="193"/>
        <v>-9.2222058332777808E-4</v>
      </c>
      <c r="K401" s="1281">
        <f t="shared" si="193"/>
        <v>-7.712631577468115E-4</v>
      </c>
      <c r="L401" s="1012"/>
      <c r="M401" s="1279">
        <f t="shared" si="194"/>
        <v>1.5284943237053815E-4</v>
      </c>
      <c r="N401" s="1278">
        <f t="shared" si="194"/>
        <v>-1.821790563004162E-3</v>
      </c>
      <c r="O401" s="1279">
        <f t="shared" si="194"/>
        <v>-1.4980896222258069E-3</v>
      </c>
      <c r="P401" s="1280">
        <f t="shared" si="194"/>
        <v>-7.8039117508894374E-4</v>
      </c>
      <c r="Q401" s="1280">
        <f t="shared" si="194"/>
        <v>-4.360444549901512E-4</v>
      </c>
      <c r="R401" s="1279"/>
      <c r="S401" s="1280"/>
      <c r="T401" s="1280"/>
      <c r="U401" s="1278"/>
      <c r="V401" s="1221"/>
      <c r="W401" s="1279">
        <f t="shared" si="195"/>
        <v>-1.4980896222258069E-3</v>
      </c>
      <c r="X401" s="1280">
        <f t="shared" si="195"/>
        <v>-9.20340652039363E-4</v>
      </c>
      <c r="Y401" s="1279"/>
      <c r="Z401" s="1281"/>
    </row>
    <row r="402" spans="1:26">
      <c r="A402" s="1118" t="s">
        <v>1013</v>
      </c>
      <c r="B402" s="1119"/>
      <c r="C402" s="1282">
        <f t="shared" si="193"/>
        <v>-0.53984422646700569</v>
      </c>
      <c r="D402" s="1283">
        <f t="shared" si="193"/>
        <v>-0.31436330233969145</v>
      </c>
      <c r="E402" s="1284">
        <f t="shared" si="193"/>
        <v>0.4391692653412077</v>
      </c>
      <c r="F402" s="1284">
        <f t="shared" si="193"/>
        <v>0.85673478713576678</v>
      </c>
      <c r="G402" s="1126">
        <f t="shared" si="193"/>
        <v>0.79813594423519507</v>
      </c>
      <c r="H402" s="1279">
        <f t="shared" si="193"/>
        <v>-0.27879632856502495</v>
      </c>
      <c r="I402" s="1280">
        <f t="shared" si="193"/>
        <v>-1.8971169975397228E-2</v>
      </c>
      <c r="J402" s="1280">
        <f t="shared" si="193"/>
        <v>0.38806119869399847</v>
      </c>
      <c r="K402" s="1281">
        <f t="shared" si="193"/>
        <v>0.37771052549430367</v>
      </c>
      <c r="L402" s="1012"/>
      <c r="M402" s="1283">
        <f t="shared" si="194"/>
        <v>0.1301302536440592</v>
      </c>
      <c r="N402" s="1218">
        <f t="shared" si="194"/>
        <v>-0.14757934565481695</v>
      </c>
      <c r="O402" s="1283">
        <f t="shared" si="194"/>
        <v>1.0523739813511951E-2</v>
      </c>
      <c r="P402" s="1284">
        <f t="shared" si="194"/>
        <v>0.53615881043220104</v>
      </c>
      <c r="Q402" s="1284">
        <f t="shared" si="194"/>
        <v>0.72191510372769085</v>
      </c>
      <c r="R402" s="1283"/>
      <c r="S402" s="1284"/>
      <c r="T402" s="1284"/>
      <c r="U402" s="1282"/>
      <c r="V402" s="1221"/>
      <c r="W402" s="1283">
        <f t="shared" si="195"/>
        <v>1.0523739813511951E-2</v>
      </c>
      <c r="X402" s="1284">
        <f t="shared" si="195"/>
        <v>0.55627831574950071</v>
      </c>
      <c r="Y402" s="1283"/>
      <c r="Z402" s="1126"/>
    </row>
    <row r="404" spans="1:26">
      <c r="T404" s="1163"/>
      <c r="U404" s="1163"/>
    </row>
    <row r="405" spans="1:26" ht="12.75" customHeight="1">
      <c r="A405" s="961"/>
      <c r="B405" s="961"/>
      <c r="C405" s="1606" t="str">
        <f t="shared" ref="C405:K405" si="196">C2</f>
        <v>2016 S</v>
      </c>
      <c r="D405" s="1603" t="str">
        <f t="shared" si="196"/>
        <v>2017 OS</v>
      </c>
      <c r="E405" s="1585" t="str">
        <f t="shared" si="196"/>
        <v>2018 N</v>
      </c>
      <c r="F405" s="1585" t="str">
        <f t="shared" si="196"/>
        <v>2019 N</v>
      </c>
      <c r="G405" s="1585" t="str">
        <f t="shared" si="196"/>
        <v>2020 N</v>
      </c>
      <c r="H405" s="1603" t="str">
        <f t="shared" si="196"/>
        <v>2017 O</v>
      </c>
      <c r="I405" s="1585" t="str">
        <f t="shared" si="196"/>
        <v>2018 O</v>
      </c>
      <c r="J405" s="1585" t="str">
        <f t="shared" si="196"/>
        <v>2019 O</v>
      </c>
      <c r="K405" s="1585" t="str">
        <f t="shared" si="196"/>
        <v>2020 O</v>
      </c>
      <c r="M405" s="1021" t="str">
        <f>M2</f>
        <v>2017 úpravy</v>
      </c>
      <c r="N405" s="1594" t="str">
        <f>N2</f>
        <v>2017 OS báza</v>
      </c>
      <c r="O405" s="1596" t="str">
        <f>O2</f>
        <v>2018 NPC</v>
      </c>
      <c r="P405" s="1585" t="str">
        <f>P2</f>
        <v>2019 NPC</v>
      </c>
      <c r="Q405" s="1586" t="str">
        <f>Q2</f>
        <v>2020 NPC</v>
      </c>
      <c r="T405" s="1163"/>
      <c r="U405" s="1163"/>
    </row>
    <row r="406" spans="1:26">
      <c r="A406" s="961"/>
      <c r="B406" s="961"/>
      <c r="C406" s="1607"/>
      <c r="D406" s="1604"/>
      <c r="E406" s="1601"/>
      <c r="F406" s="1601"/>
      <c r="G406" s="1601"/>
      <c r="H406" s="1604"/>
      <c r="I406" s="1601"/>
      <c r="J406" s="1601"/>
      <c r="K406" s="1601"/>
      <c r="M406" s="1021" t="s">
        <v>921</v>
      </c>
      <c r="N406" s="1594"/>
      <c r="O406" s="1605"/>
      <c r="P406" s="1601"/>
      <c r="Q406" s="1602"/>
      <c r="T406" s="1163"/>
      <c r="U406" s="1285"/>
    </row>
    <row r="407" spans="1:26">
      <c r="A407" s="1204" t="s">
        <v>1026</v>
      </c>
      <c r="B407" s="1205"/>
      <c r="C407" s="1286">
        <f>C206/C$179*100</f>
        <v>0.98127664714500795</v>
      </c>
      <c r="D407" s="1287">
        <f t="shared" ref="D407:K411" si="197">D206/D$179*100</f>
        <v>0.95759943714211948</v>
      </c>
      <c r="E407" s="1288">
        <f t="shared" si="197"/>
        <v>0.3866603802403078</v>
      </c>
      <c r="F407" s="1288">
        <f t="shared" si="197"/>
        <v>1.3976308596378728</v>
      </c>
      <c r="G407" s="1289">
        <f t="shared" si="197"/>
        <v>1.2142789839463126</v>
      </c>
      <c r="H407" s="1287">
        <f t="shared" si="197"/>
        <v>0.79779164510917244</v>
      </c>
      <c r="I407" s="1288">
        <f t="shared" si="197"/>
        <v>1.016974030181119</v>
      </c>
      <c r="J407" s="1288">
        <f t="shared" si="197"/>
        <v>1.0564872065896422</v>
      </c>
      <c r="K407" s="1289">
        <f t="shared" si="197"/>
        <v>1.0257862530490833</v>
      </c>
      <c r="L407" s="957"/>
      <c r="M407" s="1204"/>
      <c r="N407" s="1286">
        <f t="shared" ref="N407:Q411" si="198">N206/N$179*100</f>
        <v>0.79468190713847708</v>
      </c>
      <c r="O407" s="1287">
        <f t="shared" si="198"/>
        <v>1.0121789072347946</v>
      </c>
      <c r="P407" s="1288">
        <f t="shared" si="198"/>
        <v>1.0503204428366923</v>
      </c>
      <c r="Q407" s="1289">
        <f t="shared" si="198"/>
        <v>1.0188466992096648</v>
      </c>
      <c r="T407" s="1163"/>
      <c r="U407" s="1163"/>
    </row>
    <row r="408" spans="1:26">
      <c r="A408" s="1162" t="s">
        <v>1015</v>
      </c>
      <c r="B408" s="1196"/>
      <c r="C408" s="1290">
        <f t="shared" ref="C408:G411" si="199">C207/C$179*100</f>
        <v>0.11260176955694648</v>
      </c>
      <c r="D408" s="1181">
        <f t="shared" si="199"/>
        <v>0.11924528784858404</v>
      </c>
      <c r="E408" s="1182">
        <f t="shared" si="199"/>
        <v>0.12839705167903503</v>
      </c>
      <c r="F408" s="1182">
        <f t="shared" si="199"/>
        <v>0.31395445404899375</v>
      </c>
      <c r="G408" s="1183">
        <f t="shared" si="199"/>
        <v>0.22854658443744849</v>
      </c>
      <c r="H408" s="1181">
        <f t="shared" si="197"/>
        <v>8.5297226223838993E-2</v>
      </c>
      <c r="I408" s="1182">
        <f t="shared" si="197"/>
        <v>8.437664971371088E-2</v>
      </c>
      <c r="J408" s="1182">
        <f t="shared" si="197"/>
        <v>8.3097682199324632E-2</v>
      </c>
      <c r="K408" s="1183">
        <f t="shared" si="197"/>
        <v>8.2512163377085612E-2</v>
      </c>
      <c r="M408" s="1162"/>
      <c r="N408" s="1290">
        <f t="shared" si="198"/>
        <v>8.496474339475775E-2</v>
      </c>
      <c r="O408" s="1181">
        <f t="shared" si="198"/>
        <v>8.3978806310468668E-2</v>
      </c>
      <c r="P408" s="1182">
        <f t="shared" si="198"/>
        <v>8.2612637258558053E-2</v>
      </c>
      <c r="Q408" s="1183">
        <f t="shared" si="198"/>
        <v>8.1953959756730824E-2</v>
      </c>
    </row>
    <row r="409" spans="1:26">
      <c r="A409" s="1162" t="s">
        <v>389</v>
      </c>
      <c r="B409" s="1196"/>
      <c r="C409" s="1290">
        <f t="shared" si="199"/>
        <v>0.24035452742797192</v>
      </c>
      <c r="D409" s="1181">
        <f t="shared" si="199"/>
        <v>0.26077910522872405</v>
      </c>
      <c r="E409" s="1182">
        <f t="shared" si="199"/>
        <v>6.9493436533026143E-2</v>
      </c>
      <c r="F409" s="1182">
        <f t="shared" si="199"/>
        <v>0.20259253541842298</v>
      </c>
      <c r="G409" s="1183">
        <f t="shared" si="199"/>
        <v>0.17235404037667373</v>
      </c>
      <c r="H409" s="1181">
        <f t="shared" si="197"/>
        <v>4.4255583445960055E-2</v>
      </c>
      <c r="I409" s="1182">
        <f t="shared" si="197"/>
        <v>4.2667472823470665E-2</v>
      </c>
      <c r="J409" s="1182">
        <f t="shared" si="197"/>
        <v>4.0788749274726983E-2</v>
      </c>
      <c r="K409" s="1183">
        <f t="shared" si="197"/>
        <v>3.9263864234912745E-2</v>
      </c>
      <c r="M409" s="1162"/>
      <c r="N409" s="1290">
        <f t="shared" si="198"/>
        <v>4.4083078169550004E-2</v>
      </c>
      <c r="O409" s="1181">
        <f t="shared" si="198"/>
        <v>4.2466291896597758E-2</v>
      </c>
      <c r="P409" s="1182">
        <f t="shared" si="198"/>
        <v>4.0550663494807793E-2</v>
      </c>
      <c r="Q409" s="1183">
        <f t="shared" si="198"/>
        <v>3.8998239989128713E-2</v>
      </c>
    </row>
    <row r="410" spans="1:26">
      <c r="A410" s="1162" t="s">
        <v>1034</v>
      </c>
      <c r="B410" s="1196"/>
      <c r="C410" s="1290">
        <f t="shared" si="199"/>
        <v>1.7108754734180213E-3</v>
      </c>
      <c r="D410" s="1181">
        <f t="shared" si="199"/>
        <v>6.6170549595699086E-3</v>
      </c>
      <c r="E410" s="1182">
        <f t="shared" si="199"/>
        <v>0.13223431654399553</v>
      </c>
      <c r="F410" s="1182">
        <f t="shared" si="199"/>
        <v>0.3954742765369883</v>
      </c>
      <c r="G410" s="1183">
        <f t="shared" si="199"/>
        <v>0.39864442869989875</v>
      </c>
      <c r="H410" s="1181">
        <f t="shared" si="197"/>
        <v>0.11764972376899897</v>
      </c>
      <c r="I410" s="1182">
        <f t="shared" si="197"/>
        <v>0.11342786606196772</v>
      </c>
      <c r="J410" s="1182">
        <f t="shared" si="197"/>
        <v>0.10843343848159462</v>
      </c>
      <c r="K410" s="1183">
        <f t="shared" si="197"/>
        <v>0.10437966063607845</v>
      </c>
      <c r="M410" s="1162"/>
      <c r="N410" s="1290">
        <f t="shared" si="198"/>
        <v>0.11719113308872652</v>
      </c>
      <c r="O410" s="1181">
        <f t="shared" si="198"/>
        <v>0.11289304359141802</v>
      </c>
      <c r="P410" s="1182">
        <f t="shared" si="198"/>
        <v>0.10780050758203877</v>
      </c>
      <c r="Q410" s="1183">
        <f t="shared" si="198"/>
        <v>0.1036735210552728</v>
      </c>
    </row>
    <row r="411" spans="1:26">
      <c r="A411" s="1162" t="s">
        <v>1027</v>
      </c>
      <c r="B411" s="1196"/>
      <c r="C411" s="1290">
        <f t="shared" si="199"/>
        <v>0.6266094746866715</v>
      </c>
      <c r="D411" s="1181">
        <f t="shared" si="199"/>
        <v>0.57095798910524143</v>
      </c>
      <c r="E411" s="1182">
        <f t="shared" si="199"/>
        <v>5.6535575484251067E-2</v>
      </c>
      <c r="F411" s="1182">
        <f t="shared" si="199"/>
        <v>0.48560959363346767</v>
      </c>
      <c r="G411" s="1183">
        <f t="shared" si="199"/>
        <v>0.41473393043229173</v>
      </c>
      <c r="H411" s="1181">
        <f t="shared" si="197"/>
        <v>0.5505891116703745</v>
      </c>
      <c r="I411" s="1182">
        <f t="shared" si="197"/>
        <v>0.77650204158196978</v>
      </c>
      <c r="J411" s="1182">
        <f t="shared" si="197"/>
        <v>0.82416733663399599</v>
      </c>
      <c r="K411" s="1183">
        <f t="shared" si="197"/>
        <v>0.79963056480100625</v>
      </c>
      <c r="M411" s="1162"/>
      <c r="N411" s="1290">
        <f t="shared" si="198"/>
        <v>0.54844295248544284</v>
      </c>
      <c r="O411" s="1181">
        <f t="shared" si="198"/>
        <v>0.7728407654363102</v>
      </c>
      <c r="P411" s="1182">
        <f t="shared" si="198"/>
        <v>0.81935663450128793</v>
      </c>
      <c r="Q411" s="1183">
        <f t="shared" si="198"/>
        <v>0.79422097840853245</v>
      </c>
    </row>
    <row r="412" spans="1:26">
      <c r="A412" s="1162"/>
      <c r="B412" s="1196"/>
      <c r="C412" s="1290"/>
      <c r="D412" s="1181"/>
      <c r="E412" s="1182"/>
      <c r="F412" s="1182"/>
      <c r="G412" s="1183"/>
      <c r="H412" s="1181"/>
      <c r="I412" s="1182"/>
      <c r="J412" s="1182"/>
      <c r="K412" s="1183"/>
      <c r="M412" s="1162"/>
      <c r="N412" s="1290"/>
      <c r="O412" s="1181"/>
      <c r="P412" s="1182"/>
      <c r="Q412" s="1183"/>
    </row>
    <row r="413" spans="1:26">
      <c r="A413" s="1184" t="s">
        <v>1028</v>
      </c>
      <c r="B413" s="1213"/>
      <c r="C413" s="1291">
        <f t="shared" ref="C413:K415" si="200">C212/C$179*100</f>
        <v>1.1791650226681472</v>
      </c>
      <c r="D413" s="1191">
        <f t="shared" si="200"/>
        <v>0.95585120129267243</v>
      </c>
      <c r="E413" s="1192">
        <f t="shared" si="200"/>
        <v>1.1535528815534328</v>
      </c>
      <c r="F413" s="1192">
        <f t="shared" si="200"/>
        <v>1.8525536545644772</v>
      </c>
      <c r="G413" s="1193">
        <f t="shared" si="200"/>
        <v>1.8205376638169666</v>
      </c>
      <c r="H413" s="1191">
        <f t="shared" si="200"/>
        <v>1.0502515002314987</v>
      </c>
      <c r="I413" s="1192">
        <f t="shared" si="200"/>
        <v>1.338064413690063</v>
      </c>
      <c r="J413" s="1192">
        <f t="shared" si="200"/>
        <v>1.3907420550899652</v>
      </c>
      <c r="K413" s="1193">
        <f t="shared" si="200"/>
        <v>1.3506223126831494</v>
      </c>
      <c r="L413" s="957"/>
      <c r="M413" s="1184"/>
      <c r="N413" s="1291">
        <f t="shared" ref="N413:Q415" si="201">N212/N$179*100</f>
        <v>1.0461576907900589</v>
      </c>
      <c r="O413" s="1191">
        <f t="shared" si="201"/>
        <v>1.3317553210452855</v>
      </c>
      <c r="P413" s="1192">
        <f t="shared" si="201"/>
        <v>1.3826242306226759</v>
      </c>
      <c r="Q413" s="1193">
        <f t="shared" si="201"/>
        <v>1.3414852081180173</v>
      </c>
    </row>
    <row r="414" spans="1:26">
      <c r="A414" s="1162" t="s">
        <v>1029</v>
      </c>
      <c r="B414" s="1196"/>
      <c r="C414" s="1290">
        <f t="shared" si="200"/>
        <v>0.78710162061580624</v>
      </c>
      <c r="D414" s="1181">
        <f t="shared" si="200"/>
        <v>0.3925599178801375</v>
      </c>
      <c r="E414" s="1182">
        <f t="shared" si="200"/>
        <v>0.51043220083313601</v>
      </c>
      <c r="F414" s="1182">
        <f t="shared" si="200"/>
        <v>0.93614063771779898</v>
      </c>
      <c r="G414" s="1183">
        <f t="shared" si="200"/>
        <v>0.78445072882413114</v>
      </c>
      <c r="H414" s="1181">
        <f t="shared" si="200"/>
        <v>0.65231008273681801</v>
      </c>
      <c r="I414" s="1182">
        <f t="shared" si="200"/>
        <v>0.66161850178430071</v>
      </c>
      <c r="J414" s="1182">
        <f t="shared" si="200"/>
        <v>0.66126751907651815</v>
      </c>
      <c r="K414" s="1183">
        <f t="shared" si="200"/>
        <v>0.66279380313211367</v>
      </c>
      <c r="M414" s="1162"/>
      <c r="N414" s="1290">
        <f t="shared" si="201"/>
        <v>0.64976742207423799</v>
      </c>
      <c r="O414" s="1181">
        <f t="shared" si="201"/>
        <v>0.65849891174024244</v>
      </c>
      <c r="P414" s="1182">
        <f t="shared" si="201"/>
        <v>0.65740767056892702</v>
      </c>
      <c r="Q414" s="1183">
        <f t="shared" si="201"/>
        <v>0.6583099320843232</v>
      </c>
    </row>
    <row r="415" spans="1:26">
      <c r="A415" s="1162" t="s">
        <v>1030</v>
      </c>
      <c r="B415" s="1196"/>
      <c r="C415" s="1290">
        <f t="shared" si="200"/>
        <v>0.39206340205234086</v>
      </c>
      <c r="D415" s="1181">
        <f t="shared" si="200"/>
        <v>0.56329128341253487</v>
      </c>
      <c r="E415" s="1182">
        <f t="shared" si="200"/>
        <v>0.64312068072029671</v>
      </c>
      <c r="F415" s="1182">
        <f t="shared" si="200"/>
        <v>0.9164130168466782</v>
      </c>
      <c r="G415" s="1183">
        <f t="shared" si="200"/>
        <v>1.0360869349928354</v>
      </c>
      <c r="H415" s="1181">
        <f t="shared" si="200"/>
        <v>0.39794141749468076</v>
      </c>
      <c r="I415" s="1182">
        <f t="shared" si="200"/>
        <v>0.67644591190576231</v>
      </c>
      <c r="J415" s="1182">
        <f t="shared" si="200"/>
        <v>0.72947453601344714</v>
      </c>
      <c r="K415" s="1183">
        <f t="shared" si="200"/>
        <v>0.68782850955103569</v>
      </c>
      <c r="M415" s="1162"/>
      <c r="N415" s="1290">
        <f t="shared" si="201"/>
        <v>0.39639026871582095</v>
      </c>
      <c r="O415" s="1181">
        <f t="shared" si="201"/>
        <v>0.67325640930504305</v>
      </c>
      <c r="P415" s="1182">
        <f t="shared" si="201"/>
        <v>0.72521656005374879</v>
      </c>
      <c r="Q415" s="1183">
        <f t="shared" si="201"/>
        <v>0.68317527603369399</v>
      </c>
    </row>
    <row r="416" spans="1:26">
      <c r="A416" s="1162"/>
      <c r="B416" s="1196"/>
      <c r="C416" s="1290"/>
      <c r="D416" s="1181"/>
      <c r="E416" s="1182"/>
      <c r="F416" s="1182"/>
      <c r="G416" s="1183"/>
      <c r="H416" s="1181"/>
      <c r="I416" s="1182"/>
      <c r="J416" s="1182"/>
      <c r="K416" s="1183"/>
      <c r="M416" s="1162"/>
      <c r="N416" s="1290"/>
      <c r="O416" s="1181"/>
      <c r="P416" s="1182"/>
      <c r="Q416" s="1183"/>
    </row>
    <row r="417" spans="1:17">
      <c r="A417" s="1184" t="s">
        <v>1031</v>
      </c>
      <c r="B417" s="1213"/>
      <c r="C417" s="1291">
        <f t="shared" ref="C417:K424" si="202">C216/C$179*100</f>
        <v>0.33610038325175629</v>
      </c>
      <c r="D417" s="1191">
        <f t="shared" si="202"/>
        <v>0.31466590435285308</v>
      </c>
      <c r="E417" s="1192">
        <f t="shared" si="202"/>
        <v>0.24651314276662512</v>
      </c>
      <c r="F417" s="1192">
        <f t="shared" si="202"/>
        <v>0.49894511238734407</v>
      </c>
      <c r="G417" s="1193">
        <f t="shared" si="202"/>
        <v>0.50241581284813597</v>
      </c>
      <c r="H417" s="1191">
        <f t="shared" si="202"/>
        <v>0.31496125295453115</v>
      </c>
      <c r="I417" s="1192">
        <f t="shared" si="202"/>
        <v>0.39453383888230498</v>
      </c>
      <c r="J417" s="1192">
        <f t="shared" si="202"/>
        <v>0.39526930027832313</v>
      </c>
      <c r="K417" s="1193">
        <f t="shared" si="202"/>
        <v>0.37122833779691428</v>
      </c>
      <c r="L417" s="957"/>
      <c r="M417" s="1184"/>
      <c r="N417" s="1291">
        <f t="shared" ref="N417:Q424" si="203">N216/N$179*100</f>
        <v>0.31373355525474328</v>
      </c>
      <c r="O417" s="1191">
        <f t="shared" si="203"/>
        <v>0.39267357676372444</v>
      </c>
      <c r="P417" s="1192">
        <f t="shared" si="203"/>
        <v>0.3929620954410033</v>
      </c>
      <c r="Q417" s="1193">
        <f t="shared" si="203"/>
        <v>0.36871693834190894</v>
      </c>
    </row>
    <row r="418" spans="1:17">
      <c r="A418" s="1162" t="s">
        <v>1015</v>
      </c>
      <c r="B418" s="1196"/>
      <c r="C418" s="1290">
        <f t="shared" si="202"/>
        <v>1.3268972905156599E-2</v>
      </c>
      <c r="D418" s="1181">
        <f t="shared" si="202"/>
        <v>2.5637246341213303E-2</v>
      </c>
      <c r="E418" s="1182">
        <f t="shared" si="202"/>
        <v>7.9217929006180753E-3</v>
      </c>
      <c r="F418" s="1182">
        <f t="shared" si="202"/>
        <v>2.093931954310926E-2</v>
      </c>
      <c r="G418" s="1183">
        <f t="shared" si="202"/>
        <v>1.7142167658229242E-2</v>
      </c>
      <c r="H418" s="1181">
        <f t="shared" si="202"/>
        <v>1.9514222342683747E-2</v>
      </c>
      <c r="I418" s="1182">
        <f t="shared" si="202"/>
        <v>1.8446727420346188E-2</v>
      </c>
      <c r="J418" s="1182">
        <f t="shared" si="202"/>
        <v>1.7330252018426324E-2</v>
      </c>
      <c r="K418" s="1183">
        <f t="shared" si="202"/>
        <v>1.6344301551194349E-2</v>
      </c>
      <c r="M418" s="1162"/>
      <c r="N418" s="1290">
        <f t="shared" si="203"/>
        <v>1.9438157221471138E-2</v>
      </c>
      <c r="O418" s="1181">
        <f t="shared" si="203"/>
        <v>1.8359749460916737E-2</v>
      </c>
      <c r="P418" s="1182">
        <f t="shared" si="203"/>
        <v>1.7229094551198965E-2</v>
      </c>
      <c r="Q418" s="1183">
        <f t="shared" si="203"/>
        <v>1.6233730601110875E-2</v>
      </c>
    </row>
    <row r="419" spans="1:17">
      <c r="A419" s="1162" t="s">
        <v>389</v>
      </c>
      <c r="B419" s="1196"/>
      <c r="C419" s="1290">
        <f t="shared" si="202"/>
        <v>3.0735954765291444E-2</v>
      </c>
      <c r="D419" s="1181">
        <f t="shared" si="202"/>
        <v>7.8185977188415953E-2</v>
      </c>
      <c r="E419" s="1182">
        <f t="shared" si="202"/>
        <v>3.1320733503360967E-2</v>
      </c>
      <c r="F419" s="1182">
        <f t="shared" si="202"/>
        <v>7.0224477572697369E-2</v>
      </c>
      <c r="G419" s="1183">
        <f t="shared" si="202"/>
        <v>6.8983667663003914E-2</v>
      </c>
      <c r="H419" s="1181">
        <f t="shared" si="202"/>
        <v>1.0113304237252868E-2</v>
      </c>
      <c r="I419" s="1182">
        <f t="shared" si="202"/>
        <v>9.560071793154476E-3</v>
      </c>
      <c r="J419" s="1182">
        <f t="shared" si="202"/>
        <v>8.9814550686577385E-3</v>
      </c>
      <c r="K419" s="1183">
        <f t="shared" si="202"/>
        <v>8.470483282906973E-3</v>
      </c>
      <c r="M419" s="1162"/>
      <c r="N419" s="1290">
        <f t="shared" si="203"/>
        <v>1.0073883260123586E-2</v>
      </c>
      <c r="O419" s="1181">
        <f t="shared" si="203"/>
        <v>9.5149952049001021E-3</v>
      </c>
      <c r="P419" s="1182">
        <f t="shared" si="203"/>
        <v>8.9290299079736492E-3</v>
      </c>
      <c r="Q419" s="1183">
        <f t="shared" si="203"/>
        <v>8.413179556508903E-3</v>
      </c>
    </row>
    <row r="420" spans="1:17">
      <c r="A420" s="1162" t="s">
        <v>1032</v>
      </c>
      <c r="B420" s="1196"/>
      <c r="C420" s="1290">
        <f t="shared" si="202"/>
        <v>2.3054324726409552E-2</v>
      </c>
      <c r="D420" s="1181">
        <f t="shared" si="202"/>
        <v>2.2545032019270658E-2</v>
      </c>
      <c r="E420" s="1182">
        <f t="shared" si="202"/>
        <v>2.3105800179844042E-2</v>
      </c>
      <c r="F420" s="1182">
        <f t="shared" si="202"/>
        <v>2.9094252867246054E-2</v>
      </c>
      <c r="G420" s="1183">
        <f t="shared" si="202"/>
        <v>2.683668552762393E-2</v>
      </c>
      <c r="H420" s="1181">
        <f t="shared" si="202"/>
        <v>2.9394420173220082E-2</v>
      </c>
      <c r="I420" s="1182">
        <f t="shared" si="202"/>
        <v>2.9813876483755917E-2</v>
      </c>
      <c r="J420" s="1182">
        <f t="shared" si="202"/>
        <v>2.9798060488481382E-2</v>
      </c>
      <c r="K420" s="1183">
        <f t="shared" si="202"/>
        <v>2.9866837954936651E-2</v>
      </c>
      <c r="M420" s="1162"/>
      <c r="N420" s="1290">
        <f t="shared" si="203"/>
        <v>2.9279842707913672E-2</v>
      </c>
      <c r="O420" s="1181">
        <f t="shared" si="203"/>
        <v>2.9673301406120275E-2</v>
      </c>
      <c r="P420" s="1182">
        <f t="shared" si="203"/>
        <v>2.9624127857605764E-2</v>
      </c>
      <c r="Q420" s="1183">
        <f t="shared" si="203"/>
        <v>2.9664785598136789E-2</v>
      </c>
    </row>
    <row r="421" spans="1:17">
      <c r="A421" s="1162" t="s">
        <v>390</v>
      </c>
      <c r="B421" s="1196"/>
      <c r="C421" s="1290">
        <f t="shared" si="202"/>
        <v>5.8578909415221918E-2</v>
      </c>
      <c r="D421" s="1181">
        <f t="shared" si="202"/>
        <v>4.7032154302666614E-2</v>
      </c>
      <c r="E421" s="1182">
        <f t="shared" si="202"/>
        <v>0.12492559806486191</v>
      </c>
      <c r="F421" s="1182">
        <f t="shared" si="202"/>
        <v>0.12635723539269125</v>
      </c>
      <c r="G421" s="1183">
        <f t="shared" si="202"/>
        <v>0.12876302231747602</v>
      </c>
      <c r="H421" s="1181">
        <f t="shared" si="202"/>
        <v>8.690082476551729E-2</v>
      </c>
      <c r="I421" s="1182">
        <f t="shared" si="202"/>
        <v>8.8140893429020775E-2</v>
      </c>
      <c r="J421" s="1182">
        <f t="shared" si="202"/>
        <v>8.8094135472043061E-2</v>
      </c>
      <c r="K421" s="1183">
        <f t="shared" si="202"/>
        <v>8.8297467210686792E-2</v>
      </c>
      <c r="M421" s="1162"/>
      <c r="N421" s="1290">
        <f t="shared" si="203"/>
        <v>8.656209121758561E-2</v>
      </c>
      <c r="O421" s="1181">
        <f t="shared" si="203"/>
        <v>8.7725301282075022E-2</v>
      </c>
      <c r="P421" s="1182">
        <f t="shared" si="203"/>
        <v>8.7579926006856934E-2</v>
      </c>
      <c r="Q421" s="1183">
        <f t="shared" si="203"/>
        <v>8.7700125390427944E-2</v>
      </c>
    </row>
    <row r="422" spans="1:17">
      <c r="A422" s="1162" t="s">
        <v>1027</v>
      </c>
      <c r="B422" s="1196"/>
      <c r="C422" s="1290">
        <f t="shared" si="202"/>
        <v>0.10773402884586072</v>
      </c>
      <c r="D422" s="1181">
        <f t="shared" si="202"/>
        <v>0.10050878585427486</v>
      </c>
      <c r="E422" s="1182">
        <f t="shared" si="202"/>
        <v>7.1643310630511636E-3</v>
      </c>
      <c r="F422" s="1182">
        <f t="shared" si="202"/>
        <v>7.4342581613534797E-2</v>
      </c>
      <c r="G422" s="1183">
        <f t="shared" si="202"/>
        <v>7.2227564611625189E-2</v>
      </c>
      <c r="H422" s="1181">
        <f t="shared" si="202"/>
        <v>9.2192113688390476E-2</v>
      </c>
      <c r="I422" s="1182">
        <f t="shared" si="202"/>
        <v>0.13001957899169289</v>
      </c>
      <c r="J422" s="1182">
        <f t="shared" si="202"/>
        <v>0.13800078350025186</v>
      </c>
      <c r="K422" s="1183">
        <f t="shared" si="202"/>
        <v>0.13389228078847401</v>
      </c>
      <c r="M422" s="1162"/>
      <c r="N422" s="1290">
        <f t="shared" si="203"/>
        <v>9.1832755053472423E-2</v>
      </c>
      <c r="O422" s="1181">
        <f t="shared" si="203"/>
        <v>0.12940652511992048</v>
      </c>
      <c r="P422" s="1182">
        <f t="shared" si="203"/>
        <v>0.13719526666648427</v>
      </c>
      <c r="Q422" s="1183">
        <f t="shared" si="203"/>
        <v>0.13298648517223105</v>
      </c>
    </row>
    <row r="423" spans="1:17">
      <c r="A423" s="1162" t="s">
        <v>1033</v>
      </c>
      <c r="B423" s="1196"/>
      <c r="C423" s="1290">
        <f t="shared" si="202"/>
        <v>7.3512241188557564E-2</v>
      </c>
      <c r="D423" s="1181">
        <f t="shared" si="202"/>
        <v>3.674132177711896E-2</v>
      </c>
      <c r="E423" s="1182">
        <f t="shared" si="202"/>
        <v>2.0935169692936274E-2</v>
      </c>
      <c r="F423" s="1182">
        <f t="shared" si="202"/>
        <v>8.0677141740249605E-2</v>
      </c>
      <c r="G423" s="1183">
        <f t="shared" si="202"/>
        <v>9.2764987029248125E-2</v>
      </c>
      <c r="H423" s="1181">
        <f t="shared" si="202"/>
        <v>4.9915703751429917E-2</v>
      </c>
      <c r="I423" s="1182">
        <f t="shared" si="202"/>
        <v>9.1613273383154642E-2</v>
      </c>
      <c r="J423" s="1182">
        <f t="shared" si="202"/>
        <v>8.623003818327972E-2</v>
      </c>
      <c r="K423" s="1183">
        <f t="shared" si="202"/>
        <v>6.7406540872947604E-2</v>
      </c>
      <c r="M423" s="1162"/>
      <c r="N423" s="1290">
        <f t="shared" si="203"/>
        <v>4.9721135708205341E-2</v>
      </c>
      <c r="O423" s="1181">
        <f t="shared" si="203"/>
        <v>9.1181308656081692E-2</v>
      </c>
      <c r="P423" s="1182">
        <f t="shared" si="203"/>
        <v>8.5726709538533827E-2</v>
      </c>
      <c r="Q423" s="1183">
        <f t="shared" si="203"/>
        <v>6.6950528406289622E-2</v>
      </c>
    </row>
    <row r="424" spans="1:17">
      <c r="A424" s="1170" t="s">
        <v>1034</v>
      </c>
      <c r="B424" s="1202"/>
      <c r="C424" s="1292">
        <f t="shared" si="202"/>
        <v>2.9215951405258497E-2</v>
      </c>
      <c r="D424" s="1176">
        <f t="shared" si="202"/>
        <v>4.015386869892652E-3</v>
      </c>
      <c r="E424" s="1293">
        <f t="shared" si="202"/>
        <v>3.1139717361952694E-2</v>
      </c>
      <c r="F424" s="1293">
        <f t="shared" si="202"/>
        <v>9.7310103657815727E-2</v>
      </c>
      <c r="G424" s="1294">
        <f t="shared" si="202"/>
        <v>9.5697718040929608E-2</v>
      </c>
      <c r="H424" s="1176">
        <f t="shared" si="202"/>
        <v>2.6930663996036802E-2</v>
      </c>
      <c r="I424" s="1293">
        <f t="shared" si="202"/>
        <v>2.5457464266828704E-2</v>
      </c>
      <c r="J424" s="1293">
        <f t="shared" si="202"/>
        <v>2.3916668872529186E-2</v>
      </c>
      <c r="K424" s="1294">
        <f t="shared" si="202"/>
        <v>2.2556004825380269E-2</v>
      </c>
      <c r="M424" s="1170"/>
      <c r="N424" s="1292">
        <f t="shared" si="203"/>
        <v>2.6825690085971531E-2</v>
      </c>
      <c r="O424" s="1176">
        <f t="shared" si="203"/>
        <v>2.5337430060016791E-2</v>
      </c>
      <c r="P424" s="1293">
        <f t="shared" si="203"/>
        <v>2.3777066191328234E-2</v>
      </c>
      <c r="Q424" s="1294">
        <f t="shared" si="203"/>
        <v>2.240341103751985E-2</v>
      </c>
    </row>
  </sheetData>
  <mergeCells count="106">
    <mergeCell ref="K405:K406"/>
    <mergeCell ref="N405:N406"/>
    <mergeCell ref="O405:O406"/>
    <mergeCell ref="P405:P406"/>
    <mergeCell ref="Q405:Q406"/>
    <mergeCell ref="Y226:Y227"/>
    <mergeCell ref="Z226:Z227"/>
    <mergeCell ref="C405:C406"/>
    <mergeCell ref="D405:D406"/>
    <mergeCell ref="E405:E406"/>
    <mergeCell ref="F405:F406"/>
    <mergeCell ref="G405:G406"/>
    <mergeCell ref="H405:H406"/>
    <mergeCell ref="I405:I406"/>
    <mergeCell ref="J405:J406"/>
    <mergeCell ref="R226:R227"/>
    <mergeCell ref="S226:S227"/>
    <mergeCell ref="T226:T227"/>
    <mergeCell ref="U226:U227"/>
    <mergeCell ref="W226:W227"/>
    <mergeCell ref="X226:X227"/>
    <mergeCell ref="J226:J227"/>
    <mergeCell ref="K226:K227"/>
    <mergeCell ref="N226:N227"/>
    <mergeCell ref="O226:O227"/>
    <mergeCell ref="P226:P227"/>
    <mergeCell ref="Q226:Q227"/>
    <mergeCell ref="R225:T225"/>
    <mergeCell ref="W225:Z225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H183:H184"/>
    <mergeCell ref="I183:I184"/>
    <mergeCell ref="J183:J184"/>
    <mergeCell ref="K183:K184"/>
    <mergeCell ref="N183:N184"/>
    <mergeCell ref="O183:O184"/>
    <mergeCell ref="P195:P196"/>
    <mergeCell ref="Q195:Q196"/>
    <mergeCell ref="A225:B225"/>
    <mergeCell ref="D225:G225"/>
    <mergeCell ref="H225:K225"/>
    <mergeCell ref="M225:Q225"/>
    <mergeCell ref="H195:H196"/>
    <mergeCell ref="I195:I196"/>
    <mergeCell ref="J195:J196"/>
    <mergeCell ref="K195:K196"/>
    <mergeCell ref="N195:N196"/>
    <mergeCell ref="O195:O196"/>
    <mergeCell ref="B195:B196"/>
    <mergeCell ref="C195:C196"/>
    <mergeCell ref="D195:D196"/>
    <mergeCell ref="E195:E196"/>
    <mergeCell ref="F195:F196"/>
    <mergeCell ref="G195:G196"/>
    <mergeCell ref="W2:W3"/>
    <mergeCell ref="X2:X3"/>
    <mergeCell ref="Y2:Y3"/>
    <mergeCell ref="P183:P184"/>
    <mergeCell ref="Q183:Q184"/>
    <mergeCell ref="R183:R184"/>
    <mergeCell ref="S183:S184"/>
    <mergeCell ref="T183:T184"/>
    <mergeCell ref="U183:U184"/>
    <mergeCell ref="B2:B3"/>
    <mergeCell ref="C2:C3"/>
    <mergeCell ref="D2:D3"/>
    <mergeCell ref="E2:E3"/>
    <mergeCell ref="F2:F3"/>
    <mergeCell ref="G2:G3"/>
    <mergeCell ref="B183:B184"/>
    <mergeCell ref="C183:C184"/>
    <mergeCell ref="D183:D184"/>
    <mergeCell ref="E183:E184"/>
    <mergeCell ref="F183:F184"/>
    <mergeCell ref="G183:G184"/>
    <mergeCell ref="A1:B1"/>
    <mergeCell ref="D1:G1"/>
    <mergeCell ref="H1:K1"/>
    <mergeCell ref="M1:Q1"/>
    <mergeCell ref="R1:T1"/>
    <mergeCell ref="W1:Z1"/>
    <mergeCell ref="Z2:Z3"/>
    <mergeCell ref="A182:B182"/>
    <mergeCell ref="D182:G182"/>
    <mergeCell ref="H182:K182"/>
    <mergeCell ref="M182:Q182"/>
    <mergeCell ref="R182:T182"/>
    <mergeCell ref="P2:P3"/>
    <mergeCell ref="Q2:Q3"/>
    <mergeCell ref="R2:R3"/>
    <mergeCell ref="S2:S3"/>
    <mergeCell ref="T2:T3"/>
    <mergeCell ref="U2:U3"/>
    <mergeCell ref="H2:H3"/>
    <mergeCell ref="I2:I3"/>
    <mergeCell ref="J2:J3"/>
    <mergeCell ref="K2:K3"/>
    <mergeCell ref="N2:N3"/>
    <mergeCell ref="O2:O3"/>
  </mergeCells>
  <pageMargins left="0.7" right="0.7" top="0.75" bottom="0.75" header="0.3" footer="0.3"/>
  <pageSetup paperSize="9" scale="1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showGridLines="0" workbookViewId="0">
      <selection sqref="A1:F1"/>
    </sheetView>
  </sheetViews>
  <sheetFormatPr defaultRowHeight="15"/>
  <cols>
    <col min="1" max="1" width="37.28515625" style="530" customWidth="1"/>
    <col min="2" max="16384" width="9.140625" style="530"/>
  </cols>
  <sheetData>
    <row r="1" spans="1:7">
      <c r="A1" s="1495" t="s">
        <v>555</v>
      </c>
      <c r="B1" s="1495"/>
      <c r="C1" s="1495"/>
      <c r="D1" s="1495"/>
      <c r="E1" s="1495"/>
      <c r="F1" s="1495"/>
    </row>
    <row r="2" spans="1:7">
      <c r="A2" s="598"/>
      <c r="B2" s="598">
        <v>2016</v>
      </c>
      <c r="C2" s="598">
        <v>2017</v>
      </c>
      <c r="D2" s="598">
        <v>2018</v>
      </c>
      <c r="E2" s="598">
        <v>2019</v>
      </c>
      <c r="F2" s="598">
        <v>2020</v>
      </c>
    </row>
    <row r="3" spans="1:7">
      <c r="A3" s="599" t="s">
        <v>556</v>
      </c>
      <c r="B3" s="600"/>
      <c r="C3" s="600">
        <v>-1083.5</v>
      </c>
      <c r="D3" s="600">
        <v>-742.8</v>
      </c>
      <c r="E3" s="600">
        <v>-95.3</v>
      </c>
      <c r="F3" s="600">
        <v>0</v>
      </c>
      <c r="G3" s="599"/>
    </row>
    <row r="4" spans="1:7">
      <c r="A4" s="601" t="s">
        <v>509</v>
      </c>
      <c r="B4" s="602"/>
      <c r="C4" s="602">
        <v>-1.29</v>
      </c>
      <c r="D4" s="602">
        <f>D3/D16*100</f>
        <v>-0.8299877200255209</v>
      </c>
      <c r="E4" s="602">
        <f>E3/E16*100</f>
        <v>-0.10004104517173362</v>
      </c>
      <c r="F4" s="602">
        <f>F3/F16*100</f>
        <v>0</v>
      </c>
      <c r="G4" s="599"/>
    </row>
    <row r="5" spans="1:7">
      <c r="A5" s="599" t="s">
        <v>557</v>
      </c>
      <c r="B5" s="600"/>
      <c r="C5" s="600">
        <v>-1375.6</v>
      </c>
      <c r="D5" s="600">
        <v>-742.8</v>
      </c>
      <c r="E5" s="600">
        <v>-309.39999999999998</v>
      </c>
      <c r="F5" s="600">
        <v>-273</v>
      </c>
      <c r="G5" s="599"/>
    </row>
    <row r="6" spans="1:7">
      <c r="A6" s="601" t="s">
        <v>509</v>
      </c>
      <c r="B6" s="602"/>
      <c r="C6" s="602">
        <f>C5/C16*100</f>
        <v>-1.626012416134355</v>
      </c>
      <c r="D6" s="602">
        <f>D5/D16*100</f>
        <v>-0.8299877200255209</v>
      </c>
      <c r="E6" s="602">
        <f>E5/E16*100</f>
        <v>-0.32479222850088546</v>
      </c>
      <c r="F6" s="602">
        <f>F5/F16*100</f>
        <v>-0.27027722721305569</v>
      </c>
      <c r="G6" s="599"/>
    </row>
    <row r="7" spans="1:7">
      <c r="A7" s="599" t="s">
        <v>558</v>
      </c>
      <c r="B7" s="600"/>
      <c r="C7" s="600">
        <v>-685.18619162247978</v>
      </c>
      <c r="D7" s="600">
        <v>-1078.0333274018212</v>
      </c>
      <c r="E7" s="600">
        <v>-1341.864669538666</v>
      </c>
      <c r="F7" s="600">
        <v>-1507.7902108902276</v>
      </c>
      <c r="G7" s="599"/>
    </row>
    <row r="8" spans="1:7">
      <c r="A8" s="599" t="s">
        <v>559</v>
      </c>
      <c r="B8" s="600"/>
      <c r="C8" s="600">
        <v>332.02938449463215</v>
      </c>
      <c r="D8" s="600">
        <v>573.74607354688771</v>
      </c>
      <c r="E8" s="600">
        <v>821.26246579193958</v>
      </c>
      <c r="F8" s="600">
        <v>1011.7132644941054</v>
      </c>
      <c r="G8" s="599"/>
    </row>
    <row r="9" spans="1:7">
      <c r="A9" s="599" t="s">
        <v>560</v>
      </c>
      <c r="B9" s="600"/>
      <c r="C9" s="600">
        <f>C3+C7+C8</f>
        <v>-1436.6568071278475</v>
      </c>
      <c r="D9" s="600">
        <f t="shared" ref="D9" si="0">D3+D7+D8</f>
        <v>-1247.0872538549334</v>
      </c>
      <c r="E9" s="600">
        <f>E5+E7+E8</f>
        <v>-830.00220374672654</v>
      </c>
      <c r="F9" s="600">
        <f>F5+F7+F8</f>
        <v>-769.07694639612225</v>
      </c>
      <c r="G9" s="599"/>
    </row>
    <row r="10" spans="1:7">
      <c r="A10" s="601" t="s">
        <v>509</v>
      </c>
      <c r="B10" s="603">
        <v>-2.19</v>
      </c>
      <c r="C10" s="603">
        <f>C9/C17*100</f>
        <v>-1.694083245844813</v>
      </c>
      <c r="D10" s="603">
        <f>D9/D17*100</f>
        <v>-1.3901018916050181</v>
      </c>
      <c r="E10" s="603">
        <f>E9/E17*100</f>
        <v>-0.86918973203268868</v>
      </c>
      <c r="F10" s="603">
        <f>F9/F17*100</f>
        <v>-0.75956793556864577</v>
      </c>
      <c r="G10" s="599"/>
    </row>
    <row r="11" spans="1:7">
      <c r="A11" s="604" t="s">
        <v>561</v>
      </c>
      <c r="B11" s="605"/>
      <c r="C11" s="605">
        <f>C4*C17/100-C9</f>
        <v>342.68029461548986</v>
      </c>
      <c r="D11" s="605">
        <f>D4*D17/100-D9</f>
        <v>502.48924075184289</v>
      </c>
      <c r="E11" s="605">
        <f>E4*E17/100-E9</f>
        <v>734.47152166712976</v>
      </c>
      <c r="F11" s="605">
        <f>F4*F17/100-F9</f>
        <v>769.07694639612225</v>
      </c>
      <c r="G11" s="599"/>
    </row>
    <row r="12" spans="1:7">
      <c r="A12" s="606" t="s">
        <v>509</v>
      </c>
      <c r="B12" s="607"/>
      <c r="C12" s="607">
        <f>C4-C10</f>
        <v>0.40408324584481292</v>
      </c>
      <c r="D12" s="607">
        <f t="shared" ref="D12:F12" si="1">D4-D10</f>
        <v>0.56011417157949717</v>
      </c>
      <c r="E12" s="607">
        <f t="shared" si="1"/>
        <v>0.76914868686095506</v>
      </c>
      <c r="F12" s="607">
        <f t="shared" si="1"/>
        <v>0.75956793556864577</v>
      </c>
      <c r="G12" s="599"/>
    </row>
    <row r="13" spans="1:7">
      <c r="A13" s="596" t="s">
        <v>562</v>
      </c>
      <c r="B13" s="599"/>
      <c r="C13" s="599"/>
      <c r="D13" s="599"/>
      <c r="E13" s="1496" t="s">
        <v>59</v>
      </c>
      <c r="F13" s="1496"/>
      <c r="G13" s="599"/>
    </row>
    <row r="14" spans="1:7">
      <c r="A14" s="596" t="s">
        <v>563</v>
      </c>
      <c r="B14" s="599"/>
      <c r="C14" s="599"/>
      <c r="D14" s="599"/>
      <c r="E14" s="599"/>
      <c r="F14" s="599"/>
      <c r="G14" s="599"/>
    </row>
    <row r="15" spans="1:7">
      <c r="G15" s="599"/>
    </row>
    <row r="16" spans="1:7">
      <c r="A16" s="599" t="s">
        <v>564</v>
      </c>
      <c r="B16" s="600">
        <v>80958</v>
      </c>
      <c r="C16" s="600">
        <v>84599.6</v>
      </c>
      <c r="D16" s="600">
        <v>89495.3</v>
      </c>
      <c r="E16" s="600">
        <v>95260.9</v>
      </c>
      <c r="F16" s="600">
        <v>101007.4</v>
      </c>
      <c r="G16" s="599"/>
    </row>
    <row r="17" spans="1:7">
      <c r="A17" s="599" t="s">
        <v>565</v>
      </c>
      <c r="B17" s="600">
        <v>81153.966</v>
      </c>
      <c r="C17" s="600">
        <f>C16*($B$17/$B$16)</f>
        <v>84804.380814911434</v>
      </c>
      <c r="D17" s="600">
        <f>D16*($B$17/$B$16)</f>
        <v>89711.931289802116</v>
      </c>
      <c r="E17" s="600">
        <f>E16*($B$17/$B$16)</f>
        <v>95491.487434588285</v>
      </c>
      <c r="F17" s="600">
        <f>F16*($B$17/$B$16)</f>
        <v>101251.89734613503</v>
      </c>
      <c r="G17" s="599"/>
    </row>
    <row r="18" spans="1:7">
      <c r="A18" s="599"/>
      <c r="B18" s="608"/>
      <c r="C18" s="608"/>
      <c r="D18" s="608"/>
      <c r="E18" s="608"/>
      <c r="F18" s="608"/>
      <c r="G18" s="599"/>
    </row>
    <row r="19" spans="1:7">
      <c r="A19" s="599"/>
      <c r="B19" s="608"/>
      <c r="C19" s="608"/>
      <c r="D19" s="608"/>
      <c r="E19" s="608"/>
      <c r="F19" s="608"/>
      <c r="G19" s="599"/>
    </row>
    <row r="20" spans="1:7">
      <c r="A20" s="599"/>
      <c r="B20" s="599"/>
      <c r="C20" s="599"/>
      <c r="D20" s="599"/>
      <c r="E20" s="599"/>
      <c r="F20" s="599"/>
      <c r="G20" s="599"/>
    </row>
    <row r="21" spans="1:7">
      <c r="A21" s="599"/>
      <c r="B21" s="599"/>
      <c r="C21" s="599"/>
      <c r="D21" s="599"/>
      <c r="E21" s="599"/>
      <c r="F21" s="599"/>
      <c r="G21" s="599"/>
    </row>
    <row r="22" spans="1:7">
      <c r="A22" s="609"/>
      <c r="B22" s="609"/>
      <c r="C22" s="610"/>
      <c r="D22" s="599"/>
      <c r="E22" s="599"/>
      <c r="F22" s="599"/>
      <c r="G22" s="599"/>
    </row>
    <row r="23" spans="1:7">
      <c r="A23" s="609"/>
      <c r="B23" s="609"/>
      <c r="C23" s="611"/>
      <c r="D23" s="599"/>
      <c r="E23" s="599"/>
      <c r="F23" s="599"/>
      <c r="G23" s="599"/>
    </row>
    <row r="24" spans="1:7">
      <c r="A24" s="599"/>
      <c r="B24" s="599"/>
      <c r="C24" s="599"/>
      <c r="D24" s="599"/>
      <c r="E24" s="599"/>
      <c r="F24" s="599"/>
      <c r="G24" s="599"/>
    </row>
    <row r="25" spans="1:7">
      <c r="A25" s="599"/>
      <c r="B25" s="599"/>
      <c r="C25" s="599"/>
      <c r="D25" s="599"/>
      <c r="E25" s="599"/>
      <c r="F25" s="599"/>
      <c r="G25" s="599"/>
    </row>
    <row r="26" spans="1:7">
      <c r="A26" s="599"/>
      <c r="B26" s="599"/>
      <c r="C26" s="599"/>
      <c r="D26" s="599"/>
      <c r="E26" s="599"/>
      <c r="F26" s="599"/>
      <c r="G26" s="599"/>
    </row>
  </sheetData>
  <mergeCells count="2">
    <mergeCell ref="A1:F1"/>
    <mergeCell ref="E13:F13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E701AD568AA2478B078039D5F76868" ma:contentTypeVersion="6" ma:contentTypeDescription="Create a new document." ma:contentTypeScope="" ma:versionID="0028c863bfd7e3d8538a24ccd0da61bc">
  <xsd:schema xmlns:xsd="http://www.w3.org/2001/XMLSchema" xmlns:xs="http://www.w3.org/2001/XMLSchema" xmlns:p="http://schemas.microsoft.com/office/2006/metadata/properties" xmlns:ns2="e37c3c1f-ee67-4d37-8330-71fba71fe892" xmlns:ns3="ff691899-9eb7-4807-b4ff-7884f9194702" targetNamespace="http://schemas.microsoft.com/office/2006/metadata/properties" ma:root="true" ma:fieldsID="e7690b157d37dd6be6863999fef37db5" ns2:_="" ns3:_="">
    <xsd:import namespace="e37c3c1f-ee67-4d37-8330-71fba71fe892"/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7c3c1f-ee67-4d37-8330-71fba71fe8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A5C5036-A887-4065-AF10-DDB5A02801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7c3c1f-ee67-4d37-8330-71fba71fe892"/>
    <ds:schemaRef ds:uri="ff691899-9eb7-4807-b4ff-7884f91947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90BF71-A851-445B-8DAC-C008ABA4B7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B1132D-B3BE-4C0D-9986-E8170A3F81DF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ff691899-9eb7-4807-b4ff-7884f9194702"/>
    <ds:schemaRef ds:uri="e37c3c1f-ee67-4d37-8330-71fba71fe89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87</vt:i4>
      </vt:variant>
    </vt:vector>
  </HeadingPairs>
  <TitlesOfParts>
    <vt:vector size="87" baseType="lpstr">
      <vt:lpstr>Obsah</vt:lpstr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T35</vt:lpstr>
      <vt:lpstr>T36</vt:lpstr>
      <vt:lpstr>T37</vt:lpstr>
      <vt:lpstr>T38,T39</vt:lpstr>
      <vt:lpstr>T40</vt:lpstr>
      <vt:lpstr>T41</vt:lpstr>
      <vt:lpstr>T42</vt:lpstr>
      <vt:lpstr>G01</vt:lpstr>
      <vt:lpstr>G02</vt:lpstr>
      <vt:lpstr>G03, G04</vt:lpstr>
      <vt:lpstr>G05, G06</vt:lpstr>
      <vt:lpstr>G07</vt:lpstr>
      <vt:lpstr>G08</vt:lpstr>
      <vt:lpstr>G09</vt:lpstr>
      <vt:lpstr>G10, 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</vt:lpstr>
      <vt:lpstr>G26</vt:lpstr>
      <vt:lpstr>G27</vt:lpstr>
      <vt:lpstr>G28</vt:lpstr>
      <vt:lpstr>G29</vt:lpstr>
      <vt:lpstr>G30</vt:lpstr>
      <vt:lpstr>G31</vt:lpstr>
      <vt:lpstr>G32</vt:lpstr>
      <vt:lpstr>G33</vt:lpstr>
      <vt:lpstr>G34, G35</vt:lpstr>
      <vt:lpstr>G36</vt:lpstr>
      <vt:lpstr>G37,G38</vt:lpstr>
      <vt:lpstr>G39</vt:lpstr>
      <vt:lpstr>G40,G41</vt:lpstr>
      <vt:lpstr>G42</vt:lpstr>
      <vt:lpstr>G43</vt:lpstr>
      <vt:lpstr>G44-G49</vt:lpstr>
      <vt:lpstr>G50</vt:lpstr>
      <vt:lpstr>G51</vt:lpstr>
      <vt:lpstr>G52</vt:lpstr>
      <vt:lpstr>G53</vt:lpstr>
      <vt:lpstr>G54,G55</vt:lpstr>
      <vt:lpstr>G56</vt:lpstr>
      <vt:lpstr>NPC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PC-003MM</dc:creator>
  <cp:lastModifiedBy>Kubik</cp:lastModifiedBy>
  <cp:lastPrinted>2017-10-18T06:28:12Z</cp:lastPrinted>
  <dcterms:created xsi:type="dcterms:W3CDTF">2013-08-08T10:48:48Z</dcterms:created>
  <dcterms:modified xsi:type="dcterms:W3CDTF">2017-11-15T11:45:39Z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0x01010049E701AD568AA2478B078039D5F76868</vt:lpwstr>
  </property>
</Properties>
</file>