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omments2.xml" ContentType="application/vnd.openxmlformats-officedocument.spreadsheetml.comments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8.xml" ContentType="application/vnd.openxmlformats-officedocument.drawing+xml"/>
  <Override PartName="/xl/charts/chart3.xml" ContentType="application/vnd.openxmlformats-officedocument.drawingml.chart+xml"/>
  <Override PartName="/xl/drawings/drawing49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0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1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7.xml" ContentType="application/vnd.openxmlformats-officedocument.drawingml.chart+xml"/>
  <Override PartName="/xl/drawings/drawing54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6.xml" ContentType="application/vnd.openxmlformats-officedocument.drawingml.chartshapes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7.xml" ContentType="application/vnd.openxmlformats-officedocument.drawingml.chartshapes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8.xml" ContentType="application/vnd.openxmlformats-officedocument.drawingml.chartshapes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1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.xml" ContentType="application/vnd.openxmlformats-officedocument.themeOverride+xml"/>
  <Override PartName="/xl/drawings/drawing62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2.xml" ContentType="application/vnd.openxmlformats-officedocument.themeOverride+xml"/>
  <Override PartName="/xl/drawings/drawing63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4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5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6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20.xml" ContentType="application/vnd.openxmlformats-officedocument.drawingml.chart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21.xml" ContentType="application/vnd.openxmlformats-officedocument.drawingml.chart+xml"/>
  <Override PartName="/xl/theme/themeOverride3.xml" ContentType="application/vnd.openxmlformats-officedocument.themeOverride+xml"/>
  <Override PartName="/xl/drawings/drawing71.xml" ContentType="application/vnd.openxmlformats-officedocument.drawing+xml"/>
  <Override PartName="/xl/charts/chart22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4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5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6.xml" ContentType="application/vnd.openxmlformats-officedocument.drawing+xml"/>
  <Override PartName="/xl/comments3.xml" ContentType="application/vnd.openxmlformats-officedocument.spreadsheetml.comments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7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8.xml" ContentType="application/vnd.openxmlformats-officedocument.drawing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9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0.xml" ContentType="application/vnd.openxmlformats-officedocument.drawing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1.xml" ContentType="application/vnd.openxmlformats-officedocument.drawing+xml"/>
  <Override PartName="/xl/charts/chart3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82.xml" ContentType="application/vnd.openxmlformats-officedocument.drawing+xml"/>
  <Override PartName="/xl/charts/chart32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83.xml" ContentType="application/vnd.openxmlformats-officedocument.drawing+xml"/>
  <Override PartName="/xl/charts/chart34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84.xml" ContentType="application/vnd.openxmlformats-officedocument.drawing+xml"/>
  <Override PartName="/xl/charts/chart35.xml" ContentType="application/vnd.openxmlformats-officedocument.drawingml.chart+xml"/>
  <Override PartName="/xl/drawings/drawing85.xml" ContentType="application/vnd.openxmlformats-officedocument.drawingml.chartshapes+xml"/>
  <Override PartName="/xl/drawings/drawing86.xml" ContentType="application/vnd.openxmlformats-officedocument.drawing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87.xml" ContentType="application/vnd.openxmlformats-officedocument.drawing+xml"/>
  <Override PartName="/xl/charts/chart37.xml" ContentType="application/vnd.openxmlformats-officedocument.drawingml.chart+xml"/>
  <Override PartName="/xl/theme/themeOverride4.xml" ContentType="application/vnd.openxmlformats-officedocument.themeOverride+xml"/>
  <Override PartName="/xl/drawings/drawing88.xml" ContentType="application/vnd.openxmlformats-officedocument.drawing+xml"/>
  <Override PartName="/xl/charts/chart38.xml" ContentType="application/vnd.openxmlformats-officedocument.drawingml.chart+xml"/>
  <Override PartName="/xl/theme/themeOverride5.xml" ContentType="application/vnd.openxmlformats-officedocument.themeOverride+xml"/>
  <Override PartName="/xl/drawings/drawing89.xml" ContentType="application/vnd.openxmlformats-officedocument.drawing+xml"/>
  <Override PartName="/xl/charts/chart39.xml" ContentType="application/vnd.openxmlformats-officedocument.drawingml.chart+xml"/>
  <Override PartName="/xl/theme/themeOverride6.xml" ContentType="application/vnd.openxmlformats-officedocument.themeOverride+xml"/>
  <Override PartName="/xl/drawings/drawing90.xml" ContentType="application/vnd.openxmlformats-officedocument.drawing+xml"/>
  <Override PartName="/xl/charts/chart40.xml" ContentType="application/vnd.openxmlformats-officedocument.drawingml.chart+xml"/>
  <Override PartName="/xl/theme/themeOverride7.xml" ContentType="application/vnd.openxmlformats-officedocument.themeOverride+xml"/>
  <Override PartName="/xl/drawings/drawing91.xml" ContentType="application/vnd.openxmlformats-officedocument.drawing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92.xml" ContentType="application/vnd.openxmlformats-officedocument.drawing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93.xml" ContentType="application/vnd.openxmlformats-officedocument.drawingml.chartshapes+xml"/>
  <Override PartName="/xl/drawings/drawing9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Tímová lokalita - 09_MATERIALY2\01_STRATEGICKE_DOKUMENTY\02_ROZPOCET\07_RVS_2019_2021\datovy_subor\"/>
    </mc:Choice>
  </mc:AlternateContent>
  <xr:revisionPtr revIDLastSave="0" documentId="10_ncr:100000_{31C54DF6-C7A4-441F-8C78-496E35F91C8A}" xr6:coauthVersionLast="31" xr6:coauthVersionMax="31" xr10:uidLastSave="{00000000-0000-0000-0000-000000000000}"/>
  <bookViews>
    <workbookView xWindow="0" yWindow="0" windowWidth="28800" windowHeight="11625" tabRatio="802" xr2:uid="{0E205F9B-B772-49EE-B381-ADA51D9014DC}"/>
  </bookViews>
  <sheets>
    <sheet name="Obsah" sheetId="41" r:id="rId1"/>
    <sheet name="T01" sheetId="47" r:id="rId2"/>
    <sheet name="T02" sheetId="48" r:id="rId3"/>
    <sheet name="T03" sheetId="49" r:id="rId4"/>
    <sheet name="T04" sheetId="50" r:id="rId5"/>
    <sheet name="T05" sheetId="67" r:id="rId6"/>
    <sheet name="T06" sheetId="68" r:id="rId7"/>
    <sheet name="T07" sheetId="1" r:id="rId8"/>
    <sheet name="T08" sheetId="42" r:id="rId9"/>
    <sheet name="T09" sheetId="4" r:id="rId10"/>
    <sheet name="T10" sheetId="5" r:id="rId11"/>
    <sheet name="T11" sheetId="6" r:id="rId12"/>
    <sheet name="T12" sheetId="7" r:id="rId13"/>
    <sheet name="T13" sheetId="10" r:id="rId14"/>
    <sheet name="T14" sheetId="51" r:id="rId15"/>
    <sheet name="T15" sheetId="16" r:id="rId16"/>
    <sheet name="T16" sheetId="17" r:id="rId17"/>
    <sheet name="T17" sheetId="18" r:id="rId18"/>
    <sheet name="T18" sheetId="69" r:id="rId19"/>
    <sheet name="T19" sheetId="70" r:id="rId20"/>
    <sheet name="T20" sheetId="71" r:id="rId21"/>
    <sheet name="T21" sheetId="72" r:id="rId22"/>
    <sheet name="T22" sheetId="45" r:id="rId23"/>
    <sheet name="T23" sheetId="19" r:id="rId24"/>
    <sheet name="T24" sheetId="20" r:id="rId25"/>
    <sheet name="T25" sheetId="21" r:id="rId26"/>
    <sheet name="T26" sheetId="23" r:id="rId27"/>
    <sheet name="T27" sheetId="24" r:id="rId28"/>
    <sheet name="T28" sheetId="25" r:id="rId29"/>
    <sheet name="T29" sheetId="22" r:id="rId30"/>
    <sheet name="T30" sheetId="52" r:id="rId31"/>
    <sheet name="T31" sheetId="26" r:id="rId32"/>
    <sheet name="T32" sheetId="27" r:id="rId33"/>
    <sheet name="T33" sheetId="30" r:id="rId34"/>
    <sheet name="T34" sheetId="31" r:id="rId35"/>
    <sheet name="T35" sheetId="33" r:id="rId36"/>
    <sheet name="T36" sheetId="32" r:id="rId37"/>
    <sheet name="T37" sheetId="34" r:id="rId38"/>
    <sheet name="T38" sheetId="35" r:id="rId39"/>
    <sheet name="T39" sheetId="36" r:id="rId40"/>
    <sheet name="T40" sheetId="37" r:id="rId41"/>
    <sheet name="T41" sheetId="46" r:id="rId42"/>
    <sheet name="T42" sheetId="53" r:id="rId43"/>
    <sheet name="T43" sheetId="54" r:id="rId44"/>
    <sheet name="T44" sheetId="55" r:id="rId45"/>
    <sheet name="T45" sheetId="56" r:id="rId46"/>
    <sheet name="T46, T47" sheetId="38" r:id="rId47"/>
    <sheet name="G01" sheetId="57" r:id="rId48"/>
    <sheet name="G02" sheetId="58" r:id="rId49"/>
    <sheet name="G03" sheetId="59" r:id="rId50"/>
    <sheet name="G04" sheetId="60" r:id="rId51"/>
    <sheet name="G05" sheetId="61" r:id="rId52"/>
    <sheet name="G06" sheetId="3" r:id="rId53"/>
    <sheet name="G07" sheetId="2" r:id="rId54"/>
    <sheet name="G08" sheetId="73" r:id="rId55"/>
    <sheet name="G09" sheetId="74" r:id="rId56"/>
    <sheet name="G10" sheetId="75" r:id="rId57"/>
    <sheet name="G11" sheetId="76" r:id="rId58"/>
    <sheet name="G12" sheetId="77" r:id="rId59"/>
    <sheet name="G13" sheetId="78" r:id="rId60"/>
    <sheet name="G14" sheetId="79" r:id="rId61"/>
    <sheet name="G15" sheetId="80" r:id="rId62"/>
    <sheet name="G16" sheetId="85" r:id="rId63"/>
    <sheet name="G17" sheetId="65" r:id="rId64"/>
    <sheet name="G18" sheetId="8" r:id="rId65"/>
    <sheet name="G19" sheetId="9" r:id="rId66"/>
    <sheet name="G20" sheetId="11" r:id="rId67"/>
    <sheet name="G21" sheetId="12" r:id="rId68"/>
    <sheet name="G22" sheetId="43" r:id="rId69"/>
    <sheet name="G23" sheetId="44" r:id="rId70"/>
    <sheet name="G24" sheetId="14" r:id="rId71"/>
    <sheet name="G25" sheetId="13" r:id="rId72"/>
    <sheet name="G26, G27" sheetId="15" r:id="rId73"/>
    <sheet name="G28" sheetId="62" r:id="rId74"/>
    <sheet name="G29" sheetId="63" r:id="rId75"/>
    <sheet name="G30" sheetId="64" r:id="rId76"/>
    <sheet name="G31" sheetId="81" r:id="rId77"/>
    <sheet name="G32" sheetId="82" r:id="rId78"/>
    <sheet name="G33" sheetId="83" r:id="rId79"/>
    <sheet name="G34" sheetId="84" r:id="rId80"/>
    <sheet name="G35" sheetId="28" r:id="rId81"/>
    <sheet name="G36" sheetId="29" r:id="rId82"/>
    <sheet name="NPC" sheetId="40" r:id="rId83"/>
  </sheets>
  <definedNames>
    <definedName name="_Toc529805042" localSheetId="62">'G16'!$G$1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5" l="1"/>
  <c r="D16" i="85"/>
  <c r="D15" i="85"/>
  <c r="D14" i="85"/>
  <c r="D13" i="85"/>
  <c r="D12" i="85"/>
  <c r="D11" i="85"/>
  <c r="D10" i="85"/>
  <c r="D9" i="85"/>
  <c r="D8" i="85"/>
  <c r="D7" i="85"/>
  <c r="D6" i="85"/>
  <c r="D5" i="85"/>
  <c r="D4" i="85"/>
  <c r="I3" i="69"/>
  <c r="H3" i="69"/>
  <c r="E3" i="69"/>
  <c r="F3" i="69" s="1"/>
  <c r="G3" i="69" l="1"/>
  <c r="J3" i="69"/>
  <c r="F45" i="56"/>
  <c r="E45" i="56"/>
  <c r="D45" i="56"/>
  <c r="C45" i="56"/>
  <c r="B45" i="56"/>
  <c r="B41" i="56"/>
  <c r="B42" i="56" s="1"/>
  <c r="F4" i="56"/>
  <c r="F41" i="56" s="1"/>
  <c r="F42" i="56" s="1"/>
  <c r="E4" i="56"/>
  <c r="E41" i="56" s="1"/>
  <c r="E42" i="56" s="1"/>
  <c r="D4" i="56"/>
  <c r="D41" i="56" s="1"/>
  <c r="D42" i="56" s="1"/>
  <c r="C4" i="56"/>
  <c r="C41" i="56" s="1"/>
  <c r="C42" i="56" s="1"/>
  <c r="B4" i="56"/>
  <c r="F48" i="55"/>
  <c r="E48" i="55"/>
  <c r="D48" i="55"/>
  <c r="C48" i="55"/>
  <c r="B48" i="55"/>
  <c r="F47" i="55"/>
  <c r="E47" i="55"/>
  <c r="D47" i="55"/>
  <c r="C47" i="55"/>
  <c r="B47" i="55"/>
  <c r="C46" i="55"/>
  <c r="F45" i="55"/>
  <c r="E45" i="55"/>
  <c r="D45" i="55"/>
  <c r="C45" i="55"/>
  <c r="B45" i="55"/>
  <c r="F44" i="55"/>
  <c r="E44" i="55"/>
  <c r="D44" i="55"/>
  <c r="C44" i="55"/>
  <c r="B44" i="55"/>
  <c r="F43" i="55"/>
  <c r="E43" i="55"/>
  <c r="D43" i="55"/>
  <c r="C43" i="55"/>
  <c r="B43" i="55"/>
  <c r="F42" i="55"/>
  <c r="E42" i="55"/>
  <c r="D42" i="55"/>
  <c r="C42" i="55"/>
  <c r="B42" i="55"/>
  <c r="F41" i="55"/>
  <c r="E41" i="55"/>
  <c r="D41" i="55"/>
  <c r="C41" i="55"/>
  <c r="B41" i="55"/>
  <c r="F40" i="55"/>
  <c r="E40" i="55"/>
  <c r="D40" i="55"/>
  <c r="C40" i="55"/>
  <c r="B40" i="55"/>
  <c r="F39" i="55"/>
  <c r="E39" i="55"/>
  <c r="D39" i="55"/>
  <c r="C39" i="55"/>
  <c r="B39" i="55"/>
  <c r="F38" i="55"/>
  <c r="E38" i="55"/>
  <c r="D38" i="55"/>
  <c r="C38" i="55"/>
  <c r="B38" i="55"/>
  <c r="F37" i="55"/>
  <c r="E37" i="55"/>
  <c r="D37" i="55"/>
  <c r="C37" i="55"/>
  <c r="B37" i="55"/>
  <c r="F36" i="55"/>
  <c r="E36" i="55"/>
  <c r="D36" i="55"/>
  <c r="C36" i="55"/>
  <c r="B36" i="55"/>
  <c r="B35" i="55"/>
  <c r="F34" i="55"/>
  <c r="E34" i="55"/>
  <c r="D34" i="55"/>
  <c r="C34" i="55"/>
  <c r="B34" i="55"/>
  <c r="F33" i="55"/>
  <c r="E33" i="55"/>
  <c r="D33" i="55"/>
  <c r="C33" i="55"/>
  <c r="B33" i="55"/>
  <c r="F32" i="55"/>
  <c r="E32" i="55"/>
  <c r="D32" i="55"/>
  <c r="C32" i="55"/>
  <c r="B32" i="55"/>
  <c r="F31" i="55"/>
  <c r="E31" i="55"/>
  <c r="D31" i="55"/>
  <c r="C31" i="55"/>
  <c r="B31" i="55"/>
  <c r="F30" i="55"/>
  <c r="E30" i="55"/>
  <c r="D30" i="55"/>
  <c r="C30" i="55"/>
  <c r="B30" i="55"/>
  <c r="F29" i="55"/>
  <c r="E29" i="55"/>
  <c r="D29" i="55"/>
  <c r="C29" i="55"/>
  <c r="B29" i="55"/>
  <c r="E28" i="55"/>
  <c r="B27" i="55"/>
  <c r="F26" i="55"/>
  <c r="E26" i="55"/>
  <c r="D26" i="55"/>
  <c r="C26" i="55"/>
  <c r="B26" i="55"/>
  <c r="F25" i="55"/>
  <c r="E25" i="55"/>
  <c r="D25" i="55"/>
  <c r="C25" i="55"/>
  <c r="B25" i="55"/>
  <c r="F24" i="55"/>
  <c r="E24" i="55"/>
  <c r="D24" i="55"/>
  <c r="C24" i="55"/>
  <c r="B24" i="55"/>
  <c r="F23" i="55"/>
  <c r="E23" i="55"/>
  <c r="D23" i="55"/>
  <c r="C23" i="55"/>
  <c r="B23" i="55"/>
  <c r="F22" i="55"/>
  <c r="E22" i="55"/>
  <c r="D22" i="55"/>
  <c r="C22" i="55"/>
  <c r="B22" i="55"/>
  <c r="F21" i="55"/>
  <c r="E21" i="55"/>
  <c r="D21" i="55"/>
  <c r="C21" i="55"/>
  <c r="B21" i="55"/>
  <c r="F20" i="55"/>
  <c r="E20" i="55"/>
  <c r="D20" i="55"/>
  <c r="C20" i="55"/>
  <c r="B20" i="55"/>
  <c r="F19" i="55"/>
  <c r="E19" i="55"/>
  <c r="D19" i="55"/>
  <c r="C19" i="55"/>
  <c r="B19" i="55"/>
  <c r="F18" i="55"/>
  <c r="E18" i="55"/>
  <c r="D18" i="55"/>
  <c r="C18" i="55"/>
  <c r="B18" i="55"/>
  <c r="F17" i="55"/>
  <c r="E17" i="55"/>
  <c r="D17" i="55"/>
  <c r="C17" i="55"/>
  <c r="B17" i="55"/>
  <c r="F16" i="55"/>
  <c r="E16" i="55"/>
  <c r="D16" i="55"/>
  <c r="C16" i="55"/>
  <c r="B16" i="55"/>
  <c r="F15" i="55"/>
  <c r="E15" i="55"/>
  <c r="D15" i="55"/>
  <c r="C15" i="55"/>
  <c r="B15" i="55"/>
  <c r="F14" i="55"/>
  <c r="E14" i="55"/>
  <c r="D14" i="55"/>
  <c r="C14" i="55"/>
  <c r="B14" i="55"/>
  <c r="F13" i="55"/>
  <c r="E13" i="55"/>
  <c r="D13" i="55"/>
  <c r="C13" i="55"/>
  <c r="B13" i="55"/>
  <c r="F12" i="55"/>
  <c r="E12" i="55"/>
  <c r="D12" i="55"/>
  <c r="C12" i="55"/>
  <c r="B12" i="55"/>
  <c r="F11" i="55"/>
  <c r="E11" i="55"/>
  <c r="D11" i="55"/>
  <c r="C11" i="55"/>
  <c r="B11" i="55"/>
  <c r="F10" i="55"/>
  <c r="E10" i="55"/>
  <c r="D10" i="55"/>
  <c r="C10" i="55"/>
  <c r="B10" i="55"/>
  <c r="F9" i="55"/>
  <c r="E9" i="55"/>
  <c r="D9" i="55"/>
  <c r="C9" i="55"/>
  <c r="B9" i="55"/>
  <c r="F8" i="55"/>
  <c r="E8" i="55"/>
  <c r="D8" i="55"/>
  <c r="C8" i="55"/>
  <c r="B8" i="55"/>
  <c r="F7" i="55"/>
  <c r="E7" i="55"/>
  <c r="D7" i="55"/>
  <c r="C7" i="55"/>
  <c r="B7" i="55"/>
  <c r="F6" i="55"/>
  <c r="E6" i="55"/>
  <c r="D6" i="55"/>
  <c r="C6" i="55"/>
  <c r="B6" i="55"/>
  <c r="F5" i="55"/>
  <c r="E5" i="55"/>
  <c r="D5" i="55"/>
  <c r="C5" i="55"/>
  <c r="B5" i="55"/>
  <c r="E4" i="55"/>
  <c r="F46" i="54"/>
  <c r="F46" i="55" s="1"/>
  <c r="E46" i="54"/>
  <c r="E46" i="55" s="1"/>
  <c r="D46" i="54"/>
  <c r="D46" i="55" s="1"/>
  <c r="C46" i="54"/>
  <c r="B46" i="54"/>
  <c r="B46" i="55" s="1"/>
  <c r="F35" i="54"/>
  <c r="F35" i="55" s="1"/>
  <c r="E35" i="54"/>
  <c r="E35" i="55" s="1"/>
  <c r="D35" i="54"/>
  <c r="D35" i="55" s="1"/>
  <c r="C35" i="54"/>
  <c r="C35" i="55" s="1"/>
  <c r="B35" i="54"/>
  <c r="F28" i="54"/>
  <c r="F28" i="55" s="1"/>
  <c r="E28" i="54"/>
  <c r="D28" i="54"/>
  <c r="D28" i="55" s="1"/>
  <c r="C28" i="54"/>
  <c r="C28" i="55" s="1"/>
  <c r="B28" i="54"/>
  <c r="B28" i="55" s="1"/>
  <c r="F27" i="54"/>
  <c r="F27" i="55" s="1"/>
  <c r="E27" i="54"/>
  <c r="E27" i="55" s="1"/>
  <c r="C27" i="54"/>
  <c r="C27" i="55" s="1"/>
  <c r="B27" i="54"/>
  <c r="F4" i="54"/>
  <c r="F4" i="55" s="1"/>
  <c r="E4" i="54"/>
  <c r="D4" i="54"/>
  <c r="D4" i="55" s="1"/>
  <c r="C4" i="54"/>
  <c r="C4" i="55" s="1"/>
  <c r="B4" i="54"/>
  <c r="B4" i="55" s="1"/>
  <c r="E3" i="54"/>
  <c r="E49" i="54" s="1"/>
  <c r="E49" i="55" s="1"/>
  <c r="D3" i="54"/>
  <c r="C3" i="54"/>
  <c r="C49" i="54" s="1"/>
  <c r="C49" i="55" s="1"/>
  <c r="F6" i="53"/>
  <c r="E6" i="53"/>
  <c r="D6" i="53"/>
  <c r="C6" i="53"/>
  <c r="B6" i="53"/>
  <c r="D7" i="52"/>
  <c r="C7" i="52"/>
  <c r="B7" i="52"/>
  <c r="J19" i="51"/>
  <c r="B16" i="51"/>
  <c r="B15" i="51"/>
  <c r="B14" i="51"/>
  <c r="J12" i="51"/>
  <c r="J10" i="51"/>
  <c r="J7" i="51"/>
  <c r="B5" i="51"/>
  <c r="B6" i="51"/>
  <c r="E7" i="50"/>
  <c r="D7" i="50"/>
  <c r="E5" i="50"/>
  <c r="E6" i="50" s="1"/>
  <c r="D5" i="50"/>
  <c r="D6" i="50" s="1"/>
  <c r="C5" i="50"/>
  <c r="C6" i="50" s="1"/>
  <c r="F6" i="48"/>
  <c r="E6" i="48"/>
  <c r="D6" i="48"/>
  <c r="C6" i="48"/>
  <c r="B6" i="48"/>
  <c r="D49" i="54" l="1"/>
  <c r="D49" i="55" s="1"/>
  <c r="C7" i="50"/>
  <c r="F3" i="54"/>
  <c r="D27" i="54"/>
  <c r="D27" i="55" s="1"/>
  <c r="C3" i="55"/>
  <c r="D3" i="55"/>
  <c r="E3" i="55"/>
  <c r="B3" i="54"/>
  <c r="B3" i="55" l="1"/>
  <c r="B49" i="54"/>
  <c r="B49" i="55" s="1"/>
  <c r="F3" i="55"/>
  <c r="F49" i="54"/>
  <c r="F49" i="55" s="1"/>
  <c r="T428" i="40" l="1"/>
  <c r="S428" i="40"/>
  <c r="R428" i="40"/>
  <c r="T427" i="40"/>
  <c r="S427" i="40"/>
  <c r="R427" i="40"/>
  <c r="T426" i="40"/>
  <c r="S426" i="40"/>
  <c r="R426" i="40"/>
  <c r="T425" i="40"/>
  <c r="S425" i="40"/>
  <c r="R425" i="40"/>
  <c r="T424" i="40"/>
  <c r="S424" i="40"/>
  <c r="R424" i="40"/>
  <c r="T423" i="40"/>
  <c r="S423" i="40"/>
  <c r="R423" i="40"/>
  <c r="T422" i="40"/>
  <c r="S422" i="40"/>
  <c r="R422" i="40"/>
  <c r="T421" i="40"/>
  <c r="S421" i="40"/>
  <c r="R421" i="40"/>
  <c r="T420" i="40"/>
  <c r="S420" i="40"/>
  <c r="R420" i="40"/>
  <c r="T419" i="40"/>
  <c r="S419" i="40"/>
  <c r="S411" i="40" s="1"/>
  <c r="R419" i="40"/>
  <c r="T418" i="40"/>
  <c r="S418" i="40"/>
  <c r="R418" i="40"/>
  <c r="T417" i="40"/>
  <c r="S417" i="40"/>
  <c r="R417" i="40"/>
  <c r="T416" i="40"/>
  <c r="T411" i="40" s="1"/>
  <c r="S416" i="40"/>
  <c r="R416" i="40"/>
  <c r="T415" i="40"/>
  <c r="S415" i="40"/>
  <c r="R415" i="40"/>
  <c r="T414" i="40"/>
  <c r="S414" i="40"/>
  <c r="R414" i="40"/>
  <c r="R411" i="40" s="1"/>
  <c r="T413" i="40"/>
  <c r="S413" i="40"/>
  <c r="R413" i="40"/>
  <c r="T412" i="40"/>
  <c r="S412" i="40"/>
  <c r="R412" i="40"/>
  <c r="T410" i="40"/>
  <c r="S410" i="40"/>
  <c r="R410" i="40"/>
  <c r="T409" i="40"/>
  <c r="S409" i="40"/>
  <c r="R409" i="40"/>
  <c r="T408" i="40"/>
  <c r="S408" i="40"/>
  <c r="R408" i="40"/>
  <c r="T407" i="40"/>
  <c r="S407" i="40"/>
  <c r="R407" i="40"/>
  <c r="T406" i="40"/>
  <c r="S406" i="40"/>
  <c r="R406" i="40"/>
  <c r="T405" i="40"/>
  <c r="S405" i="40"/>
  <c r="R405" i="40"/>
  <c r="T404" i="40"/>
  <c r="S404" i="40"/>
  <c r="R404" i="40"/>
  <c r="T403" i="40"/>
  <c r="S403" i="40"/>
  <c r="R403" i="40"/>
  <c r="T402" i="40"/>
  <c r="S402" i="40"/>
  <c r="R402" i="40"/>
  <c r="T401" i="40"/>
  <c r="S401" i="40"/>
  <c r="R401" i="40"/>
  <c r="T400" i="40"/>
  <c r="T399" i="40" s="1"/>
  <c r="S400" i="40"/>
  <c r="S399" i="40" s="1"/>
  <c r="R400" i="40"/>
  <c r="R399" i="40" s="1"/>
  <c r="T398" i="40"/>
  <c r="S398" i="40"/>
  <c r="R398" i="40"/>
  <c r="T397" i="40"/>
  <c r="S397" i="40"/>
  <c r="R397" i="40"/>
  <c r="T396" i="40"/>
  <c r="S396" i="40"/>
  <c r="R396" i="40"/>
  <c r="T395" i="40"/>
  <c r="S395" i="40"/>
  <c r="R395" i="40"/>
  <c r="T394" i="40"/>
  <c r="S394" i="40"/>
  <c r="R394" i="40"/>
  <c r="T393" i="40"/>
  <c r="S393" i="40"/>
  <c r="R393" i="40"/>
  <c r="T392" i="40"/>
  <c r="S392" i="40"/>
  <c r="R392" i="40"/>
  <c r="T391" i="40"/>
  <c r="S391" i="40"/>
  <c r="R391" i="40"/>
  <c r="T390" i="40"/>
  <c r="S390" i="40"/>
  <c r="R390" i="40"/>
  <c r="T389" i="40"/>
  <c r="S389" i="40"/>
  <c r="R389" i="40"/>
  <c r="T388" i="40"/>
  <c r="S388" i="40"/>
  <c r="R388" i="40"/>
  <c r="T387" i="40"/>
  <c r="S387" i="40"/>
  <c r="R387" i="40"/>
  <c r="T386" i="40"/>
  <c r="S386" i="40"/>
  <c r="R386" i="40"/>
  <c r="T385" i="40"/>
  <c r="S385" i="40"/>
  <c r="R385" i="40"/>
  <c r="T384" i="40"/>
  <c r="S384" i="40"/>
  <c r="R384" i="40"/>
  <c r="T383" i="40"/>
  <c r="S383" i="40"/>
  <c r="R383" i="40"/>
  <c r="T382" i="40"/>
  <c r="S382" i="40"/>
  <c r="R382" i="40"/>
  <c r="R379" i="40" s="1"/>
  <c r="T381" i="40"/>
  <c r="S381" i="40"/>
  <c r="R381" i="40"/>
  <c r="T380" i="40"/>
  <c r="T379" i="40" s="1"/>
  <c r="S380" i="40"/>
  <c r="R380" i="40"/>
  <c r="S379" i="40"/>
  <c r="T378" i="40"/>
  <c r="S378" i="40"/>
  <c r="R378" i="40"/>
  <c r="T377" i="40"/>
  <c r="S377" i="40"/>
  <c r="R377" i="40"/>
  <c r="T376" i="40"/>
  <c r="S376" i="40"/>
  <c r="R376" i="40"/>
  <c r="T375" i="40"/>
  <c r="S375" i="40"/>
  <c r="R375" i="40"/>
  <c r="T374" i="40"/>
  <c r="S374" i="40"/>
  <c r="R374" i="40"/>
  <c r="R371" i="40" s="1"/>
  <c r="T373" i="40"/>
  <c r="S373" i="40"/>
  <c r="R373" i="40"/>
  <c r="T372" i="40"/>
  <c r="T371" i="40" s="1"/>
  <c r="S372" i="40"/>
  <c r="R372" i="40"/>
  <c r="S371" i="40"/>
  <c r="T370" i="40"/>
  <c r="S370" i="40"/>
  <c r="R370" i="40"/>
  <c r="T369" i="40"/>
  <c r="S369" i="40"/>
  <c r="R369" i="40"/>
  <c r="T368" i="40"/>
  <c r="T365" i="40" s="1"/>
  <c r="S368" i="40"/>
  <c r="R368" i="40"/>
  <c r="T367" i="40"/>
  <c r="S367" i="40"/>
  <c r="R367" i="40"/>
  <c r="T366" i="40"/>
  <c r="S366" i="40"/>
  <c r="R366" i="40"/>
  <c r="R365" i="40" s="1"/>
  <c r="S365" i="40"/>
  <c r="T364" i="40"/>
  <c r="S364" i="40"/>
  <c r="R364" i="40"/>
  <c r="T363" i="40"/>
  <c r="S363" i="40"/>
  <c r="R363" i="40"/>
  <c r="T362" i="40"/>
  <c r="S362" i="40"/>
  <c r="R362" i="40"/>
  <c r="T361" i="40"/>
  <c r="S361" i="40"/>
  <c r="R361" i="40"/>
  <c r="T360" i="40"/>
  <c r="S360" i="40"/>
  <c r="R360" i="40"/>
  <c r="T359" i="40"/>
  <c r="S359" i="40"/>
  <c r="R359" i="40"/>
  <c r="T358" i="40"/>
  <c r="S358" i="40"/>
  <c r="R358" i="40"/>
  <c r="T357" i="40"/>
  <c r="S357" i="40"/>
  <c r="R357" i="40"/>
  <c r="T356" i="40"/>
  <c r="S356" i="40"/>
  <c r="R356" i="40"/>
  <c r="T355" i="40"/>
  <c r="S355" i="40"/>
  <c r="R355" i="40"/>
  <c r="T354" i="40"/>
  <c r="S354" i="40"/>
  <c r="R354" i="40"/>
  <c r="T353" i="40"/>
  <c r="S353" i="40"/>
  <c r="R353" i="40"/>
  <c r="T352" i="40"/>
  <c r="S352" i="40"/>
  <c r="R352" i="40"/>
  <c r="T351" i="40"/>
  <c r="S351" i="40"/>
  <c r="R351" i="40"/>
  <c r="T350" i="40"/>
  <c r="S350" i="40"/>
  <c r="R350" i="40"/>
  <c r="R347" i="40" s="1"/>
  <c r="T349" i="40"/>
  <c r="S349" i="40"/>
  <c r="R349" i="40"/>
  <c r="T348" i="40"/>
  <c r="T347" i="40" s="1"/>
  <c r="S348" i="40"/>
  <c r="R348" i="40"/>
  <c r="S347" i="40"/>
  <c r="T346" i="40"/>
  <c r="S346" i="40"/>
  <c r="R346" i="40"/>
  <c r="T345" i="40"/>
  <c r="S345" i="40"/>
  <c r="R345" i="40"/>
  <c r="T344" i="40"/>
  <c r="S344" i="40"/>
  <c r="R344" i="40"/>
  <c r="T343" i="40"/>
  <c r="S343" i="40"/>
  <c r="R343" i="40"/>
  <c r="T342" i="40"/>
  <c r="S342" i="40"/>
  <c r="R342" i="40"/>
  <c r="T341" i="40"/>
  <c r="S341" i="40"/>
  <c r="R341" i="40"/>
  <c r="T340" i="40"/>
  <c r="S340" i="40"/>
  <c r="R340" i="40"/>
  <c r="T339" i="40"/>
  <c r="S339" i="40"/>
  <c r="R339" i="40"/>
  <c r="T338" i="40"/>
  <c r="S338" i="40"/>
  <c r="R338" i="40"/>
  <c r="T337" i="40"/>
  <c r="S337" i="40"/>
  <c r="R337" i="40"/>
  <c r="T336" i="40"/>
  <c r="S336" i="40"/>
  <c r="R336" i="40"/>
  <c r="T335" i="40"/>
  <c r="S335" i="40"/>
  <c r="R335" i="40"/>
  <c r="T334" i="40"/>
  <c r="S334" i="40"/>
  <c r="R334" i="40"/>
  <c r="T333" i="40"/>
  <c r="S333" i="40"/>
  <c r="R333" i="40"/>
  <c r="T332" i="40"/>
  <c r="S332" i="40"/>
  <c r="R332" i="40"/>
  <c r="T331" i="40"/>
  <c r="S331" i="40"/>
  <c r="R331" i="40"/>
  <c r="T330" i="40"/>
  <c r="S330" i="40"/>
  <c r="R330" i="40"/>
  <c r="T329" i="40"/>
  <c r="S329" i="40"/>
  <c r="R329" i="40"/>
  <c r="T328" i="40"/>
  <c r="T327" i="40" s="1"/>
  <c r="S328" i="40"/>
  <c r="S327" i="40" s="1"/>
  <c r="R328" i="40"/>
  <c r="R327" i="40" s="1"/>
  <c r="T326" i="40"/>
  <c r="S326" i="40"/>
  <c r="R326" i="40"/>
  <c r="T325" i="40"/>
  <c r="S325" i="40"/>
  <c r="R325" i="40"/>
  <c r="T324" i="40"/>
  <c r="S324" i="40"/>
  <c r="R324" i="40"/>
  <c r="T323" i="40"/>
  <c r="S323" i="40"/>
  <c r="R323" i="40"/>
  <c r="T322" i="40"/>
  <c r="S322" i="40"/>
  <c r="R322" i="40"/>
  <c r="T321" i="40"/>
  <c r="S321" i="40"/>
  <c r="R321" i="40"/>
  <c r="T320" i="40"/>
  <c r="S320" i="40"/>
  <c r="R320" i="40"/>
  <c r="T319" i="40"/>
  <c r="S319" i="40"/>
  <c r="R319" i="40"/>
  <c r="T318" i="40"/>
  <c r="S318" i="40"/>
  <c r="R318" i="40"/>
  <c r="R316" i="40" s="1"/>
  <c r="R315" i="40" s="1"/>
  <c r="T317" i="40"/>
  <c r="T316" i="40" s="1"/>
  <c r="S317" i="40"/>
  <c r="S316" i="40" s="1"/>
  <c r="R317" i="40"/>
  <c r="T314" i="40"/>
  <c r="S314" i="40"/>
  <c r="R314" i="40"/>
  <c r="T313" i="40"/>
  <c r="S313" i="40"/>
  <c r="R313" i="40"/>
  <c r="T312" i="40"/>
  <c r="S312" i="40"/>
  <c r="R312" i="40"/>
  <c r="T311" i="40"/>
  <c r="S311" i="40"/>
  <c r="R311" i="40"/>
  <c r="T310" i="40"/>
  <c r="S310" i="40"/>
  <c r="R310" i="40"/>
  <c r="R304" i="40" s="1"/>
  <c r="T309" i="40"/>
  <c r="S309" i="40"/>
  <c r="R309" i="40"/>
  <c r="T308" i="40"/>
  <c r="S308" i="40"/>
  <c r="R308" i="40"/>
  <c r="T307" i="40"/>
  <c r="S307" i="40"/>
  <c r="R307" i="40"/>
  <c r="T306" i="40"/>
  <c r="S306" i="40"/>
  <c r="R306" i="40"/>
  <c r="T305" i="40"/>
  <c r="S305" i="40"/>
  <c r="S304" i="40" s="1"/>
  <c r="R305" i="40"/>
  <c r="T304" i="40"/>
  <c r="T303" i="40"/>
  <c r="S303" i="40"/>
  <c r="R303" i="40"/>
  <c r="T302" i="40"/>
  <c r="S302" i="40"/>
  <c r="R302" i="40"/>
  <c r="T301" i="40"/>
  <c r="S301" i="40"/>
  <c r="R301" i="40"/>
  <c r="T300" i="40"/>
  <c r="S300" i="40"/>
  <c r="R300" i="40"/>
  <c r="T299" i="40"/>
  <c r="S299" i="40"/>
  <c r="S292" i="40" s="1"/>
  <c r="R299" i="40"/>
  <c r="T298" i="40"/>
  <c r="S298" i="40"/>
  <c r="R298" i="40"/>
  <c r="T297" i="40"/>
  <c r="S297" i="40"/>
  <c r="R297" i="40"/>
  <c r="T296" i="40"/>
  <c r="S296" i="40"/>
  <c r="R296" i="40"/>
  <c r="T295" i="40"/>
  <c r="S295" i="40"/>
  <c r="R295" i="40"/>
  <c r="T294" i="40"/>
  <c r="S294" i="40"/>
  <c r="R294" i="40"/>
  <c r="R292" i="40" s="1"/>
  <c r="T293" i="40"/>
  <c r="T292" i="40" s="1"/>
  <c r="S293" i="40"/>
  <c r="R293" i="40"/>
  <c r="T291" i="40"/>
  <c r="S291" i="40"/>
  <c r="R291" i="40"/>
  <c r="T290" i="40"/>
  <c r="S290" i="40"/>
  <c r="R290" i="40"/>
  <c r="T289" i="40"/>
  <c r="S289" i="40"/>
  <c r="R289" i="40"/>
  <c r="T288" i="40"/>
  <c r="T282" i="40" s="1"/>
  <c r="S288" i="40"/>
  <c r="R288" i="40"/>
  <c r="T287" i="40"/>
  <c r="S287" i="40"/>
  <c r="R287" i="40"/>
  <c r="T286" i="40"/>
  <c r="S286" i="40"/>
  <c r="R286" i="40"/>
  <c r="T285" i="40"/>
  <c r="S285" i="40"/>
  <c r="R285" i="40"/>
  <c r="T284" i="40"/>
  <c r="S284" i="40"/>
  <c r="R284" i="40"/>
  <c r="T283" i="40"/>
  <c r="S283" i="40"/>
  <c r="S282" i="40" s="1"/>
  <c r="R283" i="40"/>
  <c r="R282" i="40" s="1"/>
  <c r="T281" i="40"/>
  <c r="S281" i="40"/>
  <c r="R281" i="40"/>
  <c r="T280" i="40"/>
  <c r="S280" i="40"/>
  <c r="R280" i="40"/>
  <c r="T279" i="40"/>
  <c r="S279" i="40"/>
  <c r="R279" i="40"/>
  <c r="T278" i="40"/>
  <c r="S278" i="40"/>
  <c r="R278" i="40"/>
  <c r="T277" i="40"/>
  <c r="S277" i="40"/>
  <c r="R277" i="40"/>
  <c r="T276" i="40"/>
  <c r="S276" i="40"/>
  <c r="R276" i="40"/>
  <c r="T275" i="40"/>
  <c r="T274" i="40" s="1"/>
  <c r="S275" i="40"/>
  <c r="S274" i="40" s="1"/>
  <c r="R275" i="40"/>
  <c r="R274" i="40" s="1"/>
  <c r="T272" i="40"/>
  <c r="S272" i="40"/>
  <c r="R272" i="40"/>
  <c r="T271" i="40"/>
  <c r="S271" i="40"/>
  <c r="R271" i="40"/>
  <c r="T270" i="40"/>
  <c r="S270" i="40"/>
  <c r="R270" i="40"/>
  <c r="T269" i="40"/>
  <c r="S269" i="40"/>
  <c r="R269" i="40"/>
  <c r="T268" i="40"/>
  <c r="S268" i="40"/>
  <c r="R268" i="40"/>
  <c r="T267" i="40"/>
  <c r="S267" i="40"/>
  <c r="R267" i="40"/>
  <c r="T266" i="40"/>
  <c r="S266" i="40"/>
  <c r="R266" i="40"/>
  <c r="T265" i="40"/>
  <c r="S265" i="40"/>
  <c r="R265" i="40"/>
  <c r="T264" i="40"/>
  <c r="S264" i="40"/>
  <c r="S263" i="40" s="1"/>
  <c r="R264" i="40"/>
  <c r="R263" i="40" s="1"/>
  <c r="T263" i="40"/>
  <c r="T262" i="40"/>
  <c r="S262" i="40"/>
  <c r="R262" i="40"/>
  <c r="T261" i="40"/>
  <c r="S261" i="40"/>
  <c r="R261" i="40"/>
  <c r="T260" i="40"/>
  <c r="S260" i="40"/>
  <c r="R260" i="40"/>
  <c r="T259" i="40"/>
  <c r="S259" i="40"/>
  <c r="R259" i="40"/>
  <c r="T258" i="40"/>
  <c r="S258" i="40"/>
  <c r="R258" i="40"/>
  <c r="T257" i="40"/>
  <c r="S257" i="40"/>
  <c r="R257" i="40"/>
  <c r="T256" i="40"/>
  <c r="S256" i="40"/>
  <c r="R256" i="40"/>
  <c r="T255" i="40"/>
  <c r="S255" i="40"/>
  <c r="R255" i="40"/>
  <c r="T254" i="40"/>
  <c r="S254" i="40"/>
  <c r="R254" i="40"/>
  <c r="T253" i="40"/>
  <c r="S253" i="40"/>
  <c r="R253" i="40"/>
  <c r="T252" i="40"/>
  <c r="S252" i="40"/>
  <c r="R252" i="40"/>
  <c r="T251" i="40"/>
  <c r="S251" i="40"/>
  <c r="R251" i="40"/>
  <c r="T250" i="40"/>
  <c r="S250" i="40"/>
  <c r="R250" i="40"/>
  <c r="T249" i="40"/>
  <c r="S249" i="40"/>
  <c r="R249" i="40"/>
  <c r="T248" i="40"/>
  <c r="S248" i="40"/>
  <c r="R248" i="40"/>
  <c r="T247" i="40"/>
  <c r="T244" i="40" s="1"/>
  <c r="T243" i="40" s="1"/>
  <c r="S247" i="40"/>
  <c r="R247" i="40"/>
  <c r="T246" i="40"/>
  <c r="S246" i="40"/>
  <c r="R246" i="40"/>
  <c r="T245" i="40"/>
  <c r="S245" i="40"/>
  <c r="S244" i="40" s="1"/>
  <c r="S243" i="40" s="1"/>
  <c r="R245" i="40"/>
  <c r="R244" i="40" s="1"/>
  <c r="R243" i="40" s="1"/>
  <c r="R429" i="40" s="1"/>
  <c r="H437" i="40"/>
  <c r="I437" i="40"/>
  <c r="J437" i="40"/>
  <c r="K437" i="40"/>
  <c r="H438" i="40"/>
  <c r="I438" i="40"/>
  <c r="J438" i="40"/>
  <c r="K438" i="40"/>
  <c r="I439" i="40"/>
  <c r="J439" i="40"/>
  <c r="K439" i="40"/>
  <c r="H440" i="40"/>
  <c r="I443" i="40"/>
  <c r="J443" i="40"/>
  <c r="K443" i="40"/>
  <c r="H446" i="40"/>
  <c r="I446" i="40"/>
  <c r="J446" i="40"/>
  <c r="K446" i="40"/>
  <c r="H447" i="40"/>
  <c r="I447" i="40"/>
  <c r="J447" i="40"/>
  <c r="K447" i="40"/>
  <c r="H448" i="40"/>
  <c r="J448" i="40"/>
  <c r="K448" i="40"/>
  <c r="H449" i="40"/>
  <c r="H450" i="40"/>
  <c r="H451" i="40"/>
  <c r="H452" i="40"/>
  <c r="I453" i="40"/>
  <c r="J453" i="40"/>
  <c r="K453" i="40"/>
  <c r="X74" i="40"/>
  <c r="G74" i="40"/>
  <c r="G313" i="40" s="1"/>
  <c r="F74" i="40"/>
  <c r="E74" i="40"/>
  <c r="C434" i="40"/>
  <c r="C444" i="40"/>
  <c r="C241" i="40"/>
  <c r="C238" i="40"/>
  <c r="C453" i="40" s="1"/>
  <c r="C237" i="40"/>
  <c r="C452" i="40" s="1"/>
  <c r="C236" i="40"/>
  <c r="C451" i="40" s="1"/>
  <c r="C235" i="40"/>
  <c r="C450" i="40" s="1"/>
  <c r="C234" i="40"/>
  <c r="C449" i="40" s="1"/>
  <c r="C233" i="40"/>
  <c r="C448" i="40" s="1"/>
  <c r="C232" i="40"/>
  <c r="C447" i="40" s="1"/>
  <c r="C225" i="40"/>
  <c r="C440" i="40" s="1"/>
  <c r="C224" i="40"/>
  <c r="C439" i="40" s="1"/>
  <c r="C223" i="40"/>
  <c r="C222" i="40"/>
  <c r="C438" i="40" s="1"/>
  <c r="C221" i="40"/>
  <c r="C437" i="40" s="1"/>
  <c r="C219" i="40"/>
  <c r="C213" i="40"/>
  <c r="C212" i="40"/>
  <c r="C227" i="40" s="1"/>
  <c r="C209" i="40"/>
  <c r="C197" i="40"/>
  <c r="C200" i="40"/>
  <c r="C201" i="40"/>
  <c r="C203" i="40"/>
  <c r="C206" i="40"/>
  <c r="G444" i="40"/>
  <c r="F444" i="40"/>
  <c r="E444" i="40"/>
  <c r="D444" i="40"/>
  <c r="Q434" i="40"/>
  <c r="P434" i="40"/>
  <c r="O434" i="40"/>
  <c r="N434" i="40"/>
  <c r="M434" i="40"/>
  <c r="G434" i="40"/>
  <c r="F434" i="40"/>
  <c r="E434" i="40"/>
  <c r="D434" i="40"/>
  <c r="G427" i="40"/>
  <c r="F427" i="40"/>
  <c r="E427" i="40"/>
  <c r="D427" i="40"/>
  <c r="G426" i="40"/>
  <c r="F426" i="40"/>
  <c r="E426" i="40"/>
  <c r="D426" i="40"/>
  <c r="G425" i="40"/>
  <c r="F425" i="40"/>
  <c r="E425" i="40"/>
  <c r="D425" i="40"/>
  <c r="G424" i="40"/>
  <c r="F424" i="40"/>
  <c r="G423" i="40"/>
  <c r="F423" i="40"/>
  <c r="E423" i="40"/>
  <c r="D423" i="40"/>
  <c r="G422" i="40"/>
  <c r="F422" i="40"/>
  <c r="E422" i="40"/>
  <c r="D422" i="40"/>
  <c r="G421" i="40"/>
  <c r="F421" i="40"/>
  <c r="E421" i="40"/>
  <c r="D421" i="40"/>
  <c r="G420" i="40"/>
  <c r="F420" i="40"/>
  <c r="E420" i="40"/>
  <c r="D420" i="40"/>
  <c r="G419" i="40"/>
  <c r="F419" i="40"/>
  <c r="E419" i="40"/>
  <c r="D419" i="40"/>
  <c r="G418" i="40"/>
  <c r="F418" i="40"/>
  <c r="E418" i="40"/>
  <c r="D418" i="40"/>
  <c r="G417" i="40"/>
  <c r="F417" i="40"/>
  <c r="E417" i="40"/>
  <c r="D417" i="40"/>
  <c r="G416" i="40"/>
  <c r="F416" i="40"/>
  <c r="E416" i="40"/>
  <c r="D416" i="40"/>
  <c r="G415" i="40"/>
  <c r="F415" i="40"/>
  <c r="E415" i="40"/>
  <c r="D415" i="40"/>
  <c r="G414" i="40"/>
  <c r="F414" i="40"/>
  <c r="E414" i="40"/>
  <c r="G413" i="40"/>
  <c r="D413" i="40"/>
  <c r="G412" i="40"/>
  <c r="F412" i="40"/>
  <c r="D412" i="40"/>
  <c r="D411" i="40"/>
  <c r="C411" i="40"/>
  <c r="G409" i="40"/>
  <c r="F409" i="40"/>
  <c r="E409" i="40"/>
  <c r="D409" i="40"/>
  <c r="G408" i="40"/>
  <c r="F408" i="40"/>
  <c r="E408" i="40"/>
  <c r="D408" i="40"/>
  <c r="C408" i="40"/>
  <c r="G407" i="40"/>
  <c r="F407" i="40"/>
  <c r="E407" i="40"/>
  <c r="D407" i="40"/>
  <c r="F406" i="40"/>
  <c r="E406" i="40"/>
  <c r="D406" i="40"/>
  <c r="C406" i="40"/>
  <c r="G405" i="40"/>
  <c r="F405" i="40"/>
  <c r="E405" i="40"/>
  <c r="D405" i="40"/>
  <c r="G404" i="40"/>
  <c r="F404" i="40"/>
  <c r="E404" i="40"/>
  <c r="D404" i="40"/>
  <c r="G403" i="40"/>
  <c r="F403" i="40"/>
  <c r="E403" i="40"/>
  <c r="D403" i="40"/>
  <c r="G402" i="40"/>
  <c r="F402" i="40"/>
  <c r="E402" i="40"/>
  <c r="D402" i="40"/>
  <c r="G401" i="40"/>
  <c r="F401" i="40"/>
  <c r="E401" i="40"/>
  <c r="D401" i="40"/>
  <c r="G400" i="40"/>
  <c r="F400" i="40"/>
  <c r="E400" i="40"/>
  <c r="D400" i="40"/>
  <c r="G399" i="40"/>
  <c r="F399" i="40"/>
  <c r="E399" i="40"/>
  <c r="D399" i="40"/>
  <c r="C399" i="40"/>
  <c r="D397" i="40"/>
  <c r="G396" i="40"/>
  <c r="F396" i="40"/>
  <c r="E396" i="40"/>
  <c r="D396" i="40"/>
  <c r="G395" i="40"/>
  <c r="F395" i="40"/>
  <c r="E395" i="40"/>
  <c r="D395" i="40"/>
  <c r="G394" i="40"/>
  <c r="F394" i="40"/>
  <c r="E394" i="40"/>
  <c r="D394" i="40"/>
  <c r="C394" i="40"/>
  <c r="G393" i="40"/>
  <c r="F393" i="40"/>
  <c r="E393" i="40"/>
  <c r="D393" i="40"/>
  <c r="G392" i="40"/>
  <c r="F392" i="40"/>
  <c r="E392" i="40"/>
  <c r="D392" i="40"/>
  <c r="G391" i="40"/>
  <c r="F391" i="40"/>
  <c r="E391" i="40"/>
  <c r="D391" i="40"/>
  <c r="G388" i="40"/>
  <c r="F388" i="40"/>
  <c r="E388" i="40"/>
  <c r="D388" i="40"/>
  <c r="D387" i="40"/>
  <c r="G386" i="40"/>
  <c r="F386" i="40"/>
  <c r="E386" i="40"/>
  <c r="D386" i="40"/>
  <c r="G385" i="40"/>
  <c r="F385" i="40"/>
  <c r="E385" i="40"/>
  <c r="G384" i="40"/>
  <c r="F384" i="40"/>
  <c r="E384" i="40"/>
  <c r="D384" i="40"/>
  <c r="G383" i="40"/>
  <c r="F383" i="40"/>
  <c r="E383" i="40"/>
  <c r="D383" i="40"/>
  <c r="G382" i="40"/>
  <c r="F382" i="40"/>
  <c r="E382" i="40"/>
  <c r="D382" i="40"/>
  <c r="D381" i="40"/>
  <c r="D380" i="40"/>
  <c r="G379" i="40"/>
  <c r="F379" i="40"/>
  <c r="E379" i="40"/>
  <c r="D379" i="40"/>
  <c r="C379" i="40"/>
  <c r="G377" i="40"/>
  <c r="F377" i="40"/>
  <c r="E377" i="40"/>
  <c r="D377" i="40"/>
  <c r="G376" i="40"/>
  <c r="F376" i="40"/>
  <c r="E376" i="40"/>
  <c r="D376" i="40"/>
  <c r="G375" i="40"/>
  <c r="F375" i="40"/>
  <c r="E375" i="40"/>
  <c r="D375" i="40"/>
  <c r="G374" i="40"/>
  <c r="F374" i="40"/>
  <c r="E374" i="40"/>
  <c r="D374" i="40"/>
  <c r="G373" i="40"/>
  <c r="F373" i="40"/>
  <c r="E373" i="40"/>
  <c r="D373" i="40"/>
  <c r="G372" i="40"/>
  <c r="F372" i="40"/>
  <c r="E372" i="40"/>
  <c r="D372" i="40"/>
  <c r="G371" i="40"/>
  <c r="F371" i="40"/>
  <c r="E371" i="40"/>
  <c r="D371" i="40"/>
  <c r="G369" i="40"/>
  <c r="F369" i="40"/>
  <c r="E369" i="40"/>
  <c r="D369" i="40"/>
  <c r="G368" i="40"/>
  <c r="F368" i="40"/>
  <c r="E368" i="40"/>
  <c r="D368" i="40"/>
  <c r="G367" i="40"/>
  <c r="F367" i="40"/>
  <c r="E367" i="40"/>
  <c r="D367" i="40"/>
  <c r="G366" i="40"/>
  <c r="F366" i="40"/>
  <c r="E366" i="40"/>
  <c r="D366" i="40"/>
  <c r="G365" i="40"/>
  <c r="F365" i="40"/>
  <c r="E365" i="40"/>
  <c r="D365" i="40"/>
  <c r="C365" i="40"/>
  <c r="G363" i="40"/>
  <c r="F363" i="40"/>
  <c r="E363" i="40"/>
  <c r="G362" i="40"/>
  <c r="F362" i="40"/>
  <c r="E362" i="40"/>
  <c r="D362" i="40"/>
  <c r="G361" i="40"/>
  <c r="F361" i="40"/>
  <c r="E361" i="40"/>
  <c r="D361" i="40"/>
  <c r="G360" i="40"/>
  <c r="F360" i="40"/>
  <c r="E360" i="40"/>
  <c r="G359" i="40"/>
  <c r="F359" i="40"/>
  <c r="E359" i="40"/>
  <c r="D359" i="40"/>
  <c r="D358" i="40"/>
  <c r="G357" i="40"/>
  <c r="F357" i="40"/>
  <c r="E357" i="40"/>
  <c r="D357" i="40"/>
  <c r="G356" i="40"/>
  <c r="F356" i="40"/>
  <c r="E356" i="40"/>
  <c r="D356" i="40"/>
  <c r="G355" i="40"/>
  <c r="F355" i="40"/>
  <c r="G354" i="40"/>
  <c r="F354" i="40"/>
  <c r="E354" i="40"/>
  <c r="D354" i="40"/>
  <c r="G353" i="40"/>
  <c r="F353" i="40"/>
  <c r="E353" i="40"/>
  <c r="D353" i="40"/>
  <c r="G352" i="40"/>
  <c r="F352" i="40"/>
  <c r="E352" i="40"/>
  <c r="D352" i="40"/>
  <c r="G351" i="40"/>
  <c r="F351" i="40"/>
  <c r="E351" i="40"/>
  <c r="D351" i="40"/>
  <c r="G350" i="40"/>
  <c r="F350" i="40"/>
  <c r="E350" i="40"/>
  <c r="D350" i="40"/>
  <c r="G349" i="40"/>
  <c r="F349" i="40"/>
  <c r="E349" i="40"/>
  <c r="D349" i="40"/>
  <c r="G348" i="40"/>
  <c r="F348" i="40"/>
  <c r="E348" i="40"/>
  <c r="G347" i="40"/>
  <c r="F347" i="40"/>
  <c r="E347" i="40"/>
  <c r="D347" i="40"/>
  <c r="C347" i="40"/>
  <c r="G345" i="40"/>
  <c r="F345" i="40"/>
  <c r="E345" i="40"/>
  <c r="D345" i="40"/>
  <c r="D344" i="40"/>
  <c r="G343" i="40"/>
  <c r="F343" i="40"/>
  <c r="E343" i="40"/>
  <c r="D343" i="40"/>
  <c r="G342" i="40"/>
  <c r="F342" i="40"/>
  <c r="E342" i="40"/>
  <c r="G341" i="40"/>
  <c r="F341" i="40"/>
  <c r="E341" i="40"/>
  <c r="D341" i="40"/>
  <c r="G340" i="40"/>
  <c r="F340" i="40"/>
  <c r="E340" i="40"/>
  <c r="D340" i="40"/>
  <c r="C340" i="40"/>
  <c r="G339" i="40"/>
  <c r="F339" i="40"/>
  <c r="E339" i="40"/>
  <c r="D339" i="40"/>
  <c r="G338" i="40"/>
  <c r="F338" i="40"/>
  <c r="E338" i="40"/>
  <c r="D338" i="40"/>
  <c r="G337" i="40"/>
  <c r="F337" i="40"/>
  <c r="E337" i="40"/>
  <c r="G336" i="40"/>
  <c r="F336" i="40"/>
  <c r="E336" i="40"/>
  <c r="D335" i="40"/>
  <c r="G334" i="40"/>
  <c r="F334" i="40"/>
  <c r="E334" i="40"/>
  <c r="G332" i="40"/>
  <c r="F332" i="40"/>
  <c r="E332" i="40"/>
  <c r="D332" i="40"/>
  <c r="G331" i="40"/>
  <c r="F331" i="40"/>
  <c r="E331" i="40"/>
  <c r="D331" i="40"/>
  <c r="G330" i="40"/>
  <c r="F330" i="40"/>
  <c r="E330" i="40"/>
  <c r="D330" i="40"/>
  <c r="D329" i="40"/>
  <c r="D328" i="40"/>
  <c r="G327" i="40"/>
  <c r="F327" i="40"/>
  <c r="E327" i="40"/>
  <c r="D327" i="40"/>
  <c r="C327" i="40"/>
  <c r="G325" i="40"/>
  <c r="F325" i="40"/>
  <c r="E325" i="40"/>
  <c r="D325" i="40"/>
  <c r="G324" i="40"/>
  <c r="F324" i="40"/>
  <c r="E324" i="40"/>
  <c r="D324" i="40"/>
  <c r="G323" i="40"/>
  <c r="F323" i="40"/>
  <c r="E323" i="40"/>
  <c r="D323" i="40"/>
  <c r="G322" i="40"/>
  <c r="F322" i="40"/>
  <c r="E322" i="40"/>
  <c r="D322" i="40"/>
  <c r="F321" i="40"/>
  <c r="E321" i="40"/>
  <c r="D321" i="40"/>
  <c r="G320" i="40"/>
  <c r="F320" i="40"/>
  <c r="E320" i="40"/>
  <c r="D320" i="40"/>
  <c r="D319" i="40"/>
  <c r="G318" i="40"/>
  <c r="F318" i="40"/>
  <c r="E318" i="40"/>
  <c r="D318" i="40"/>
  <c r="G317" i="40"/>
  <c r="F317" i="40"/>
  <c r="E317" i="40"/>
  <c r="D317" i="40"/>
  <c r="D316" i="40"/>
  <c r="C316" i="40"/>
  <c r="F313" i="40"/>
  <c r="E313" i="40"/>
  <c r="D313" i="40"/>
  <c r="G312" i="40"/>
  <c r="F312" i="40"/>
  <c r="E312" i="40"/>
  <c r="D312" i="40"/>
  <c r="G311" i="40"/>
  <c r="F311" i="40"/>
  <c r="E311" i="40"/>
  <c r="D311" i="40"/>
  <c r="G310" i="40"/>
  <c r="F310" i="40"/>
  <c r="E310" i="40"/>
  <c r="D310" i="40"/>
  <c r="G309" i="40"/>
  <c r="F309" i="40"/>
  <c r="E309" i="40"/>
  <c r="D309" i="40"/>
  <c r="G308" i="40"/>
  <c r="F308" i="40"/>
  <c r="E308" i="40"/>
  <c r="G307" i="40"/>
  <c r="F307" i="40"/>
  <c r="E307" i="40"/>
  <c r="D307" i="40"/>
  <c r="G306" i="40"/>
  <c r="F306" i="40"/>
  <c r="E306" i="40"/>
  <c r="D306" i="40"/>
  <c r="G305" i="40"/>
  <c r="F305" i="40"/>
  <c r="E305" i="40"/>
  <c r="D305" i="40"/>
  <c r="G304" i="40"/>
  <c r="F304" i="40"/>
  <c r="E304" i="40"/>
  <c r="D304" i="40"/>
  <c r="G302" i="40"/>
  <c r="F302" i="40"/>
  <c r="E302" i="40"/>
  <c r="D302" i="40"/>
  <c r="G301" i="40"/>
  <c r="F301" i="40"/>
  <c r="E301" i="40"/>
  <c r="D301" i="40"/>
  <c r="G300" i="40"/>
  <c r="F300" i="40"/>
  <c r="E300" i="40"/>
  <c r="D300" i="40"/>
  <c r="G299" i="40"/>
  <c r="F299" i="40"/>
  <c r="E299" i="40"/>
  <c r="D299" i="40"/>
  <c r="G298" i="40"/>
  <c r="F298" i="40"/>
  <c r="E298" i="40"/>
  <c r="D298" i="40"/>
  <c r="G297" i="40"/>
  <c r="F297" i="40"/>
  <c r="E297" i="40"/>
  <c r="G296" i="40"/>
  <c r="F296" i="40"/>
  <c r="E296" i="40"/>
  <c r="D296" i="40"/>
  <c r="G295" i="40"/>
  <c r="F295" i="40"/>
  <c r="E295" i="40"/>
  <c r="D295" i="40"/>
  <c r="G294" i="40"/>
  <c r="F294" i="40"/>
  <c r="E294" i="40"/>
  <c r="D294" i="40"/>
  <c r="D293" i="40"/>
  <c r="G292" i="40"/>
  <c r="F292" i="40"/>
  <c r="E292" i="40"/>
  <c r="D290" i="40"/>
  <c r="G288" i="40"/>
  <c r="F288" i="40"/>
  <c r="E288" i="40"/>
  <c r="D288" i="40"/>
  <c r="G287" i="40"/>
  <c r="F287" i="40"/>
  <c r="E287" i="40"/>
  <c r="D287" i="40"/>
  <c r="G286" i="40"/>
  <c r="F286" i="40"/>
  <c r="E286" i="40"/>
  <c r="D286" i="40"/>
  <c r="G285" i="40"/>
  <c r="F285" i="40"/>
  <c r="E285" i="40"/>
  <c r="D285" i="40"/>
  <c r="G284" i="40"/>
  <c r="F284" i="40"/>
  <c r="E284" i="40"/>
  <c r="D284" i="40"/>
  <c r="G283" i="40"/>
  <c r="F283" i="40"/>
  <c r="E283" i="40"/>
  <c r="D283" i="40"/>
  <c r="G282" i="40"/>
  <c r="F282" i="40"/>
  <c r="E282" i="40"/>
  <c r="D282" i="40"/>
  <c r="C282" i="40"/>
  <c r="G280" i="40"/>
  <c r="F280" i="40"/>
  <c r="E280" i="40"/>
  <c r="D280" i="40"/>
  <c r="G279" i="40"/>
  <c r="F279" i="40"/>
  <c r="E279" i="40"/>
  <c r="D279" i="40"/>
  <c r="G278" i="40"/>
  <c r="F278" i="40"/>
  <c r="E278" i="40"/>
  <c r="G277" i="40"/>
  <c r="F277" i="40"/>
  <c r="E277" i="40"/>
  <c r="G276" i="40"/>
  <c r="F276" i="40"/>
  <c r="E276" i="40"/>
  <c r="D276" i="40"/>
  <c r="G275" i="40"/>
  <c r="F275" i="40"/>
  <c r="E275" i="40"/>
  <c r="D275" i="40"/>
  <c r="G274" i="40"/>
  <c r="F274" i="40"/>
  <c r="E274" i="40"/>
  <c r="D274" i="40"/>
  <c r="C274" i="40"/>
  <c r="G273" i="40"/>
  <c r="F273" i="40"/>
  <c r="E273" i="40"/>
  <c r="D273" i="40"/>
  <c r="G270" i="40"/>
  <c r="F270" i="40"/>
  <c r="E270" i="40"/>
  <c r="D270" i="40"/>
  <c r="G269" i="40"/>
  <c r="F269" i="40"/>
  <c r="E269" i="40"/>
  <c r="D269" i="40"/>
  <c r="G266" i="40"/>
  <c r="F266" i="40"/>
  <c r="E266" i="40"/>
  <c r="D266" i="40"/>
  <c r="D265" i="40"/>
  <c r="G264" i="40"/>
  <c r="F264" i="40"/>
  <c r="E264" i="40"/>
  <c r="D264" i="40"/>
  <c r="G263" i="40"/>
  <c r="F263" i="40"/>
  <c r="E263" i="40"/>
  <c r="C263" i="40"/>
  <c r="G261" i="40"/>
  <c r="F261" i="40"/>
  <c r="E261" i="40"/>
  <c r="D261" i="40"/>
  <c r="C261" i="40"/>
  <c r="G260" i="40"/>
  <c r="F260" i="40"/>
  <c r="E260" i="40"/>
  <c r="D260" i="40"/>
  <c r="D259" i="40"/>
  <c r="G258" i="40"/>
  <c r="F258" i="40"/>
  <c r="E258" i="40"/>
  <c r="D258" i="40"/>
  <c r="G257" i="40"/>
  <c r="F257" i="40"/>
  <c r="E257" i="40"/>
  <c r="D257" i="40"/>
  <c r="G256" i="40"/>
  <c r="F256" i="40"/>
  <c r="E256" i="40"/>
  <c r="D256" i="40"/>
  <c r="G255" i="40"/>
  <c r="F255" i="40"/>
  <c r="E255" i="40"/>
  <c r="D255" i="40"/>
  <c r="G254" i="40"/>
  <c r="F254" i="40"/>
  <c r="E254" i="40"/>
  <c r="D254" i="40"/>
  <c r="G253" i="40"/>
  <c r="F253" i="40"/>
  <c r="E253" i="40"/>
  <c r="D253" i="40"/>
  <c r="G252" i="40"/>
  <c r="F252" i="40"/>
  <c r="E252" i="40"/>
  <c r="D252" i="40"/>
  <c r="G251" i="40"/>
  <c r="F251" i="40"/>
  <c r="E251" i="40"/>
  <c r="D251" i="40"/>
  <c r="G250" i="40"/>
  <c r="F250" i="40"/>
  <c r="E250" i="40"/>
  <c r="D250" i="40"/>
  <c r="G248" i="40"/>
  <c r="F248" i="40"/>
  <c r="E248" i="40"/>
  <c r="D248" i="40"/>
  <c r="G246" i="40"/>
  <c r="F246" i="40"/>
  <c r="E246" i="40"/>
  <c r="D246" i="40"/>
  <c r="G245" i="40"/>
  <c r="F245" i="40"/>
  <c r="E245" i="40"/>
  <c r="D245" i="40"/>
  <c r="G244" i="40"/>
  <c r="F244" i="40"/>
  <c r="E244" i="40"/>
  <c r="D244" i="40"/>
  <c r="C244" i="40"/>
  <c r="X241" i="40"/>
  <c r="U241" i="40"/>
  <c r="T241" i="40"/>
  <c r="S241" i="40"/>
  <c r="R241" i="40"/>
  <c r="Q241" i="40"/>
  <c r="P241" i="40"/>
  <c r="O241" i="40"/>
  <c r="W241" i="40" s="1"/>
  <c r="N241" i="40"/>
  <c r="M241" i="40"/>
  <c r="K241" i="40"/>
  <c r="J241" i="40"/>
  <c r="I241" i="40"/>
  <c r="H241" i="40"/>
  <c r="G241" i="40"/>
  <c r="F241" i="40"/>
  <c r="E241" i="40"/>
  <c r="D241" i="40"/>
  <c r="H238" i="40"/>
  <c r="H453" i="40" s="1"/>
  <c r="G238" i="40"/>
  <c r="G453" i="40" s="1"/>
  <c r="D238" i="40"/>
  <c r="D453" i="40" s="1"/>
  <c r="N237" i="40"/>
  <c r="G237" i="40"/>
  <c r="G452" i="40" s="1"/>
  <c r="F237" i="40"/>
  <c r="F452" i="40" s="1"/>
  <c r="E237" i="40"/>
  <c r="E452" i="40" s="1"/>
  <c r="D237" i="40"/>
  <c r="D452" i="40" s="1"/>
  <c r="N236" i="40"/>
  <c r="D236" i="40"/>
  <c r="D451" i="40" s="1"/>
  <c r="N235" i="40"/>
  <c r="G235" i="40"/>
  <c r="G450" i="40" s="1"/>
  <c r="F235" i="40"/>
  <c r="F450" i="40" s="1"/>
  <c r="E235" i="40"/>
  <c r="E450" i="40" s="1"/>
  <c r="D235" i="40"/>
  <c r="D450" i="40" s="1"/>
  <c r="N234" i="40"/>
  <c r="G234" i="40"/>
  <c r="G449" i="40" s="1"/>
  <c r="F234" i="40"/>
  <c r="F449" i="40" s="1"/>
  <c r="E234" i="40"/>
  <c r="E449" i="40" s="1"/>
  <c r="D234" i="40"/>
  <c r="D449" i="40" s="1"/>
  <c r="N233" i="40"/>
  <c r="D233" i="40"/>
  <c r="D448" i="40" s="1"/>
  <c r="N232" i="40"/>
  <c r="G232" i="40"/>
  <c r="G447" i="40" s="1"/>
  <c r="F232" i="40"/>
  <c r="F447" i="40" s="1"/>
  <c r="E232" i="40"/>
  <c r="E447" i="40" s="1"/>
  <c r="D232" i="40"/>
  <c r="Q231" i="40"/>
  <c r="P231" i="40"/>
  <c r="O231" i="40"/>
  <c r="N231" i="40"/>
  <c r="H228" i="40"/>
  <c r="N228" i="40" s="1"/>
  <c r="N225" i="40"/>
  <c r="I225" i="40"/>
  <c r="I440" i="40" s="1"/>
  <c r="D225" i="40"/>
  <c r="D440" i="40" s="1"/>
  <c r="O224" i="40"/>
  <c r="P224" i="40"/>
  <c r="H224" i="40"/>
  <c r="H439" i="40" s="1"/>
  <c r="G224" i="40"/>
  <c r="G439" i="40" s="1"/>
  <c r="F224" i="40"/>
  <c r="F439" i="40" s="1"/>
  <c r="D224" i="40"/>
  <c r="D439" i="40" s="1"/>
  <c r="N223" i="40"/>
  <c r="G223" i="40"/>
  <c r="K223" i="40" s="1"/>
  <c r="F223" i="40"/>
  <c r="J223" i="40" s="1"/>
  <c r="E223" i="40"/>
  <c r="I223" i="40" s="1"/>
  <c r="D223" i="40"/>
  <c r="N222" i="40"/>
  <c r="I233" i="40"/>
  <c r="I448" i="40" s="1"/>
  <c r="D222" i="40"/>
  <c r="D438" i="40" s="1"/>
  <c r="N221" i="40"/>
  <c r="O221" i="40"/>
  <c r="G221" i="40"/>
  <c r="G437" i="40" s="1"/>
  <c r="F221" i="40"/>
  <c r="F437" i="40" s="1"/>
  <c r="E221" i="40"/>
  <c r="E437" i="40" s="1"/>
  <c r="D221" i="40"/>
  <c r="D437" i="40" s="1"/>
  <c r="G219" i="40"/>
  <c r="F219" i="40"/>
  <c r="E219" i="40"/>
  <c r="D219" i="40"/>
  <c r="Q216" i="40"/>
  <c r="P216" i="40"/>
  <c r="O216" i="40"/>
  <c r="N216" i="40"/>
  <c r="Q215" i="40"/>
  <c r="P215" i="40"/>
  <c r="O215" i="40"/>
  <c r="N215" i="40"/>
  <c r="Q214" i="40"/>
  <c r="P214" i="40"/>
  <c r="O214" i="40"/>
  <c r="N214" i="40"/>
  <c r="D213" i="40"/>
  <c r="D212" i="40"/>
  <c r="D227" i="40" s="1"/>
  <c r="Q211" i="40"/>
  <c r="P211" i="40"/>
  <c r="O211" i="40"/>
  <c r="N211" i="40"/>
  <c r="Q209" i="40"/>
  <c r="P209" i="40"/>
  <c r="O209" i="40"/>
  <c r="N209" i="40"/>
  <c r="K209" i="40"/>
  <c r="J209" i="40"/>
  <c r="I209" i="40"/>
  <c r="H209" i="40"/>
  <c r="G209" i="40"/>
  <c r="F209" i="40"/>
  <c r="E209" i="40"/>
  <c r="D209" i="40"/>
  <c r="G206" i="40"/>
  <c r="F206" i="40"/>
  <c r="E206" i="40"/>
  <c r="D206" i="40"/>
  <c r="G205" i="40"/>
  <c r="F205" i="40"/>
  <c r="E205" i="40"/>
  <c r="M203" i="40"/>
  <c r="G203" i="40"/>
  <c r="F203" i="40"/>
  <c r="E203" i="40"/>
  <c r="D203" i="40"/>
  <c r="D202" i="40"/>
  <c r="G201" i="40"/>
  <c r="F201" i="40"/>
  <c r="E201" i="40"/>
  <c r="D201" i="40"/>
  <c r="D200" i="40"/>
  <c r="U197" i="40"/>
  <c r="T197" i="40"/>
  <c r="S197" i="40"/>
  <c r="R197" i="40"/>
  <c r="Q197" i="40"/>
  <c r="P197" i="40"/>
  <c r="O197" i="40"/>
  <c r="N197" i="40"/>
  <c r="M197" i="40"/>
  <c r="M209" i="40" s="1"/>
  <c r="K197" i="40"/>
  <c r="J197" i="40"/>
  <c r="I197" i="40"/>
  <c r="H197" i="40"/>
  <c r="G197" i="40"/>
  <c r="F197" i="40"/>
  <c r="E197" i="40"/>
  <c r="D197" i="40"/>
  <c r="X193" i="40"/>
  <c r="X405" i="40" s="1"/>
  <c r="O254" i="40"/>
  <c r="K427" i="40"/>
  <c r="I427" i="40"/>
  <c r="H427" i="40"/>
  <c r="C427" i="40"/>
  <c r="H426" i="40"/>
  <c r="O186" i="40"/>
  <c r="C425" i="40"/>
  <c r="K424" i="40"/>
  <c r="J424" i="40"/>
  <c r="E185" i="40"/>
  <c r="D185" i="40"/>
  <c r="D424" i="40" s="1"/>
  <c r="C424" i="40"/>
  <c r="W184" i="40"/>
  <c r="T184" i="40"/>
  <c r="K423" i="40"/>
  <c r="J423" i="40"/>
  <c r="I423" i="40"/>
  <c r="C423" i="40"/>
  <c r="W183" i="40"/>
  <c r="C422" i="40"/>
  <c r="W182" i="40"/>
  <c r="I421" i="40"/>
  <c r="C421" i="40"/>
  <c r="W181" i="40"/>
  <c r="K420" i="40"/>
  <c r="I420" i="40"/>
  <c r="C420" i="40"/>
  <c r="W180" i="40"/>
  <c r="K419" i="40"/>
  <c r="J419" i="40"/>
  <c r="C419" i="40"/>
  <c r="K418" i="40"/>
  <c r="J418" i="40"/>
  <c r="H418" i="40"/>
  <c r="C418" i="40"/>
  <c r="K417" i="40"/>
  <c r="I417" i="40"/>
  <c r="H417" i="40"/>
  <c r="C417" i="40"/>
  <c r="N177" i="40"/>
  <c r="K416" i="40"/>
  <c r="J416" i="40"/>
  <c r="I416" i="40"/>
  <c r="H416" i="40"/>
  <c r="C416" i="40"/>
  <c r="K415" i="40"/>
  <c r="J415" i="40"/>
  <c r="I415" i="40"/>
  <c r="H415" i="40"/>
  <c r="C415" i="40"/>
  <c r="P175" i="40"/>
  <c r="K414" i="40"/>
  <c r="J414" i="40"/>
  <c r="I414" i="40"/>
  <c r="D175" i="40"/>
  <c r="C414" i="40"/>
  <c r="N174" i="40"/>
  <c r="F174" i="40"/>
  <c r="E174" i="40"/>
  <c r="C413" i="40"/>
  <c r="E173" i="40"/>
  <c r="M172" i="40"/>
  <c r="G172" i="40"/>
  <c r="F172" i="40"/>
  <c r="F411" i="40" s="1"/>
  <c r="E172" i="40"/>
  <c r="E411" i="40" s="1"/>
  <c r="J410" i="40"/>
  <c r="F171" i="40"/>
  <c r="F410" i="40" s="1"/>
  <c r="E171" i="40"/>
  <c r="E410" i="40" s="1"/>
  <c r="D171" i="40"/>
  <c r="W170" i="40"/>
  <c r="H409" i="40"/>
  <c r="C409" i="40"/>
  <c r="W169" i="40"/>
  <c r="T169" i="40"/>
  <c r="M160" i="40"/>
  <c r="K408" i="40"/>
  <c r="I408" i="40"/>
  <c r="H408" i="40"/>
  <c r="K407" i="40"/>
  <c r="I407" i="40"/>
  <c r="H407" i="40"/>
  <c r="C407" i="40"/>
  <c r="J406" i="40"/>
  <c r="I406" i="40"/>
  <c r="G167" i="40"/>
  <c r="G406" i="40" s="1"/>
  <c r="W166" i="40"/>
  <c r="S166" i="40"/>
  <c r="K405" i="40"/>
  <c r="J405" i="40"/>
  <c r="I405" i="40"/>
  <c r="H405" i="40"/>
  <c r="C405" i="40"/>
  <c r="Q165" i="40"/>
  <c r="K404" i="40"/>
  <c r="J404" i="40"/>
  <c r="I404" i="40"/>
  <c r="C404" i="40"/>
  <c r="W164" i="40"/>
  <c r="R164" i="40"/>
  <c r="K403" i="40"/>
  <c r="J403" i="40"/>
  <c r="I403" i="40"/>
  <c r="H403" i="40"/>
  <c r="C403" i="40"/>
  <c r="P163" i="40"/>
  <c r="K402" i="40"/>
  <c r="J402" i="40"/>
  <c r="I402" i="40"/>
  <c r="H402" i="40"/>
  <c r="C402" i="40"/>
  <c r="C401" i="40"/>
  <c r="C400" i="40"/>
  <c r="G158" i="40"/>
  <c r="F158" i="40"/>
  <c r="E158" i="40"/>
  <c r="C397" i="40"/>
  <c r="C396" i="40"/>
  <c r="I395" i="40"/>
  <c r="C395" i="40"/>
  <c r="I394" i="40"/>
  <c r="K393" i="40"/>
  <c r="J393" i="40"/>
  <c r="I393" i="40"/>
  <c r="C393" i="40"/>
  <c r="H392" i="40"/>
  <c r="C392" i="40"/>
  <c r="C391" i="40"/>
  <c r="G151" i="40"/>
  <c r="F151" i="40"/>
  <c r="F390" i="40" s="1"/>
  <c r="E151" i="40"/>
  <c r="E390" i="40" s="1"/>
  <c r="D151" i="40"/>
  <c r="D390" i="40" s="1"/>
  <c r="C390" i="40"/>
  <c r="D150" i="40"/>
  <c r="D389" i="40" s="1"/>
  <c r="C389" i="40"/>
  <c r="K388" i="40"/>
  <c r="J388" i="40"/>
  <c r="I388" i="40"/>
  <c r="H388" i="40"/>
  <c r="C388" i="40"/>
  <c r="N148" i="40"/>
  <c r="H387" i="40"/>
  <c r="G148" i="40"/>
  <c r="G387" i="40" s="1"/>
  <c r="F148" i="40"/>
  <c r="E148" i="40"/>
  <c r="E387" i="40" s="1"/>
  <c r="C387" i="40"/>
  <c r="K386" i="40"/>
  <c r="I386" i="40"/>
  <c r="H386" i="40"/>
  <c r="C386" i="40"/>
  <c r="J385" i="40"/>
  <c r="I385" i="40"/>
  <c r="D146" i="40"/>
  <c r="D385" i="40" s="1"/>
  <c r="C385" i="40"/>
  <c r="J384" i="40"/>
  <c r="I384" i="40"/>
  <c r="H384" i="40"/>
  <c r="C384" i="40"/>
  <c r="K383" i="40"/>
  <c r="J383" i="40"/>
  <c r="I383" i="40"/>
  <c r="H383" i="40"/>
  <c r="C383" i="40"/>
  <c r="J382" i="40"/>
  <c r="I382" i="40"/>
  <c r="C382" i="40"/>
  <c r="G142" i="40"/>
  <c r="F142" i="40"/>
  <c r="E142" i="40"/>
  <c r="C381" i="40"/>
  <c r="G141" i="40"/>
  <c r="F141" i="40"/>
  <c r="E141" i="40"/>
  <c r="C380" i="40"/>
  <c r="I378" i="40"/>
  <c r="G139" i="40"/>
  <c r="F139" i="40"/>
  <c r="F378" i="40" s="1"/>
  <c r="E139" i="40"/>
  <c r="E378" i="40" s="1"/>
  <c r="D139" i="40"/>
  <c r="D378" i="40" s="1"/>
  <c r="N138" i="40"/>
  <c r="K377" i="40"/>
  <c r="J377" i="40"/>
  <c r="I377" i="40"/>
  <c r="H377" i="40"/>
  <c r="C377" i="40"/>
  <c r="K376" i="40"/>
  <c r="J376" i="40"/>
  <c r="I376" i="40"/>
  <c r="K375" i="40"/>
  <c r="J375" i="40"/>
  <c r="I375" i="40"/>
  <c r="C375" i="40"/>
  <c r="K374" i="40"/>
  <c r="J374" i="40"/>
  <c r="H374" i="40"/>
  <c r="C374" i="40"/>
  <c r="N134" i="40"/>
  <c r="K373" i="40"/>
  <c r="I373" i="40"/>
  <c r="H373" i="40"/>
  <c r="C373" i="40"/>
  <c r="M132" i="40"/>
  <c r="C371" i="40"/>
  <c r="G131" i="40"/>
  <c r="F131" i="40"/>
  <c r="F370" i="40" s="1"/>
  <c r="E131" i="40"/>
  <c r="E370" i="40" s="1"/>
  <c r="D131" i="40"/>
  <c r="D370" i="40" s="1"/>
  <c r="C369" i="40"/>
  <c r="I368" i="40"/>
  <c r="C368" i="40"/>
  <c r="C367" i="40"/>
  <c r="C366" i="40"/>
  <c r="W124" i="40"/>
  <c r="C363" i="40"/>
  <c r="Q123" i="40"/>
  <c r="P123" i="40"/>
  <c r="O123" i="40"/>
  <c r="W123" i="40" s="1"/>
  <c r="N123" i="40"/>
  <c r="J362" i="40"/>
  <c r="I362" i="40"/>
  <c r="H362" i="40"/>
  <c r="C362" i="40"/>
  <c r="K361" i="40"/>
  <c r="J361" i="40"/>
  <c r="H361" i="40"/>
  <c r="C361" i="40"/>
  <c r="K360" i="40"/>
  <c r="I360" i="40"/>
  <c r="D121" i="40"/>
  <c r="Q120" i="40"/>
  <c r="P120" i="40"/>
  <c r="O120" i="40"/>
  <c r="C359" i="40"/>
  <c r="H358" i="40"/>
  <c r="G119" i="40"/>
  <c r="G125" i="40" s="1"/>
  <c r="F119" i="40"/>
  <c r="F125" i="40" s="1"/>
  <c r="E119" i="40"/>
  <c r="C357" i="40"/>
  <c r="Q117" i="40"/>
  <c r="J355" i="40"/>
  <c r="I355" i="40"/>
  <c r="E116" i="40"/>
  <c r="E355" i="40" s="1"/>
  <c r="D116" i="40"/>
  <c r="K354" i="40"/>
  <c r="J354" i="40"/>
  <c r="C354" i="40"/>
  <c r="C353" i="40"/>
  <c r="N113" i="40"/>
  <c r="C352" i="40"/>
  <c r="K351" i="40"/>
  <c r="J351" i="40"/>
  <c r="I351" i="40"/>
  <c r="H351" i="40"/>
  <c r="C351" i="40"/>
  <c r="K350" i="40"/>
  <c r="J350" i="40"/>
  <c r="H350" i="40"/>
  <c r="C350" i="40"/>
  <c r="K349" i="40"/>
  <c r="I349" i="40"/>
  <c r="H349" i="40"/>
  <c r="C349" i="40"/>
  <c r="Q109" i="40"/>
  <c r="J348" i="40"/>
  <c r="I348" i="40"/>
  <c r="D109" i="40"/>
  <c r="D348" i="40" s="1"/>
  <c r="H345" i="40"/>
  <c r="C345" i="40"/>
  <c r="N105" i="40"/>
  <c r="H344" i="40"/>
  <c r="G105" i="40"/>
  <c r="K344" i="40" s="1"/>
  <c r="F105" i="40"/>
  <c r="F344" i="40" s="1"/>
  <c r="E105" i="40"/>
  <c r="C344" i="40"/>
  <c r="K342" i="40"/>
  <c r="C342" i="40"/>
  <c r="W102" i="40"/>
  <c r="I341" i="40"/>
  <c r="C341" i="40"/>
  <c r="W101" i="40"/>
  <c r="W100" i="40"/>
  <c r="I339" i="40"/>
  <c r="C339" i="40"/>
  <c r="J338" i="40"/>
  <c r="I338" i="40"/>
  <c r="H338" i="40"/>
  <c r="C338" i="40"/>
  <c r="K337" i="40"/>
  <c r="J337" i="40"/>
  <c r="D98" i="40"/>
  <c r="C337" i="40"/>
  <c r="J336" i="40"/>
  <c r="I336" i="40"/>
  <c r="D97" i="40"/>
  <c r="C336" i="40"/>
  <c r="H335" i="40"/>
  <c r="G96" i="40"/>
  <c r="G335" i="40" s="1"/>
  <c r="F96" i="40"/>
  <c r="F335" i="40" s="1"/>
  <c r="E96" i="40"/>
  <c r="E335" i="40" s="1"/>
  <c r="C335" i="40"/>
  <c r="K334" i="40"/>
  <c r="J334" i="40"/>
  <c r="I334" i="40"/>
  <c r="D95" i="40"/>
  <c r="D334" i="40" s="1"/>
  <c r="C334" i="40"/>
  <c r="G94" i="40"/>
  <c r="G333" i="40" s="1"/>
  <c r="F94" i="40"/>
  <c r="F333" i="40" s="1"/>
  <c r="E94" i="40"/>
  <c r="E333" i="40" s="1"/>
  <c r="D94" i="40"/>
  <c r="D333" i="40" s="1"/>
  <c r="C333" i="40"/>
  <c r="K332" i="40"/>
  <c r="J332" i="40"/>
  <c r="I332" i="40"/>
  <c r="C332" i="40"/>
  <c r="C331" i="40"/>
  <c r="K330" i="40"/>
  <c r="C330" i="40"/>
  <c r="G90" i="40"/>
  <c r="F90" i="40"/>
  <c r="E90" i="40"/>
  <c r="C329" i="40"/>
  <c r="G89" i="40"/>
  <c r="F89" i="40"/>
  <c r="E89" i="40"/>
  <c r="C328" i="40"/>
  <c r="M88" i="40"/>
  <c r="D87" i="40"/>
  <c r="D326" i="40" s="1"/>
  <c r="K325" i="40"/>
  <c r="J325" i="40"/>
  <c r="I325" i="40"/>
  <c r="H325" i="40"/>
  <c r="C325" i="40"/>
  <c r="N85" i="40"/>
  <c r="H324" i="40"/>
  <c r="C324" i="40"/>
  <c r="I322" i="40"/>
  <c r="C322" i="40"/>
  <c r="J321" i="40"/>
  <c r="G82" i="40"/>
  <c r="G321" i="40" s="1"/>
  <c r="C321" i="40"/>
  <c r="W81" i="40"/>
  <c r="C320" i="40"/>
  <c r="G80" i="40"/>
  <c r="G319" i="40" s="1"/>
  <c r="F80" i="40"/>
  <c r="F319" i="40" s="1"/>
  <c r="E80" i="40"/>
  <c r="E319" i="40" s="1"/>
  <c r="H318" i="40"/>
  <c r="C317" i="40"/>
  <c r="M77" i="40"/>
  <c r="G77" i="40"/>
  <c r="F77" i="40"/>
  <c r="E77" i="40"/>
  <c r="D76" i="40"/>
  <c r="D315" i="40" s="1"/>
  <c r="C76" i="40"/>
  <c r="C315" i="40" s="1"/>
  <c r="G75" i="40"/>
  <c r="G314" i="40" s="1"/>
  <c r="F75" i="40"/>
  <c r="F314" i="40" s="1"/>
  <c r="E75" i="40"/>
  <c r="E314" i="40" s="1"/>
  <c r="C314" i="40"/>
  <c r="K313" i="40"/>
  <c r="I313" i="40"/>
  <c r="C313" i="40"/>
  <c r="K312" i="40"/>
  <c r="I312" i="40"/>
  <c r="C312" i="40"/>
  <c r="N72" i="40"/>
  <c r="K311" i="40"/>
  <c r="J311" i="40"/>
  <c r="I311" i="40"/>
  <c r="H311" i="40"/>
  <c r="C311" i="40"/>
  <c r="H310" i="40"/>
  <c r="C310" i="40"/>
  <c r="K308" i="40"/>
  <c r="J308" i="40"/>
  <c r="I308" i="40"/>
  <c r="D69" i="40"/>
  <c r="C308" i="40"/>
  <c r="J307" i="40"/>
  <c r="H307" i="40"/>
  <c r="C307" i="40"/>
  <c r="K306" i="40"/>
  <c r="I306" i="40"/>
  <c r="C306" i="40"/>
  <c r="C305" i="40"/>
  <c r="M65" i="40"/>
  <c r="C65" i="40"/>
  <c r="C304" i="40" s="1"/>
  <c r="K302" i="40"/>
  <c r="J302" i="40"/>
  <c r="H302" i="40"/>
  <c r="C302" i="40"/>
  <c r="C301" i="40"/>
  <c r="C300" i="40"/>
  <c r="C299" i="40"/>
  <c r="K298" i="40"/>
  <c r="J298" i="40"/>
  <c r="I298" i="40"/>
  <c r="C298" i="40"/>
  <c r="K297" i="40"/>
  <c r="J297" i="40"/>
  <c r="D58" i="40"/>
  <c r="C297" i="40"/>
  <c r="J296" i="40"/>
  <c r="H296" i="40"/>
  <c r="C296" i="40"/>
  <c r="K295" i="40"/>
  <c r="I295" i="40"/>
  <c r="H295" i="40"/>
  <c r="C295" i="40"/>
  <c r="J294" i="40"/>
  <c r="I294" i="40"/>
  <c r="H294" i="40"/>
  <c r="C294" i="40"/>
  <c r="H293" i="40"/>
  <c r="G54" i="40"/>
  <c r="G64" i="40" s="1"/>
  <c r="G303" i="40" s="1"/>
  <c r="F54" i="40"/>
  <c r="E54" i="40"/>
  <c r="C293" i="40"/>
  <c r="M53" i="40"/>
  <c r="D53" i="40"/>
  <c r="I290" i="40"/>
  <c r="H290" i="40"/>
  <c r="G51" i="40"/>
  <c r="G290" i="40" s="1"/>
  <c r="F51" i="40"/>
  <c r="F290" i="40" s="1"/>
  <c r="E51" i="40"/>
  <c r="E290" i="40" s="1"/>
  <c r="H289" i="40"/>
  <c r="G50" i="40"/>
  <c r="G289" i="40" s="1"/>
  <c r="F50" i="40"/>
  <c r="F289" i="40" s="1"/>
  <c r="E50" i="40"/>
  <c r="E289" i="40" s="1"/>
  <c r="D50" i="40"/>
  <c r="D289" i="40" s="1"/>
  <c r="C289" i="40"/>
  <c r="I286" i="40"/>
  <c r="C286" i="40"/>
  <c r="C285" i="40"/>
  <c r="C284" i="40"/>
  <c r="M43" i="40"/>
  <c r="G42" i="40"/>
  <c r="F42" i="40"/>
  <c r="F281" i="40" s="1"/>
  <c r="E42" i="40"/>
  <c r="E281" i="40" s="1"/>
  <c r="Q41" i="40"/>
  <c r="P41" i="40"/>
  <c r="O41" i="40"/>
  <c r="N41" i="40"/>
  <c r="K279" i="40"/>
  <c r="C279" i="40"/>
  <c r="K278" i="40"/>
  <c r="J278" i="40"/>
  <c r="D39" i="40"/>
  <c r="C278" i="40"/>
  <c r="K277" i="40"/>
  <c r="J277" i="40"/>
  <c r="I277" i="40"/>
  <c r="D38" i="40"/>
  <c r="C277" i="40"/>
  <c r="W37" i="40"/>
  <c r="K276" i="40"/>
  <c r="H276" i="40"/>
  <c r="C276" i="40"/>
  <c r="W36" i="40"/>
  <c r="K275" i="40"/>
  <c r="W34" i="40"/>
  <c r="K273" i="40"/>
  <c r="J273" i="40"/>
  <c r="I273" i="40"/>
  <c r="H273" i="40"/>
  <c r="C273" i="40"/>
  <c r="G32" i="40"/>
  <c r="G271" i="40" s="1"/>
  <c r="F32" i="40"/>
  <c r="F271" i="40" s="1"/>
  <c r="E32" i="40"/>
  <c r="E271" i="40" s="1"/>
  <c r="D32" i="40"/>
  <c r="D271" i="40" s="1"/>
  <c r="W31" i="40"/>
  <c r="K270" i="40"/>
  <c r="J270" i="40"/>
  <c r="I270" i="40"/>
  <c r="H270" i="40"/>
  <c r="C270" i="40"/>
  <c r="W30" i="40"/>
  <c r="K269" i="40"/>
  <c r="J269" i="40"/>
  <c r="I269" i="40"/>
  <c r="H269" i="40"/>
  <c r="C269" i="40"/>
  <c r="Q29" i="40"/>
  <c r="P29" i="40"/>
  <c r="O29" i="40"/>
  <c r="W29" i="40" s="1"/>
  <c r="J268" i="40"/>
  <c r="G29" i="40"/>
  <c r="G268" i="40" s="1"/>
  <c r="F29" i="40"/>
  <c r="F268" i="40" s="1"/>
  <c r="E29" i="40"/>
  <c r="E268" i="40" s="1"/>
  <c r="D29" i="40"/>
  <c r="D268" i="40" s="1"/>
  <c r="C268" i="40"/>
  <c r="Q28" i="40"/>
  <c r="P28" i="40"/>
  <c r="O28" i="40"/>
  <c r="J267" i="40"/>
  <c r="H267" i="40"/>
  <c r="G28" i="40"/>
  <c r="G267" i="40" s="1"/>
  <c r="F28" i="40"/>
  <c r="F267" i="40" s="1"/>
  <c r="E28" i="40"/>
  <c r="E267" i="40" s="1"/>
  <c r="D28" i="40"/>
  <c r="D267" i="40" s="1"/>
  <c r="W27" i="40"/>
  <c r="S27" i="40"/>
  <c r="N27" i="40"/>
  <c r="J266" i="40"/>
  <c r="I266" i="40"/>
  <c r="H266" i="40"/>
  <c r="C266" i="40"/>
  <c r="W26" i="40"/>
  <c r="H265" i="40"/>
  <c r="G26" i="40"/>
  <c r="F26" i="40"/>
  <c r="F265" i="40" s="1"/>
  <c r="E26" i="40"/>
  <c r="E265" i="40" s="1"/>
  <c r="C265" i="40"/>
  <c r="W25" i="40"/>
  <c r="N25" i="40"/>
  <c r="K264" i="40"/>
  <c r="J264" i="40"/>
  <c r="H264" i="40"/>
  <c r="M24" i="40"/>
  <c r="D24" i="40"/>
  <c r="D263" i="40" s="1"/>
  <c r="W22" i="40"/>
  <c r="T22" i="40"/>
  <c r="S22" i="40"/>
  <c r="K261" i="40"/>
  <c r="J261" i="40"/>
  <c r="I261" i="40"/>
  <c r="H261" i="40"/>
  <c r="W21" i="40"/>
  <c r="R21" i="40"/>
  <c r="J260" i="40"/>
  <c r="I260" i="40"/>
  <c r="H260" i="40"/>
  <c r="C260" i="40"/>
  <c r="O20" i="40"/>
  <c r="G20" i="40"/>
  <c r="G259" i="40" s="1"/>
  <c r="F20" i="40"/>
  <c r="F259" i="40" s="1"/>
  <c r="E20" i="40"/>
  <c r="E259" i="40" s="1"/>
  <c r="C259" i="40"/>
  <c r="W19" i="40"/>
  <c r="K258" i="40"/>
  <c r="J258" i="40"/>
  <c r="C258" i="40"/>
  <c r="W18" i="40"/>
  <c r="R18" i="40"/>
  <c r="K257" i="40"/>
  <c r="J257" i="40"/>
  <c r="I257" i="40"/>
  <c r="C257" i="40"/>
  <c r="W17" i="40"/>
  <c r="T17" i="40"/>
  <c r="K256" i="40"/>
  <c r="J256" i="40"/>
  <c r="I256" i="40"/>
  <c r="H256" i="40"/>
  <c r="C256" i="40"/>
  <c r="C255" i="40"/>
  <c r="W15" i="40"/>
  <c r="U15" i="40"/>
  <c r="S15" i="40"/>
  <c r="K254" i="40"/>
  <c r="J254" i="40"/>
  <c r="H254" i="40"/>
  <c r="C254" i="40"/>
  <c r="W14" i="40"/>
  <c r="U14" i="40"/>
  <c r="K253" i="40"/>
  <c r="J253" i="40"/>
  <c r="I253" i="40"/>
  <c r="H253" i="40"/>
  <c r="C253" i="40"/>
  <c r="J252" i="40"/>
  <c r="I252" i="40"/>
  <c r="C252" i="40"/>
  <c r="P12" i="40"/>
  <c r="K251" i="40"/>
  <c r="J251" i="40"/>
  <c r="I251" i="40"/>
  <c r="C251" i="40"/>
  <c r="W11" i="40"/>
  <c r="N11" i="40"/>
  <c r="K250" i="40"/>
  <c r="J250" i="40"/>
  <c r="I250" i="40"/>
  <c r="H250" i="40"/>
  <c r="C250" i="40"/>
  <c r="Q10" i="40"/>
  <c r="P10" i="40"/>
  <c r="O10" i="40"/>
  <c r="K249" i="40"/>
  <c r="G10" i="40"/>
  <c r="G249" i="40" s="1"/>
  <c r="F10" i="40"/>
  <c r="F249" i="40" s="1"/>
  <c r="E10" i="40"/>
  <c r="E249" i="40" s="1"/>
  <c r="D10" i="40"/>
  <c r="D249" i="40" s="1"/>
  <c r="C249" i="40"/>
  <c r="W9" i="40"/>
  <c r="K248" i="40"/>
  <c r="J248" i="40"/>
  <c r="I248" i="40"/>
  <c r="H248" i="40"/>
  <c r="C248" i="40"/>
  <c r="Q8" i="40"/>
  <c r="P8" i="40"/>
  <c r="O8" i="40"/>
  <c r="W8" i="40" s="1"/>
  <c r="I247" i="40"/>
  <c r="G8" i="40"/>
  <c r="F8" i="40"/>
  <c r="F247" i="40" s="1"/>
  <c r="E8" i="40"/>
  <c r="E247" i="40" s="1"/>
  <c r="D8" i="40"/>
  <c r="D247" i="40" s="1"/>
  <c r="C247" i="40"/>
  <c r="W7" i="40"/>
  <c r="T7" i="40"/>
  <c r="K246" i="40"/>
  <c r="J246" i="40"/>
  <c r="I246" i="40"/>
  <c r="H246" i="40"/>
  <c r="C246" i="40"/>
  <c r="W6" i="40"/>
  <c r="H245" i="40"/>
  <c r="C245" i="40"/>
  <c r="M5" i="40"/>
  <c r="G4" i="40"/>
  <c r="F4" i="40"/>
  <c r="E4" i="40"/>
  <c r="W2" i="40"/>
  <c r="S429" i="40" l="1"/>
  <c r="S315" i="40"/>
  <c r="T315" i="40"/>
  <c r="T429" i="40"/>
  <c r="H443" i="40"/>
  <c r="E397" i="40"/>
  <c r="X419" i="40"/>
  <c r="I236" i="40"/>
  <c r="I451" i="40" s="1"/>
  <c r="X394" i="40"/>
  <c r="F397" i="40"/>
  <c r="G397" i="40"/>
  <c r="N224" i="40"/>
  <c r="N439" i="40" s="1"/>
  <c r="X306" i="40"/>
  <c r="X415" i="40"/>
  <c r="O223" i="40"/>
  <c r="G76" i="40"/>
  <c r="G315" i="40" s="1"/>
  <c r="X413" i="40"/>
  <c r="X257" i="40"/>
  <c r="X363" i="40"/>
  <c r="X385" i="40"/>
  <c r="D4" i="40"/>
  <c r="D243" i="40" s="1"/>
  <c r="X296" i="40"/>
  <c r="X337" i="40"/>
  <c r="X351" i="40"/>
  <c r="X245" i="40"/>
  <c r="X246" i="40"/>
  <c r="X248" i="40"/>
  <c r="X251" i="40"/>
  <c r="X264" i="40"/>
  <c r="X273" i="40"/>
  <c r="X322" i="40"/>
  <c r="X332" i="40"/>
  <c r="X341" i="40"/>
  <c r="X374" i="40"/>
  <c r="X381" i="40"/>
  <c r="X382" i="40"/>
  <c r="X393" i="40"/>
  <c r="X402" i="40"/>
  <c r="X403" i="40"/>
  <c r="X414" i="40"/>
  <c r="X418" i="40"/>
  <c r="X266" i="40"/>
  <c r="X298" i="40"/>
  <c r="X305" i="40"/>
  <c r="X308" i="40"/>
  <c r="X342" i="40"/>
  <c r="X350" i="40"/>
  <c r="X313" i="40"/>
  <c r="X269" i="40"/>
  <c r="X307" i="40"/>
  <c r="X312" i="40"/>
  <c r="X317" i="40"/>
  <c r="X336" i="40"/>
  <c r="D103" i="40"/>
  <c r="D342" i="40" s="1"/>
  <c r="X354" i="40"/>
  <c r="X361" i="40"/>
  <c r="X277" i="40"/>
  <c r="X368" i="40"/>
  <c r="X295" i="40"/>
  <c r="X321" i="40"/>
  <c r="X339" i="40"/>
  <c r="X373" i="40"/>
  <c r="X377" i="40"/>
  <c r="X380" i="40"/>
  <c r="X386" i="40"/>
  <c r="X396" i="40"/>
  <c r="X409" i="40"/>
  <c r="X417" i="40"/>
  <c r="X275" i="40"/>
  <c r="X258" i="40"/>
  <c r="X260" i="40"/>
  <c r="X261" i="40"/>
  <c r="X297" i="40"/>
  <c r="X302" i="40"/>
  <c r="X320" i="40"/>
  <c r="X325" i="40"/>
  <c r="X334" i="40"/>
  <c r="X338" i="40"/>
  <c r="X349" i="40"/>
  <c r="X356" i="40"/>
  <c r="X376" i="40"/>
  <c r="X383" i="40"/>
  <c r="X407" i="40"/>
  <c r="X357" i="40"/>
  <c r="X252" i="40"/>
  <c r="X253" i="40"/>
  <c r="X254" i="40"/>
  <c r="X278" i="40"/>
  <c r="X311" i="40"/>
  <c r="X353" i="40"/>
  <c r="X360" i="40"/>
  <c r="X372" i="40"/>
  <c r="X375" i="40"/>
  <c r="X395" i="40"/>
  <c r="X422" i="40"/>
  <c r="N264" i="40"/>
  <c r="N266" i="40"/>
  <c r="N324" i="40"/>
  <c r="N250" i="40"/>
  <c r="N280" i="40"/>
  <c r="Y19" i="40"/>
  <c r="Z19" i="40" s="1"/>
  <c r="C53" i="40"/>
  <c r="C292" i="40" s="1"/>
  <c r="D64" i="40"/>
  <c r="D303" i="40" s="1"/>
  <c r="O280" i="40"/>
  <c r="O425" i="40"/>
  <c r="E76" i="40"/>
  <c r="E315" i="40" s="1"/>
  <c r="Q362" i="40"/>
  <c r="Q268" i="40"/>
  <c r="H202" i="40"/>
  <c r="Q356" i="40"/>
  <c r="Y182" i="40"/>
  <c r="Z182" i="40" s="1"/>
  <c r="D220" i="40"/>
  <c r="D436" i="40" s="1"/>
  <c r="P94" i="40"/>
  <c r="P333" i="40" s="1"/>
  <c r="Q348" i="40"/>
  <c r="Q247" i="40"/>
  <c r="Q249" i="40"/>
  <c r="Q280" i="40"/>
  <c r="Q359" i="40"/>
  <c r="Q404" i="40"/>
  <c r="Q267" i="40"/>
  <c r="Y184" i="40"/>
  <c r="Z184" i="40" s="1"/>
  <c r="C228" i="40"/>
  <c r="C443" i="40" s="1"/>
  <c r="C442" i="40"/>
  <c r="Q223" i="40"/>
  <c r="X267" i="40"/>
  <c r="P268" i="40"/>
  <c r="O437" i="40"/>
  <c r="P247" i="40"/>
  <c r="P251" i="40"/>
  <c r="P376" i="40"/>
  <c r="P249" i="40"/>
  <c r="P414" i="40"/>
  <c r="X347" i="40"/>
  <c r="C220" i="40"/>
  <c r="C436" i="40" s="1"/>
  <c r="P359" i="40"/>
  <c r="D204" i="40"/>
  <c r="H204" i="40" s="1"/>
  <c r="N34" i="40"/>
  <c r="N273" i="40" s="1"/>
  <c r="P402" i="40"/>
  <c r="J225" i="40"/>
  <c r="J440" i="40" s="1"/>
  <c r="X265" i="40"/>
  <c r="P267" i="40"/>
  <c r="P362" i="40"/>
  <c r="X397" i="40"/>
  <c r="C231" i="40"/>
  <c r="C446" i="40" s="1"/>
  <c r="K265" i="40"/>
  <c r="T26" i="40"/>
  <c r="U105" i="40"/>
  <c r="P344" i="40"/>
  <c r="O373" i="40"/>
  <c r="P373" i="40"/>
  <c r="U134" i="40"/>
  <c r="R202" i="40"/>
  <c r="I202" i="40"/>
  <c r="H249" i="40"/>
  <c r="P13" i="40"/>
  <c r="P252" i="40" s="1"/>
  <c r="R14" i="40"/>
  <c r="T30" i="40"/>
  <c r="R31" i="40"/>
  <c r="T36" i="40"/>
  <c r="H279" i="40"/>
  <c r="N51" i="40"/>
  <c r="N290" i="40" s="1"/>
  <c r="K293" i="40"/>
  <c r="H333" i="40"/>
  <c r="P99" i="40"/>
  <c r="P338" i="40" s="1"/>
  <c r="Y102" i="40"/>
  <c r="Z102" i="40" s="1"/>
  <c r="J344" i="40"/>
  <c r="N119" i="40"/>
  <c r="N358" i="40" s="1"/>
  <c r="S123" i="40"/>
  <c r="N144" i="40"/>
  <c r="N149" i="40"/>
  <c r="U149" i="40" s="1"/>
  <c r="S164" i="40"/>
  <c r="P176" i="40"/>
  <c r="P415" i="40" s="1"/>
  <c r="Q179" i="40"/>
  <c r="Q418" i="40" s="1"/>
  <c r="H420" i="40"/>
  <c r="O232" i="40"/>
  <c r="O447" i="40" s="1"/>
  <c r="J245" i="40"/>
  <c r="N7" i="40"/>
  <c r="N246" i="40" s="1"/>
  <c r="Y9" i="40"/>
  <c r="Z9" i="40" s="1"/>
  <c r="J249" i="40"/>
  <c r="S14" i="40"/>
  <c r="N22" i="40"/>
  <c r="N261" i="40" s="1"/>
  <c r="S28" i="40"/>
  <c r="X268" i="40"/>
  <c r="J276" i="40"/>
  <c r="I279" i="40"/>
  <c r="J286" i="40"/>
  <c r="D52" i="40"/>
  <c r="D291" i="40" s="1"/>
  <c r="N54" i="40"/>
  <c r="N293" i="40" s="1"/>
  <c r="N86" i="40"/>
  <c r="N325" i="40" s="1"/>
  <c r="N110" i="40"/>
  <c r="N349" i="40" s="1"/>
  <c r="T164" i="40"/>
  <c r="P165" i="40"/>
  <c r="P404" i="40" s="1"/>
  <c r="R166" i="40"/>
  <c r="Q176" i="40"/>
  <c r="T176" i="40" s="1"/>
  <c r="Y180" i="40"/>
  <c r="Z180" i="40" s="1"/>
  <c r="O225" i="40"/>
  <c r="O440" i="40" s="1"/>
  <c r="O249" i="40"/>
  <c r="O268" i="40"/>
  <c r="X279" i="40"/>
  <c r="N71" i="40"/>
  <c r="O324" i="40"/>
  <c r="X335" i="40"/>
  <c r="T166" i="40"/>
  <c r="N169" i="40"/>
  <c r="U169" i="40" s="1"/>
  <c r="H220" i="40"/>
  <c r="O228" i="40"/>
  <c r="O443" i="40" s="1"/>
  <c r="O247" i="40"/>
  <c r="H258" i="40"/>
  <c r="O259" i="40"/>
  <c r="F33" i="40"/>
  <c r="F272" i="40" s="1"/>
  <c r="I321" i="40"/>
  <c r="H329" i="40"/>
  <c r="K340" i="40"/>
  <c r="X355" i="40"/>
  <c r="J359" i="40"/>
  <c r="N122" i="40"/>
  <c r="N361" i="40" s="1"/>
  <c r="O362" i="40"/>
  <c r="X378" i="40"/>
  <c r="P167" i="40"/>
  <c r="P406" i="40" s="1"/>
  <c r="S184" i="40"/>
  <c r="F189" i="40"/>
  <c r="F428" i="40" s="1"/>
  <c r="R9" i="40"/>
  <c r="T11" i="40"/>
  <c r="R17" i="40"/>
  <c r="T25" i="40"/>
  <c r="J395" i="40"/>
  <c r="O163" i="40"/>
  <c r="O402" i="40" s="1"/>
  <c r="I410" i="40"/>
  <c r="O175" i="40"/>
  <c r="O414" i="40" s="1"/>
  <c r="R193" i="40"/>
  <c r="S9" i="40"/>
  <c r="W10" i="40"/>
  <c r="S17" i="40"/>
  <c r="Y22" i="40"/>
  <c r="Z22" i="40" s="1"/>
  <c r="N56" i="40"/>
  <c r="N295" i="40" s="1"/>
  <c r="Q67" i="40"/>
  <c r="Q306" i="40" s="1"/>
  <c r="H328" i="40"/>
  <c r="N99" i="40"/>
  <c r="N338" i="40" s="1"/>
  <c r="Y100" i="40"/>
  <c r="Z100" i="40" s="1"/>
  <c r="X344" i="40"/>
  <c r="H348" i="40"/>
  <c r="N112" i="40"/>
  <c r="H354" i="40"/>
  <c r="H390" i="40"/>
  <c r="N164" i="40"/>
  <c r="U164" i="40" s="1"/>
  <c r="N176" i="40"/>
  <c r="W193" i="40"/>
  <c r="W257" i="40" s="1"/>
  <c r="O250" i="40"/>
  <c r="F52" i="40"/>
  <c r="F291" i="40" s="1"/>
  <c r="S12" i="40"/>
  <c r="S29" i="40"/>
  <c r="S30" i="40"/>
  <c r="J281" i="40"/>
  <c r="H286" i="40"/>
  <c r="K289" i="40"/>
  <c r="K290" i="40"/>
  <c r="N55" i="40"/>
  <c r="N294" i="40" s="1"/>
  <c r="J318" i="40"/>
  <c r="O99" i="40"/>
  <c r="O338" i="40" s="1"/>
  <c r="R123" i="40"/>
  <c r="N145" i="40"/>
  <c r="N384" i="40" s="1"/>
  <c r="N153" i="40"/>
  <c r="W153" i="40" s="1"/>
  <c r="Q163" i="40"/>
  <c r="Q402" i="40" s="1"/>
  <c r="X410" i="40"/>
  <c r="Q175" i="40"/>
  <c r="Q414" i="40" s="1"/>
  <c r="O176" i="40"/>
  <c r="O415" i="40" s="1"/>
  <c r="H391" i="40"/>
  <c r="I391" i="40"/>
  <c r="K369" i="40"/>
  <c r="J345" i="40"/>
  <c r="X345" i="40"/>
  <c r="J310" i="40"/>
  <c r="W20" i="40"/>
  <c r="H277" i="40"/>
  <c r="N38" i="40"/>
  <c r="I285" i="40"/>
  <c r="I297" i="40"/>
  <c r="H257" i="40"/>
  <c r="N18" i="40"/>
  <c r="P280" i="40"/>
  <c r="S41" i="40"/>
  <c r="K288" i="40"/>
  <c r="I296" i="40"/>
  <c r="D308" i="40"/>
  <c r="D75" i="40"/>
  <c r="D336" i="40"/>
  <c r="J373" i="40"/>
  <c r="G378" i="40"/>
  <c r="S6" i="40"/>
  <c r="N9" i="40"/>
  <c r="S10" i="40"/>
  <c r="U11" i="40"/>
  <c r="Y14" i="40"/>
  <c r="T15" i="40"/>
  <c r="N19" i="40"/>
  <c r="R22" i="40"/>
  <c r="Y25" i="40"/>
  <c r="Y27" i="40"/>
  <c r="X270" i="40"/>
  <c r="Y31" i="40"/>
  <c r="D33" i="40"/>
  <c r="Y34" i="40"/>
  <c r="S37" i="40"/>
  <c r="I278" i="40"/>
  <c r="K280" i="40"/>
  <c r="T41" i="40"/>
  <c r="P42" i="40"/>
  <c r="C283" i="40"/>
  <c r="I307" i="40"/>
  <c r="J313" i="40"/>
  <c r="H317" i="40"/>
  <c r="N78" i="40"/>
  <c r="C323" i="40"/>
  <c r="X328" i="40"/>
  <c r="X329" i="40"/>
  <c r="J333" i="40"/>
  <c r="I354" i="40"/>
  <c r="C356" i="40"/>
  <c r="E358" i="40"/>
  <c r="J295" i="40"/>
  <c r="P56" i="40"/>
  <c r="P295" i="40" s="1"/>
  <c r="E243" i="40"/>
  <c r="T10" i="40"/>
  <c r="K252" i="40"/>
  <c r="Y18" i="40"/>
  <c r="S19" i="40"/>
  <c r="Y21" i="40"/>
  <c r="C262" i="40"/>
  <c r="K266" i="40"/>
  <c r="T27" i="40"/>
  <c r="I267" i="40"/>
  <c r="R28" i="40"/>
  <c r="E33" i="40"/>
  <c r="H275" i="40"/>
  <c r="K296" i="40"/>
  <c r="C309" i="40"/>
  <c r="H359" i="40"/>
  <c r="N120" i="40"/>
  <c r="N359" i="40" s="1"/>
  <c r="G370" i="40"/>
  <c r="O377" i="40"/>
  <c r="W138" i="40"/>
  <c r="Y138" i="40" s="1"/>
  <c r="U138" i="40"/>
  <c r="J306" i="40"/>
  <c r="P67" i="40"/>
  <c r="P306" i="40" s="1"/>
  <c r="O12" i="40"/>
  <c r="R12" i="40" s="1"/>
  <c r="D23" i="40"/>
  <c r="J290" i="40"/>
  <c r="I293" i="40"/>
  <c r="K307" i="40"/>
  <c r="G328" i="40"/>
  <c r="G222" i="40"/>
  <c r="G438" i="40" s="1"/>
  <c r="G107" i="40"/>
  <c r="G329" i="40"/>
  <c r="G233" i="40"/>
  <c r="G448" i="40" s="1"/>
  <c r="N352" i="40"/>
  <c r="N203" i="40"/>
  <c r="R113" i="40"/>
  <c r="H353" i="40"/>
  <c r="N114" i="40"/>
  <c r="G364" i="40"/>
  <c r="F364" i="40"/>
  <c r="C376" i="40"/>
  <c r="R137" i="40"/>
  <c r="K294" i="40"/>
  <c r="F243" i="40"/>
  <c r="G247" i="40"/>
  <c r="G23" i="40"/>
  <c r="X250" i="40"/>
  <c r="Y11" i="40"/>
  <c r="I275" i="40"/>
  <c r="R36" i="40"/>
  <c r="G243" i="40"/>
  <c r="G190" i="40"/>
  <c r="Y7" i="40"/>
  <c r="R8" i="40"/>
  <c r="T9" i="40"/>
  <c r="N10" i="40"/>
  <c r="O13" i="40"/>
  <c r="R13" i="40" s="1"/>
  <c r="Y17" i="40"/>
  <c r="N21" i="40"/>
  <c r="E23" i="40"/>
  <c r="S25" i="40"/>
  <c r="R27" i="40"/>
  <c r="C267" i="40"/>
  <c r="N31" i="40"/>
  <c r="Y36" i="40"/>
  <c r="X276" i="40"/>
  <c r="Y37" i="40"/>
  <c r="F293" i="40"/>
  <c r="F150" i="40"/>
  <c r="F64" i="40"/>
  <c r="X294" i="40"/>
  <c r="I302" i="40"/>
  <c r="C303" i="40"/>
  <c r="F316" i="40"/>
  <c r="F200" i="40"/>
  <c r="F87" i="40"/>
  <c r="F76" i="40"/>
  <c r="F315" i="40" s="1"/>
  <c r="J322" i="40"/>
  <c r="H332" i="40"/>
  <c r="N93" i="40"/>
  <c r="I335" i="40"/>
  <c r="I352" i="40"/>
  <c r="I203" i="40"/>
  <c r="X362" i="40"/>
  <c r="Y123" i="40"/>
  <c r="H298" i="40"/>
  <c r="N59" i="40"/>
  <c r="T19" i="40"/>
  <c r="Q12" i="40"/>
  <c r="T14" i="40"/>
  <c r="I254" i="40"/>
  <c r="R15" i="40"/>
  <c r="Y15" i="40"/>
  <c r="S18" i="40"/>
  <c r="F23" i="40"/>
  <c r="O267" i="40"/>
  <c r="W28" i="40"/>
  <c r="Y30" i="40"/>
  <c r="M35" i="40"/>
  <c r="N40" i="40"/>
  <c r="N279" i="40" s="1"/>
  <c r="C280" i="40"/>
  <c r="R41" i="40"/>
  <c r="G281" i="40"/>
  <c r="C290" i="40"/>
  <c r="X318" i="40"/>
  <c r="K322" i="40"/>
  <c r="N362" i="40"/>
  <c r="U123" i="40"/>
  <c r="X280" i="40"/>
  <c r="C287" i="40"/>
  <c r="K260" i="40"/>
  <c r="T21" i="40"/>
  <c r="I265" i="40"/>
  <c r="R26" i="40"/>
  <c r="C271" i="40"/>
  <c r="O32" i="40"/>
  <c r="Y6" i="40"/>
  <c r="R7" i="40"/>
  <c r="R11" i="40"/>
  <c r="Q13" i="40"/>
  <c r="Q252" i="40" s="1"/>
  <c r="T18" i="40"/>
  <c r="I258" i="40"/>
  <c r="R19" i="40"/>
  <c r="P20" i="40"/>
  <c r="S21" i="40"/>
  <c r="U25" i="40"/>
  <c r="G265" i="40"/>
  <c r="G33" i="40"/>
  <c r="N26" i="40"/>
  <c r="U27" i="40"/>
  <c r="S31" i="40"/>
  <c r="N36" i="40"/>
  <c r="H280" i="40"/>
  <c r="U41" i="40"/>
  <c r="H288" i="40"/>
  <c r="N49" i="40"/>
  <c r="H301" i="40"/>
  <c r="N62" i="40"/>
  <c r="J314" i="40"/>
  <c r="C318" i="40"/>
  <c r="H322" i="40"/>
  <c r="N83" i="40"/>
  <c r="M201" i="40"/>
  <c r="H334" i="40"/>
  <c r="N95" i="40"/>
  <c r="H340" i="40"/>
  <c r="N101" i="40"/>
  <c r="C343" i="40"/>
  <c r="C264" i="40"/>
  <c r="C272" i="40"/>
  <c r="N6" i="40"/>
  <c r="S7" i="40"/>
  <c r="S11" i="40"/>
  <c r="H251" i="40"/>
  <c r="N12" i="40"/>
  <c r="N251" i="40" s="1"/>
  <c r="N17" i="40"/>
  <c r="N30" i="40"/>
  <c r="N37" i="40"/>
  <c r="D277" i="40"/>
  <c r="D42" i="40"/>
  <c r="D278" i="40"/>
  <c r="W41" i="40"/>
  <c r="I289" i="40"/>
  <c r="D297" i="40"/>
  <c r="N311" i="40"/>
  <c r="J312" i="40"/>
  <c r="H313" i="40"/>
  <c r="N74" i="40"/>
  <c r="H341" i="40"/>
  <c r="N102" i="40"/>
  <c r="H406" i="40"/>
  <c r="N167" i="40"/>
  <c r="N406" i="40" s="1"/>
  <c r="J417" i="40"/>
  <c r="N28" i="40"/>
  <c r="R30" i="40"/>
  <c r="T31" i="40"/>
  <c r="T37" i="40"/>
  <c r="G52" i="40"/>
  <c r="M205" i="40"/>
  <c r="G293" i="40"/>
  <c r="G150" i="40"/>
  <c r="O56" i="40"/>
  <c r="N57" i="40"/>
  <c r="O67" i="40"/>
  <c r="N68" i="40"/>
  <c r="N307" i="40" s="1"/>
  <c r="P79" i="40"/>
  <c r="N89" i="40"/>
  <c r="N328" i="40" s="1"/>
  <c r="N90" i="40"/>
  <c r="N329" i="40" s="1"/>
  <c r="R100" i="40"/>
  <c r="X340" i="40"/>
  <c r="Y101" i="40"/>
  <c r="E344" i="40"/>
  <c r="O344" i="40"/>
  <c r="W105" i="40"/>
  <c r="K348" i="40"/>
  <c r="T109" i="40"/>
  <c r="X348" i="40"/>
  <c r="F358" i="40"/>
  <c r="X359" i="40"/>
  <c r="I361" i="40"/>
  <c r="H375" i="40"/>
  <c r="N136" i="40"/>
  <c r="G212" i="40"/>
  <c r="G227" i="40" s="1"/>
  <c r="K382" i="40"/>
  <c r="X384" i="40"/>
  <c r="M140" i="40"/>
  <c r="Y169" i="40"/>
  <c r="G411" i="40"/>
  <c r="G189" i="40"/>
  <c r="N413" i="40"/>
  <c r="N416" i="40"/>
  <c r="X420" i="40"/>
  <c r="Y181" i="40"/>
  <c r="E64" i="40"/>
  <c r="N94" i="40"/>
  <c r="N333" i="40" s="1"/>
  <c r="D337" i="40"/>
  <c r="N109" i="40"/>
  <c r="N348" i="40" s="1"/>
  <c r="K352" i="40"/>
  <c r="K203" i="40"/>
  <c r="X352" i="40"/>
  <c r="G358" i="40"/>
  <c r="I363" i="40"/>
  <c r="R124" i="40"/>
  <c r="I374" i="40"/>
  <c r="F387" i="40"/>
  <c r="X400" i="40"/>
  <c r="I424" i="40"/>
  <c r="C288" i="40"/>
  <c r="N50" i="40"/>
  <c r="Q56" i="40"/>
  <c r="N63" i="40"/>
  <c r="O94" i="40"/>
  <c r="N96" i="40"/>
  <c r="I337" i="40"/>
  <c r="G344" i="40"/>
  <c r="Q344" i="40"/>
  <c r="O109" i="40"/>
  <c r="R109" i="40" s="1"/>
  <c r="N115" i="40"/>
  <c r="O359" i="40"/>
  <c r="W120" i="40"/>
  <c r="C360" i="40"/>
  <c r="J363" i="40"/>
  <c r="S124" i="40"/>
  <c r="X369" i="40"/>
  <c r="J408" i="40"/>
  <c r="S169" i="40"/>
  <c r="H412" i="40"/>
  <c r="N173" i="40"/>
  <c r="N412" i="40" s="1"/>
  <c r="H424" i="40"/>
  <c r="N185" i="40"/>
  <c r="N443" i="40"/>
  <c r="I280" i="40"/>
  <c r="D292" i="40"/>
  <c r="D205" i="40"/>
  <c r="M200" i="40"/>
  <c r="C319" i="40"/>
  <c r="Y81" i="40"/>
  <c r="C346" i="40"/>
  <c r="I350" i="40"/>
  <c r="D360" i="40"/>
  <c r="K363" i="40"/>
  <c r="T124" i="40"/>
  <c r="J368" i="40"/>
  <c r="P129" i="40"/>
  <c r="P368" i="40" s="1"/>
  <c r="J386" i="40"/>
  <c r="G390" i="40"/>
  <c r="H394" i="40"/>
  <c r="N155" i="40"/>
  <c r="I396" i="40"/>
  <c r="H404" i="40"/>
  <c r="N165" i="40"/>
  <c r="N404" i="40" s="1"/>
  <c r="J280" i="40"/>
  <c r="E316" i="40"/>
  <c r="E200" i="40"/>
  <c r="E87" i="40"/>
  <c r="Q94" i="40"/>
  <c r="Q333" i="40" s="1"/>
  <c r="K336" i="40"/>
  <c r="K338" i="40"/>
  <c r="Q99" i="40"/>
  <c r="I344" i="40"/>
  <c r="R105" i="40"/>
  <c r="D107" i="40"/>
  <c r="C355" i="40"/>
  <c r="I356" i="40"/>
  <c r="O117" i="40"/>
  <c r="K368" i="40"/>
  <c r="Q129" i="40"/>
  <c r="C372" i="40"/>
  <c r="C378" i="40"/>
  <c r="J407" i="40"/>
  <c r="P168" i="40"/>
  <c r="P407" i="40" s="1"/>
  <c r="I409" i="40"/>
  <c r="R170" i="40"/>
  <c r="D410" i="40"/>
  <c r="P223" i="40"/>
  <c r="E328" i="40"/>
  <c r="E222" i="40"/>
  <c r="E329" i="40"/>
  <c r="E233" i="40"/>
  <c r="E107" i="40"/>
  <c r="J349" i="40"/>
  <c r="D355" i="40"/>
  <c r="D124" i="40"/>
  <c r="D125" i="40" s="1"/>
  <c r="K356" i="40"/>
  <c r="T117" i="40"/>
  <c r="J360" i="40"/>
  <c r="Q376" i="40"/>
  <c r="T137" i="40"/>
  <c r="K385" i="40"/>
  <c r="J391" i="40"/>
  <c r="D414" i="40"/>
  <c r="D189" i="40"/>
  <c r="I418" i="40"/>
  <c r="O179" i="40"/>
  <c r="J420" i="40"/>
  <c r="S181" i="40"/>
  <c r="H423" i="40"/>
  <c r="N184" i="40"/>
  <c r="N253" i="40"/>
  <c r="N254" i="40"/>
  <c r="M193" i="40"/>
  <c r="M263" i="40" s="1"/>
  <c r="E52" i="40"/>
  <c r="E293" i="40"/>
  <c r="E150" i="40"/>
  <c r="E159" i="40" s="1"/>
  <c r="G316" i="40"/>
  <c r="G200" i="40"/>
  <c r="N79" i="40"/>
  <c r="N318" i="40" s="1"/>
  <c r="G87" i="40"/>
  <c r="F328" i="40"/>
  <c r="F222" i="40"/>
  <c r="F438" i="40" s="1"/>
  <c r="F107" i="40"/>
  <c r="F329" i="40"/>
  <c r="F233" i="40"/>
  <c r="F448" i="40" s="1"/>
  <c r="I345" i="40"/>
  <c r="H352" i="40"/>
  <c r="H203" i="40"/>
  <c r="S120" i="40"/>
  <c r="K362" i="40"/>
  <c r="T123" i="40"/>
  <c r="Y124" i="40"/>
  <c r="K384" i="40"/>
  <c r="T145" i="40"/>
  <c r="X388" i="40"/>
  <c r="K395" i="40"/>
  <c r="H421" i="40"/>
  <c r="N182" i="40"/>
  <c r="I422" i="40"/>
  <c r="R183" i="40"/>
  <c r="N344" i="40"/>
  <c r="N373" i="40"/>
  <c r="W134" i="40"/>
  <c r="X408" i="40"/>
  <c r="E413" i="40"/>
  <c r="E238" i="40"/>
  <c r="E453" i="40" s="1"/>
  <c r="E213" i="40"/>
  <c r="X416" i="40"/>
  <c r="J427" i="40"/>
  <c r="O129" i="40"/>
  <c r="R129" i="40" s="1"/>
  <c r="Q130" i="40"/>
  <c r="Q369" i="40" s="1"/>
  <c r="N135" i="40"/>
  <c r="S137" i="40"/>
  <c r="R138" i="40"/>
  <c r="O145" i="40"/>
  <c r="N147" i="40"/>
  <c r="S163" i="40"/>
  <c r="T165" i="40"/>
  <c r="N168" i="40"/>
  <c r="N407" i="40" s="1"/>
  <c r="C412" i="40"/>
  <c r="C428" i="40"/>
  <c r="F413" i="40"/>
  <c r="F238" i="40"/>
  <c r="F453" i="40" s="1"/>
  <c r="F213" i="40"/>
  <c r="S175" i="40"/>
  <c r="N178" i="40"/>
  <c r="S180" i="40"/>
  <c r="N181" i="40"/>
  <c r="X421" i="40"/>
  <c r="X423" i="40"/>
  <c r="P423" i="40"/>
  <c r="P425" i="40"/>
  <c r="P419" i="40"/>
  <c r="P420" i="40"/>
  <c r="P421" i="40"/>
  <c r="P422" i="40"/>
  <c r="P408" i="40"/>
  <c r="P409" i="40"/>
  <c r="P403" i="40"/>
  <c r="P405" i="40"/>
  <c r="P384" i="40"/>
  <c r="P363" i="40"/>
  <c r="P340" i="40"/>
  <c r="P341" i="40"/>
  <c r="P339" i="40"/>
  <c r="P320" i="40"/>
  <c r="P273" i="40"/>
  <c r="P275" i="40"/>
  <c r="P266" i="40"/>
  <c r="P257" i="40"/>
  <c r="P276" i="40"/>
  <c r="P269" i="40"/>
  <c r="P260" i="40"/>
  <c r="P270" i="40"/>
  <c r="P261" i="40"/>
  <c r="P265" i="40"/>
  <c r="P253" i="40"/>
  <c r="P245" i="40"/>
  <c r="P254" i="40"/>
  <c r="P246" i="40"/>
  <c r="P258" i="40"/>
  <c r="P248" i="40"/>
  <c r="P264" i="40"/>
  <c r="P256" i="40"/>
  <c r="P250" i="40"/>
  <c r="S193" i="40"/>
  <c r="D442" i="40"/>
  <c r="D228" i="40"/>
  <c r="D443" i="40" s="1"/>
  <c r="O222" i="40"/>
  <c r="O438" i="40" s="1"/>
  <c r="D447" i="40"/>
  <c r="D231" i="40"/>
  <c r="D446" i="40" s="1"/>
  <c r="N238" i="40"/>
  <c r="N453" i="40" s="1"/>
  <c r="E380" i="40"/>
  <c r="E225" i="40"/>
  <c r="E440" i="40" s="1"/>
  <c r="E381" i="40"/>
  <c r="E236" i="40"/>
  <c r="E451" i="40" s="1"/>
  <c r="C398" i="40"/>
  <c r="O168" i="40"/>
  <c r="R168" i="40" s="1"/>
  <c r="G171" i="40"/>
  <c r="E412" i="40"/>
  <c r="E224" i="40"/>
  <c r="E439" i="40" s="1"/>
  <c r="E212" i="40"/>
  <c r="E227" i="40" s="1"/>
  <c r="N179" i="40"/>
  <c r="N418" i="40" s="1"/>
  <c r="T180" i="40"/>
  <c r="R181" i="40"/>
  <c r="W186" i="40"/>
  <c r="N188" i="40"/>
  <c r="Q425" i="40"/>
  <c r="Q419" i="40"/>
  <c r="Q420" i="40"/>
  <c r="Q421" i="40"/>
  <c r="Q422" i="40"/>
  <c r="Q423" i="40"/>
  <c r="Q408" i="40"/>
  <c r="Q409" i="40"/>
  <c r="Q403" i="40"/>
  <c r="Q405" i="40"/>
  <c r="Q384" i="40"/>
  <c r="Q363" i="40"/>
  <c r="Q340" i="40"/>
  <c r="Q341" i="40"/>
  <c r="Q339" i="40"/>
  <c r="Q320" i="40"/>
  <c r="Q273" i="40"/>
  <c r="Q275" i="40"/>
  <c r="Q276" i="40"/>
  <c r="Q258" i="40"/>
  <c r="Q270" i="40"/>
  <c r="Q261" i="40"/>
  <c r="Q265" i="40"/>
  <c r="Q257" i="40"/>
  <c r="Q253" i="40"/>
  <c r="Q245" i="40"/>
  <c r="Q260" i="40"/>
  <c r="Q254" i="40"/>
  <c r="Q246" i="40"/>
  <c r="Q266" i="40"/>
  <c r="Q248" i="40"/>
  <c r="Q264" i="40"/>
  <c r="Q256" i="40"/>
  <c r="Q250" i="40"/>
  <c r="Q269" i="40"/>
  <c r="P233" i="40"/>
  <c r="P448" i="40" s="1"/>
  <c r="C370" i="40"/>
  <c r="F380" i="40"/>
  <c r="F212" i="40"/>
  <c r="F227" i="40" s="1"/>
  <c r="F225" i="40"/>
  <c r="F440" i="40" s="1"/>
  <c r="F381" i="40"/>
  <c r="F236" i="40"/>
  <c r="F451" i="40" s="1"/>
  <c r="S145" i="40"/>
  <c r="D159" i="40"/>
  <c r="Y166" i="40"/>
  <c r="R169" i="40"/>
  <c r="Y170" i="40"/>
  <c r="N440" i="40"/>
  <c r="T101" i="40"/>
  <c r="R102" i="40"/>
  <c r="N106" i="40"/>
  <c r="P109" i="40"/>
  <c r="N111" i="40"/>
  <c r="J352" i="40"/>
  <c r="J203" i="40"/>
  <c r="C358" i="40"/>
  <c r="E125" i="40"/>
  <c r="R134" i="40"/>
  <c r="G380" i="40"/>
  <c r="G225" i="40"/>
  <c r="G440" i="40" s="1"/>
  <c r="G381" i="40"/>
  <c r="G236" i="40"/>
  <c r="G451" i="40" s="1"/>
  <c r="G213" i="40"/>
  <c r="N151" i="40"/>
  <c r="N163" i="40"/>
  <c r="N402" i="40" s="1"/>
  <c r="Y164" i="40"/>
  <c r="O165" i="40"/>
  <c r="X404" i="40"/>
  <c r="N166" i="40"/>
  <c r="O167" i="40"/>
  <c r="X406" i="40"/>
  <c r="Q168" i="40"/>
  <c r="N170" i="40"/>
  <c r="P179" i="40"/>
  <c r="T181" i="40"/>
  <c r="R182" i="40"/>
  <c r="Y183" i="40"/>
  <c r="R184" i="40"/>
  <c r="N187" i="40"/>
  <c r="T193" i="40"/>
  <c r="I220" i="40"/>
  <c r="I436" i="40" s="1"/>
  <c r="O233" i="40"/>
  <c r="O448" i="40" s="1"/>
  <c r="N377" i="40"/>
  <c r="N387" i="40"/>
  <c r="P232" i="40"/>
  <c r="P447" i="40" s="1"/>
  <c r="O236" i="40"/>
  <c r="O451" i="40" s="1"/>
  <c r="C410" i="40"/>
  <c r="H413" i="40"/>
  <c r="E424" i="40"/>
  <c r="C426" i="40"/>
  <c r="E189" i="40"/>
  <c r="X256" i="40"/>
  <c r="E204" i="40"/>
  <c r="U204" i="40"/>
  <c r="X427" i="40"/>
  <c r="U202" i="40"/>
  <c r="O264" i="40"/>
  <c r="O270" i="40"/>
  <c r="O248" i="40"/>
  <c r="N438" i="40"/>
  <c r="N446" i="40"/>
  <c r="N449" i="40"/>
  <c r="N451" i="40"/>
  <c r="O258" i="40"/>
  <c r="O261" i="40"/>
  <c r="O266" i="40"/>
  <c r="O446" i="40"/>
  <c r="O246" i="40"/>
  <c r="O422" i="40"/>
  <c r="O423" i="40"/>
  <c r="O419" i="40"/>
  <c r="O420" i="40"/>
  <c r="O421" i="40"/>
  <c r="O408" i="40"/>
  <c r="O409" i="40"/>
  <c r="O405" i="40"/>
  <c r="O403" i="40"/>
  <c r="O363" i="40"/>
  <c r="O340" i="40"/>
  <c r="O341" i="40"/>
  <c r="O339" i="40"/>
  <c r="O320" i="40"/>
  <c r="O273" i="40"/>
  <c r="O265" i="40"/>
  <c r="O256" i="40"/>
  <c r="O275" i="40"/>
  <c r="O276" i="40"/>
  <c r="O269" i="40"/>
  <c r="O260" i="40"/>
  <c r="O439" i="40"/>
  <c r="P446" i="40"/>
  <c r="O245" i="40"/>
  <c r="O253" i="40"/>
  <c r="P439" i="40"/>
  <c r="Q446" i="40"/>
  <c r="O257" i="40"/>
  <c r="N437" i="40"/>
  <c r="N447" i="40"/>
  <c r="N448" i="40"/>
  <c r="N450" i="40"/>
  <c r="N452" i="40"/>
  <c r="H227" i="40" l="1"/>
  <c r="H442" i="40" s="1"/>
  <c r="H436" i="40"/>
  <c r="W176" i="40"/>
  <c r="R176" i="40"/>
  <c r="W99" i="40"/>
  <c r="D190" i="40"/>
  <c r="K225" i="40"/>
  <c r="W280" i="40"/>
  <c r="W425" i="40"/>
  <c r="S94" i="40"/>
  <c r="S176" i="40"/>
  <c r="U176" i="40"/>
  <c r="S105" i="40"/>
  <c r="E190" i="40"/>
  <c r="E429" i="40" s="1"/>
  <c r="J236" i="40"/>
  <c r="J451" i="40" s="1"/>
  <c r="Y28" i="40"/>
  <c r="Z28" i="40" s="1"/>
  <c r="C4" i="40"/>
  <c r="C205" i="40"/>
  <c r="C199" i="40" s="1"/>
  <c r="N415" i="40"/>
  <c r="Y29" i="40"/>
  <c r="Y26" i="40"/>
  <c r="Z26" i="40" s="1"/>
  <c r="N403" i="40"/>
  <c r="T175" i="40"/>
  <c r="D199" i="40"/>
  <c r="G220" i="40"/>
  <c r="G436" i="40" s="1"/>
  <c r="S165" i="40"/>
  <c r="U34" i="40"/>
  <c r="U22" i="40"/>
  <c r="M411" i="40"/>
  <c r="F220" i="40"/>
  <c r="F436" i="40" s="1"/>
  <c r="M408" i="40"/>
  <c r="S99" i="40"/>
  <c r="S167" i="40"/>
  <c r="M371" i="40"/>
  <c r="T179" i="40"/>
  <c r="W359" i="40"/>
  <c r="W421" i="40"/>
  <c r="W405" i="40"/>
  <c r="W266" i="40"/>
  <c r="Q224" i="40"/>
  <c r="Q439" i="40" s="1"/>
  <c r="W419" i="40"/>
  <c r="W408" i="40"/>
  <c r="W246" i="40"/>
  <c r="W268" i="40"/>
  <c r="F231" i="40"/>
  <c r="F446" i="40" s="1"/>
  <c r="N408" i="40"/>
  <c r="W377" i="40"/>
  <c r="W409" i="40"/>
  <c r="W339" i="40"/>
  <c r="W265" i="40"/>
  <c r="P225" i="40"/>
  <c r="P440" i="40" s="1"/>
  <c r="W338" i="40"/>
  <c r="W392" i="40"/>
  <c r="W260" i="40"/>
  <c r="W422" i="40"/>
  <c r="Y193" i="40"/>
  <c r="Z193" i="40" s="1"/>
  <c r="W423" i="40"/>
  <c r="W259" i="40"/>
  <c r="W249" i="40"/>
  <c r="W420" i="40"/>
  <c r="W276" i="40"/>
  <c r="W256" i="40"/>
  <c r="W363" i="40"/>
  <c r="W275" i="40"/>
  <c r="T163" i="40"/>
  <c r="W163" i="40"/>
  <c r="W402" i="40" s="1"/>
  <c r="R163" i="40"/>
  <c r="U153" i="40"/>
  <c r="N392" i="40"/>
  <c r="N383" i="40"/>
  <c r="W149" i="40"/>
  <c r="W388" i="40" s="1"/>
  <c r="O388" i="40"/>
  <c r="P388" i="40"/>
  <c r="R149" i="40"/>
  <c r="N388" i="40"/>
  <c r="S134" i="40"/>
  <c r="U120" i="40"/>
  <c r="U119" i="40"/>
  <c r="R99" i="40"/>
  <c r="T105" i="40"/>
  <c r="Y99" i="40"/>
  <c r="U99" i="40"/>
  <c r="O325" i="40"/>
  <c r="T67" i="40"/>
  <c r="H355" i="40"/>
  <c r="N116" i="40"/>
  <c r="Q415" i="40"/>
  <c r="S67" i="40"/>
  <c r="S56" i="40"/>
  <c r="U7" i="40"/>
  <c r="O392" i="40"/>
  <c r="N351" i="40"/>
  <c r="W250" i="40"/>
  <c r="H219" i="40"/>
  <c r="N220" i="40"/>
  <c r="N436" i="40" s="1"/>
  <c r="N310" i="40"/>
  <c r="R71" i="40"/>
  <c r="K339" i="40"/>
  <c r="T100" i="40"/>
  <c r="H339" i="40"/>
  <c r="N100" i="40"/>
  <c r="G231" i="40"/>
  <c r="G446" i="40" s="1"/>
  <c r="W175" i="40"/>
  <c r="W414" i="40" s="1"/>
  <c r="R175" i="40"/>
  <c r="M274" i="40"/>
  <c r="W320" i="40"/>
  <c r="W261" i="40"/>
  <c r="W253" i="40"/>
  <c r="W245" i="40"/>
  <c r="W247" i="40"/>
  <c r="N152" i="40"/>
  <c r="N391" i="40" s="1"/>
  <c r="H252" i="40"/>
  <c r="N13" i="40"/>
  <c r="N252" i="40" s="1"/>
  <c r="W341" i="40"/>
  <c r="W403" i="40"/>
  <c r="K406" i="40"/>
  <c r="Q167" i="40"/>
  <c r="W273" i="40"/>
  <c r="I235" i="40"/>
  <c r="I450" i="40" s="1"/>
  <c r="I234" i="40"/>
  <c r="I449" i="40" s="1"/>
  <c r="U85" i="40"/>
  <c r="N47" i="40"/>
  <c r="W254" i="40"/>
  <c r="W270" i="40"/>
  <c r="S13" i="40"/>
  <c r="H356" i="40"/>
  <c r="N117" i="40"/>
  <c r="N356" i="40" s="1"/>
  <c r="W258" i="40"/>
  <c r="W362" i="40"/>
  <c r="I35" i="40"/>
  <c r="I274" i="40" s="1"/>
  <c r="W248" i="40"/>
  <c r="W264" i="40"/>
  <c r="W340" i="40"/>
  <c r="W269" i="40"/>
  <c r="I268" i="40"/>
  <c r="R29" i="40"/>
  <c r="W85" i="40"/>
  <c r="W324" i="40" s="1"/>
  <c r="J24" i="40"/>
  <c r="J263" i="40" s="1"/>
  <c r="T130" i="40"/>
  <c r="H369" i="40"/>
  <c r="N130" i="40"/>
  <c r="N369" i="40" s="1"/>
  <c r="H24" i="40"/>
  <c r="Z170" i="40"/>
  <c r="O384" i="40"/>
  <c r="W145" i="40"/>
  <c r="U145" i="40"/>
  <c r="R145" i="40"/>
  <c r="J396" i="40"/>
  <c r="N354" i="40"/>
  <c r="O306" i="40"/>
  <c r="R67" i="40"/>
  <c r="W67" i="40"/>
  <c r="J285" i="40"/>
  <c r="D272" i="40"/>
  <c r="J202" i="40"/>
  <c r="S202" i="40"/>
  <c r="X424" i="40"/>
  <c r="I219" i="40"/>
  <c r="I227" i="40"/>
  <c r="I442" i="40" s="1"/>
  <c r="O220" i="40"/>
  <c r="O436" i="40" s="1"/>
  <c r="K422" i="40"/>
  <c r="T183" i="40"/>
  <c r="X412" i="40"/>
  <c r="H393" i="40"/>
  <c r="N154" i="40"/>
  <c r="K421" i="40"/>
  <c r="T182" i="40"/>
  <c r="I387" i="40"/>
  <c r="O148" i="40"/>
  <c r="R148" i="40" s="1"/>
  <c r="J378" i="40"/>
  <c r="P222" i="40"/>
  <c r="P438" i="40" s="1"/>
  <c r="H397" i="40"/>
  <c r="N158" i="40"/>
  <c r="J329" i="40"/>
  <c r="P90" i="40"/>
  <c r="P329" i="40" s="1"/>
  <c r="W86" i="40"/>
  <c r="R86" i="40"/>
  <c r="X293" i="40"/>
  <c r="D363" i="40"/>
  <c r="H108" i="40"/>
  <c r="X426" i="40"/>
  <c r="U122" i="40"/>
  <c r="K426" i="40"/>
  <c r="N424" i="40"/>
  <c r="K341" i="40"/>
  <c r="T102" i="40"/>
  <c r="N335" i="40"/>
  <c r="J320" i="40"/>
  <c r="S81" i="40"/>
  <c r="N289" i="40"/>
  <c r="J392" i="40"/>
  <c r="H337" i="40"/>
  <c r="N98" i="40"/>
  <c r="I324" i="40"/>
  <c r="R85" i="40"/>
  <c r="Z181" i="40"/>
  <c r="Z169" i="40"/>
  <c r="Y120" i="40"/>
  <c r="I340" i="40"/>
  <c r="R101" i="40"/>
  <c r="J335" i="40"/>
  <c r="X319" i="40"/>
  <c r="H285" i="40"/>
  <c r="N46" i="40"/>
  <c r="J422" i="40"/>
  <c r="S183" i="40"/>
  <c r="O383" i="40"/>
  <c r="U144" i="40"/>
  <c r="R144" i="40"/>
  <c r="W144" i="40"/>
  <c r="N341" i="40"/>
  <c r="U102" i="40"/>
  <c r="K247" i="40"/>
  <c r="T8" i="40"/>
  <c r="J300" i="40"/>
  <c r="Y41" i="40"/>
  <c r="K281" i="40"/>
  <c r="K35" i="40"/>
  <c r="K274" i="40" s="1"/>
  <c r="Q42" i="40"/>
  <c r="Q281" i="40" s="1"/>
  <c r="M275" i="40"/>
  <c r="N270" i="40"/>
  <c r="U31" i="40"/>
  <c r="Z17" i="40"/>
  <c r="H291" i="40"/>
  <c r="N52" i="40"/>
  <c r="H308" i="40"/>
  <c r="N69" i="40"/>
  <c r="Z21" i="40"/>
  <c r="M244" i="40"/>
  <c r="I358" i="40"/>
  <c r="Z31" i="40"/>
  <c r="N258" i="40"/>
  <c r="U19" i="40"/>
  <c r="N248" i="40"/>
  <c r="U9" i="40"/>
  <c r="G326" i="40"/>
  <c r="K286" i="40"/>
  <c r="I249" i="40"/>
  <c r="R10" i="40"/>
  <c r="O406" i="40"/>
  <c r="W167" i="40"/>
  <c r="U167" i="40"/>
  <c r="R167" i="40"/>
  <c r="E398" i="40"/>
  <c r="I140" i="40"/>
  <c r="H368" i="40"/>
  <c r="N129" i="40"/>
  <c r="N368" i="40" s="1"/>
  <c r="N350" i="40"/>
  <c r="H389" i="40"/>
  <c r="N150" i="40"/>
  <c r="F442" i="40"/>
  <c r="F228" i="40"/>
  <c r="F443" i="40" s="1"/>
  <c r="I397" i="40"/>
  <c r="O238" i="40"/>
  <c r="O453" i="40" s="1"/>
  <c r="N417" i="40"/>
  <c r="H396" i="40"/>
  <c r="N157" i="40"/>
  <c r="H381" i="40"/>
  <c r="N142" i="40"/>
  <c r="N381" i="40" s="1"/>
  <c r="E389" i="40"/>
  <c r="H414" i="40"/>
  <c r="N175" i="40"/>
  <c r="H372" i="40"/>
  <c r="H132" i="40"/>
  <c r="N133" i="40"/>
  <c r="N372" i="40" s="1"/>
  <c r="D364" i="40"/>
  <c r="E346" i="40"/>
  <c r="X324" i="40"/>
  <c r="M399" i="40"/>
  <c r="E326" i="40"/>
  <c r="O348" i="40"/>
  <c r="U109" i="40"/>
  <c r="W109" i="40"/>
  <c r="X333" i="40"/>
  <c r="X314" i="40"/>
  <c r="J341" i="40"/>
  <c r="S102" i="40"/>
  <c r="I320" i="40"/>
  <c r="R81" i="40"/>
  <c r="G442" i="40"/>
  <c r="G228" i="40"/>
  <c r="G443" i="40" s="1"/>
  <c r="K345" i="40"/>
  <c r="P318" i="40"/>
  <c r="S79" i="40"/>
  <c r="M199" i="40"/>
  <c r="N276" i="40"/>
  <c r="U37" i="40"/>
  <c r="N288" i="40"/>
  <c r="X249" i="40"/>
  <c r="Y10" i="40"/>
  <c r="J271" i="40"/>
  <c r="Z123" i="40"/>
  <c r="K320" i="40"/>
  <c r="T81" i="40"/>
  <c r="H268" i="40"/>
  <c r="N29" i="40"/>
  <c r="I264" i="40"/>
  <c r="R25" i="40"/>
  <c r="H247" i="40"/>
  <c r="N8" i="40"/>
  <c r="Z11" i="40"/>
  <c r="N353" i="40"/>
  <c r="K310" i="40"/>
  <c r="M304" i="40"/>
  <c r="J259" i="40"/>
  <c r="S20" i="40"/>
  <c r="I77" i="40"/>
  <c r="X247" i="40"/>
  <c r="Y8" i="40"/>
  <c r="X310" i="40"/>
  <c r="K287" i="40"/>
  <c r="J380" i="40"/>
  <c r="P141" i="40"/>
  <c r="S141" i="40" s="1"/>
  <c r="E442" i="40"/>
  <c r="E228" i="40"/>
  <c r="E443" i="40" s="1"/>
  <c r="X370" i="40"/>
  <c r="I317" i="40"/>
  <c r="I212" i="40"/>
  <c r="O78" i="40"/>
  <c r="R78" i="40" s="1"/>
  <c r="I426" i="40"/>
  <c r="N267" i="40"/>
  <c r="U28" i="40"/>
  <c r="F389" i="40"/>
  <c r="X390" i="40"/>
  <c r="I370" i="40"/>
  <c r="O131" i="40"/>
  <c r="R131" i="40" s="1"/>
  <c r="P418" i="40"/>
  <c r="S179" i="40"/>
  <c r="N405" i="40"/>
  <c r="U166" i="40"/>
  <c r="K397" i="40"/>
  <c r="N390" i="40"/>
  <c r="R151" i="40"/>
  <c r="H382" i="40"/>
  <c r="N143" i="40"/>
  <c r="E364" i="40"/>
  <c r="P348" i="40"/>
  <c r="S109" i="40"/>
  <c r="G410" i="40"/>
  <c r="K394" i="40"/>
  <c r="I381" i="40"/>
  <c r="O142" i="40"/>
  <c r="R142" i="40" s="1"/>
  <c r="H380" i="40"/>
  <c r="N141" i="40"/>
  <c r="N380" i="40" s="1"/>
  <c r="O368" i="40"/>
  <c r="W129" i="40"/>
  <c r="J428" i="40"/>
  <c r="K409" i="40"/>
  <c r="T170" i="40"/>
  <c r="I314" i="40"/>
  <c r="D428" i="40"/>
  <c r="O356" i="40"/>
  <c r="W117" i="40"/>
  <c r="H419" i="40"/>
  <c r="N180" i="40"/>
  <c r="N394" i="40"/>
  <c r="I369" i="40"/>
  <c r="O130" i="40"/>
  <c r="R130" i="40" s="1"/>
  <c r="H360" i="40"/>
  <c r="N121" i="40"/>
  <c r="M316" i="40"/>
  <c r="X289" i="40"/>
  <c r="H172" i="40"/>
  <c r="Z138" i="40"/>
  <c r="C348" i="40"/>
  <c r="C364" i="40"/>
  <c r="O333" i="40"/>
  <c r="W94" i="40"/>
  <c r="W333" i="40" s="1"/>
  <c r="U94" i="40"/>
  <c r="J340" i="40"/>
  <c r="S101" i="40"/>
  <c r="K335" i="40"/>
  <c r="E303" i="40"/>
  <c r="O416" i="40"/>
  <c r="U177" i="40"/>
  <c r="R177" i="40"/>
  <c r="W177" i="40"/>
  <c r="M379" i="40"/>
  <c r="M206" i="40"/>
  <c r="M76" i="40"/>
  <c r="M315" i="40" s="1"/>
  <c r="H376" i="40"/>
  <c r="N137" i="40"/>
  <c r="N376" i="40" s="1"/>
  <c r="J358" i="40"/>
  <c r="W344" i="40"/>
  <c r="Y105" i="40"/>
  <c r="K333" i="40"/>
  <c r="T94" i="40"/>
  <c r="M292" i="40"/>
  <c r="N355" i="40"/>
  <c r="O311" i="40"/>
  <c r="U72" i="40"/>
  <c r="R72" i="40"/>
  <c r="W72" i="40"/>
  <c r="H299" i="40"/>
  <c r="N60" i="40"/>
  <c r="N256" i="40"/>
  <c r="U17" i="40"/>
  <c r="N245" i="40"/>
  <c r="U6" i="40"/>
  <c r="K259" i="40"/>
  <c r="N301" i="40"/>
  <c r="N275" i="40"/>
  <c r="U36" i="40"/>
  <c r="J247" i="40"/>
  <c r="S8" i="40"/>
  <c r="O271" i="40"/>
  <c r="P32" i="40"/>
  <c r="S32" i="40" s="1"/>
  <c r="W32" i="40"/>
  <c r="W271" i="40" s="1"/>
  <c r="O293" i="40"/>
  <c r="U54" i="40"/>
  <c r="W54" i="40"/>
  <c r="S54" i="40"/>
  <c r="Z30" i="40"/>
  <c r="F262" i="40"/>
  <c r="Q251" i="40"/>
  <c r="T12" i="40"/>
  <c r="H255" i="40"/>
  <c r="N16" i="40"/>
  <c r="N255" i="40" s="1"/>
  <c r="Z7" i="40"/>
  <c r="P377" i="40"/>
  <c r="S138" i="40"/>
  <c r="D314" i="40"/>
  <c r="X387" i="40"/>
  <c r="J220" i="40"/>
  <c r="J436" i="40" s="1"/>
  <c r="P221" i="40"/>
  <c r="P437" i="40" s="1"/>
  <c r="J390" i="40"/>
  <c r="W373" i="40"/>
  <c r="Y134" i="40"/>
  <c r="X330" i="40"/>
  <c r="E438" i="40"/>
  <c r="E220" i="40"/>
  <c r="E436" i="40" s="1"/>
  <c r="Q295" i="40"/>
  <c r="T56" i="40"/>
  <c r="H320" i="40"/>
  <c r="N81" i="40"/>
  <c r="O290" i="40"/>
  <c r="U51" i="40"/>
  <c r="R51" i="40"/>
  <c r="W51" i="40"/>
  <c r="W290" i="40" s="1"/>
  <c r="X259" i="40"/>
  <c r="Y20" i="40"/>
  <c r="I259" i="40"/>
  <c r="R20" i="40"/>
  <c r="E199" i="40"/>
  <c r="E428" i="40"/>
  <c r="K396" i="40"/>
  <c r="N345" i="40"/>
  <c r="Z166" i="40"/>
  <c r="J409" i="40"/>
  <c r="S170" i="40"/>
  <c r="J394" i="40"/>
  <c r="E291" i="40"/>
  <c r="I329" i="40"/>
  <c r="O90" i="40"/>
  <c r="R90" i="40" s="1"/>
  <c r="S168" i="40"/>
  <c r="M342" i="40"/>
  <c r="Q338" i="40"/>
  <c r="T99" i="40"/>
  <c r="K303" i="40"/>
  <c r="M282" i="40"/>
  <c r="N302" i="40"/>
  <c r="X286" i="40"/>
  <c r="M398" i="40"/>
  <c r="K314" i="40"/>
  <c r="G291" i="40"/>
  <c r="J275" i="40"/>
  <c r="S36" i="40"/>
  <c r="J35" i="40"/>
  <c r="J274" i="40" s="1"/>
  <c r="M327" i="40"/>
  <c r="C275" i="40"/>
  <c r="C281" i="40"/>
  <c r="N265" i="40"/>
  <c r="U26" i="40"/>
  <c r="P259" i="40"/>
  <c r="Q20" i="40"/>
  <c r="Q259" i="40" s="1"/>
  <c r="H259" i="40"/>
  <c r="N20" i="40"/>
  <c r="J279" i="40"/>
  <c r="H357" i="40"/>
  <c r="N118" i="40"/>
  <c r="N357" i="40" s="1"/>
  <c r="Z37" i="40"/>
  <c r="K267" i="40"/>
  <c r="T28" i="40"/>
  <c r="I245" i="40"/>
  <c r="R6" i="40"/>
  <c r="G262" i="40"/>
  <c r="O376" i="40"/>
  <c r="W137" i="40"/>
  <c r="J330" i="40"/>
  <c r="D262" i="40"/>
  <c r="Z18" i="40"/>
  <c r="Z27" i="40"/>
  <c r="H336" i="40"/>
  <c r="N97" i="40"/>
  <c r="J397" i="40"/>
  <c r="X300" i="40"/>
  <c r="H342" i="40"/>
  <c r="N103" i="40"/>
  <c r="G389" i="40"/>
  <c r="G159" i="40"/>
  <c r="D281" i="40"/>
  <c r="H35" i="40"/>
  <c r="H271" i="40"/>
  <c r="N32" i="40"/>
  <c r="N271" i="40" s="1"/>
  <c r="K364" i="40"/>
  <c r="H321" i="40"/>
  <c r="N82" i="40"/>
  <c r="X358" i="40"/>
  <c r="K378" i="40"/>
  <c r="I204" i="40"/>
  <c r="R204" i="40"/>
  <c r="W415" i="40"/>
  <c r="Y176" i="40"/>
  <c r="F159" i="40"/>
  <c r="N409" i="40"/>
  <c r="U170" i="40"/>
  <c r="O404" i="40"/>
  <c r="W165" i="40"/>
  <c r="U165" i="40"/>
  <c r="R165" i="40"/>
  <c r="K387" i="40"/>
  <c r="Q148" i="40"/>
  <c r="J342" i="40"/>
  <c r="U163" i="40"/>
  <c r="Q373" i="40"/>
  <c r="T134" i="40"/>
  <c r="Q233" i="40"/>
  <c r="Q448" i="40" s="1"/>
  <c r="N427" i="40"/>
  <c r="H422" i="40"/>
  <c r="N183" i="40"/>
  <c r="H378" i="40"/>
  <c r="N139" i="40"/>
  <c r="F346" i="40"/>
  <c r="M428" i="40"/>
  <c r="M420" i="40"/>
  <c r="M421" i="40"/>
  <c r="M414" i="40"/>
  <c r="M422" i="40"/>
  <c r="M415" i="40"/>
  <c r="M423" i="40"/>
  <c r="M416" i="40"/>
  <c r="M424" i="40"/>
  <c r="M417" i="40"/>
  <c r="M425" i="40"/>
  <c r="M418" i="40"/>
  <c r="M426" i="40"/>
  <c r="M409" i="40"/>
  <c r="M427" i="40"/>
  <c r="M419" i="40"/>
  <c r="M410" i="40"/>
  <c r="M412" i="40"/>
  <c r="M404" i="40"/>
  <c r="M395" i="40"/>
  <c r="M413" i="40"/>
  <c r="M407" i="40"/>
  <c r="M400" i="40"/>
  <c r="M401" i="40"/>
  <c r="M406" i="40"/>
  <c r="M396" i="40"/>
  <c r="M402" i="40"/>
  <c r="M392" i="40"/>
  <c r="M405" i="40"/>
  <c r="M393" i="40"/>
  <c r="M385" i="40"/>
  <c r="M397" i="40"/>
  <c r="M394" i="40"/>
  <c r="M386" i="40"/>
  <c r="M403" i="40"/>
  <c r="M387" i="40"/>
  <c r="M390" i="40"/>
  <c r="M383" i="40"/>
  <c r="M382" i="40"/>
  <c r="M377" i="40"/>
  <c r="M378" i="40"/>
  <c r="M380" i="40"/>
  <c r="M370" i="40"/>
  <c r="M389" i="40"/>
  <c r="M391" i="40"/>
  <c r="M384" i="40"/>
  <c r="M381" i="40"/>
  <c r="M374" i="40"/>
  <c r="M388" i="40"/>
  <c r="M375" i="40"/>
  <c r="M366" i="40"/>
  <c r="M369" i="40"/>
  <c r="M365" i="40"/>
  <c r="M364" i="40"/>
  <c r="M372" i="40"/>
  <c r="M367" i="40"/>
  <c r="M376" i="40"/>
  <c r="M359" i="40"/>
  <c r="M373" i="40"/>
  <c r="M368" i="40"/>
  <c r="M360" i="40"/>
  <c r="M352" i="40"/>
  <c r="M361" i="40"/>
  <c r="M353" i="40"/>
  <c r="M362" i="40"/>
  <c r="M354" i="40"/>
  <c r="M358" i="40"/>
  <c r="M344" i="40"/>
  <c r="M357" i="40"/>
  <c r="M345" i="40"/>
  <c r="M355" i="40"/>
  <c r="M351" i="40"/>
  <c r="M349" i="40"/>
  <c r="M347" i="40"/>
  <c r="M346" i="40"/>
  <c r="M335" i="40"/>
  <c r="M326" i="40"/>
  <c r="M348" i="40"/>
  <c r="M336" i="40"/>
  <c r="M340" i="40"/>
  <c r="M337" i="40"/>
  <c r="M356" i="40"/>
  <c r="M341" i="40"/>
  <c r="M338" i="40"/>
  <c r="M330" i="40"/>
  <c r="M350" i="40"/>
  <c r="M339" i="40"/>
  <c r="M331" i="40"/>
  <c r="M320" i="40"/>
  <c r="M310" i="40"/>
  <c r="M333" i="40"/>
  <c r="M321" i="40"/>
  <c r="M311" i="40"/>
  <c r="M328" i="40"/>
  <c r="M322" i="40"/>
  <c r="M312" i="40"/>
  <c r="M343" i="40"/>
  <c r="M323" i="40"/>
  <c r="M313" i="40"/>
  <c r="M324" i="40"/>
  <c r="M363" i="40"/>
  <c r="M334" i="40"/>
  <c r="M332" i="40"/>
  <c r="M325" i="40"/>
  <c r="M314" i="40"/>
  <c r="M307" i="40"/>
  <c r="M299" i="40"/>
  <c r="M329" i="40"/>
  <c r="M318" i="40"/>
  <c r="M317" i="40"/>
  <c r="M308" i="40"/>
  <c r="M300" i="40"/>
  <c r="M306" i="40"/>
  <c r="M302" i="40"/>
  <c r="M295" i="40"/>
  <c r="M287" i="40"/>
  <c r="M278" i="40"/>
  <c r="M309" i="40"/>
  <c r="M288" i="40"/>
  <c r="M279" i="40"/>
  <c r="M270" i="40"/>
  <c r="M289" i="40"/>
  <c r="M280" i="40"/>
  <c r="M271" i="40"/>
  <c r="M262" i="40"/>
  <c r="M319" i="40"/>
  <c r="M305" i="40"/>
  <c r="M296" i="40"/>
  <c r="M290" i="40"/>
  <c r="M281" i="40"/>
  <c r="M272" i="40"/>
  <c r="M297" i="40"/>
  <c r="M291" i="40"/>
  <c r="M283" i="40"/>
  <c r="M273" i="40"/>
  <c r="M303" i="40"/>
  <c r="M284" i="40"/>
  <c r="M266" i="40"/>
  <c r="M257" i="40"/>
  <c r="M301" i="40"/>
  <c r="M293" i="40"/>
  <c r="M285" i="40"/>
  <c r="M276" i="40"/>
  <c r="M267" i="40"/>
  <c r="M258" i="40"/>
  <c r="M269" i="40"/>
  <c r="M256" i="40"/>
  <c r="M249" i="40"/>
  <c r="M277" i="40"/>
  <c r="M259" i="40"/>
  <c r="M250" i="40"/>
  <c r="M294" i="40"/>
  <c r="M251" i="40"/>
  <c r="M286" i="40"/>
  <c r="M265" i="40"/>
  <c r="M260" i="40"/>
  <c r="M252" i="40"/>
  <c r="M253" i="40"/>
  <c r="M245" i="40"/>
  <c r="M298" i="40"/>
  <c r="M254" i="40"/>
  <c r="M246" i="40"/>
  <c r="M268" i="40"/>
  <c r="M261" i="40"/>
  <c r="M255" i="40"/>
  <c r="M247" i="40"/>
  <c r="M264" i="40"/>
  <c r="M248" i="40"/>
  <c r="O418" i="40"/>
  <c r="W179" i="40"/>
  <c r="U179" i="40"/>
  <c r="E448" i="40"/>
  <c r="E231" i="40"/>
  <c r="E446" i="40" s="1"/>
  <c r="J319" i="40"/>
  <c r="K390" i="40"/>
  <c r="H326" i="40"/>
  <c r="N87" i="40"/>
  <c r="J339" i="40"/>
  <c r="S100" i="40"/>
  <c r="I330" i="40"/>
  <c r="J387" i="40"/>
  <c r="P148" i="40"/>
  <c r="K358" i="40"/>
  <c r="H330" i="40"/>
  <c r="N91" i="40"/>
  <c r="I425" i="40"/>
  <c r="R186" i="40"/>
  <c r="N375" i="40"/>
  <c r="X290" i="40"/>
  <c r="I271" i="40"/>
  <c r="R32" i="40"/>
  <c r="O349" i="40"/>
  <c r="W110" i="40"/>
  <c r="U110" i="40"/>
  <c r="R110" i="40"/>
  <c r="K324" i="40"/>
  <c r="N340" i="40"/>
  <c r="U101" i="40"/>
  <c r="N322" i="40"/>
  <c r="H300" i="40"/>
  <c r="N61" i="40"/>
  <c r="I281" i="40"/>
  <c r="O42" i="40"/>
  <c r="G272" i="40"/>
  <c r="K24" i="40"/>
  <c r="K263" i="40" s="1"/>
  <c r="Z6" i="40"/>
  <c r="F326" i="40"/>
  <c r="E262" i="40"/>
  <c r="G429" i="40"/>
  <c r="G192" i="40"/>
  <c r="G431" i="40" s="1"/>
  <c r="G191" i="40"/>
  <c r="O352" i="40"/>
  <c r="O203" i="40"/>
  <c r="W113" i="40"/>
  <c r="U113" i="40"/>
  <c r="O251" i="40"/>
  <c r="W12" i="40"/>
  <c r="U12" i="40"/>
  <c r="X263" i="40"/>
  <c r="J291" i="40"/>
  <c r="C291" i="40"/>
  <c r="Z25" i="40"/>
  <c r="Z14" i="40"/>
  <c r="N257" i="40"/>
  <c r="U18" i="40"/>
  <c r="M4" i="40"/>
  <c r="Z183" i="40"/>
  <c r="J412" i="40"/>
  <c r="P173" i="40"/>
  <c r="S173" i="40" s="1"/>
  <c r="N423" i="40"/>
  <c r="U184" i="40"/>
  <c r="K271" i="40"/>
  <c r="X285" i="40"/>
  <c r="J265" i="40"/>
  <c r="S26" i="40"/>
  <c r="H229" i="40"/>
  <c r="N227" i="40"/>
  <c r="N442" i="40" s="1"/>
  <c r="F204" i="40"/>
  <c r="G204" i="40"/>
  <c r="X392" i="40"/>
  <c r="Y153" i="40"/>
  <c r="Q232" i="40"/>
  <c r="Q447" i="40" s="1"/>
  <c r="N426" i="40"/>
  <c r="Z164" i="40"/>
  <c r="H395" i="40"/>
  <c r="N156" i="40"/>
  <c r="H370" i="40"/>
  <c r="N131" i="40"/>
  <c r="N370" i="40" s="1"/>
  <c r="H160" i="40"/>
  <c r="X371" i="40"/>
  <c r="O407" i="40"/>
  <c r="W168" i="40"/>
  <c r="U168" i="40"/>
  <c r="I392" i="40"/>
  <c r="R153" i="40"/>
  <c r="I380" i="40"/>
  <c r="O141" i="40"/>
  <c r="I390" i="40"/>
  <c r="N374" i="40"/>
  <c r="Z124" i="40"/>
  <c r="K319" i="40"/>
  <c r="R179" i="40"/>
  <c r="H410" i="40"/>
  <c r="N171" i="40"/>
  <c r="J370" i="40"/>
  <c r="P131" i="40"/>
  <c r="P370" i="40" s="1"/>
  <c r="S129" i="40"/>
  <c r="H312" i="40"/>
  <c r="N73" i="40"/>
  <c r="H367" i="40"/>
  <c r="N128" i="40"/>
  <c r="I300" i="40"/>
  <c r="X425" i="40"/>
  <c r="Y186" i="40"/>
  <c r="N296" i="40"/>
  <c r="H297" i="40"/>
  <c r="N58" i="40"/>
  <c r="H278" i="40"/>
  <c r="N39" i="40"/>
  <c r="N269" i="40"/>
  <c r="U30" i="40"/>
  <c r="K245" i="40"/>
  <c r="T6" i="40"/>
  <c r="W267" i="40"/>
  <c r="N332" i="40"/>
  <c r="F303" i="40"/>
  <c r="I276" i="40"/>
  <c r="R37" i="40"/>
  <c r="O252" i="40"/>
  <c r="W13" i="40"/>
  <c r="F190" i="40"/>
  <c r="J364" i="40"/>
  <c r="K285" i="40"/>
  <c r="E272" i="40"/>
  <c r="T13" i="40"/>
  <c r="N317" i="40"/>
  <c r="D429" i="40"/>
  <c r="D191" i="40"/>
  <c r="D192" i="40"/>
  <c r="D431" i="40" s="1"/>
  <c r="I318" i="40"/>
  <c r="O79" i="40"/>
  <c r="N277" i="40"/>
  <c r="H319" i="40"/>
  <c r="N80" i="40"/>
  <c r="N319" i="40" s="1"/>
  <c r="H77" i="40"/>
  <c r="J369" i="40"/>
  <c r="P130" i="40"/>
  <c r="P369" i="40" s="1"/>
  <c r="H400" i="40"/>
  <c r="N161" i="40"/>
  <c r="N420" i="40"/>
  <c r="U181" i="40"/>
  <c r="D346" i="40"/>
  <c r="X281" i="40"/>
  <c r="G346" i="40"/>
  <c r="I310" i="40"/>
  <c r="H425" i="40"/>
  <c r="N186" i="40"/>
  <c r="H213" i="40"/>
  <c r="I419" i="40"/>
  <c r="R180" i="40"/>
  <c r="Q407" i="40"/>
  <c r="T168" i="40"/>
  <c r="H385" i="40"/>
  <c r="N146" i="40"/>
  <c r="K355" i="40"/>
  <c r="D398" i="40"/>
  <c r="K412" i="40"/>
  <c r="Q173" i="40"/>
  <c r="T173" i="40" s="1"/>
  <c r="X391" i="40"/>
  <c r="J421" i="40"/>
  <c r="S182" i="40"/>
  <c r="N386" i="40"/>
  <c r="N421" i="40"/>
  <c r="U182" i="40"/>
  <c r="I333" i="40"/>
  <c r="R94" i="40"/>
  <c r="I328" i="40"/>
  <c r="O89" i="40"/>
  <c r="Q368" i="40"/>
  <c r="T129" i="40"/>
  <c r="I319" i="40"/>
  <c r="X271" i="40"/>
  <c r="Z81" i="40"/>
  <c r="H306" i="40"/>
  <c r="N67" i="40"/>
  <c r="N306" i="40" s="1"/>
  <c r="I342" i="40"/>
  <c r="J324" i="40"/>
  <c r="S85" i="40"/>
  <c r="X411" i="40"/>
  <c r="G428" i="40"/>
  <c r="R122" i="40"/>
  <c r="Z101" i="40"/>
  <c r="O295" i="40"/>
  <c r="U56" i="40"/>
  <c r="R56" i="40"/>
  <c r="W56" i="40"/>
  <c r="J289" i="40"/>
  <c r="N313" i="40"/>
  <c r="O74" i="40"/>
  <c r="K268" i="40"/>
  <c r="T29" i="40"/>
  <c r="R117" i="40"/>
  <c r="N334" i="40"/>
  <c r="C326" i="40"/>
  <c r="J272" i="40"/>
  <c r="Z15" i="40"/>
  <c r="N298" i="40"/>
  <c r="J293" i="40"/>
  <c r="Z36" i="40"/>
  <c r="N260" i="40"/>
  <c r="U21" i="40"/>
  <c r="N249" i="40"/>
  <c r="U10" i="40"/>
  <c r="R54" i="40"/>
  <c r="K370" i="40"/>
  <c r="Q131" i="40"/>
  <c r="Q370" i="40" s="1"/>
  <c r="H212" i="40"/>
  <c r="P281" i="40"/>
  <c r="S42" i="40"/>
  <c r="Z34" i="40"/>
  <c r="Q225" i="40" l="1"/>
  <c r="Q440" i="40" s="1"/>
  <c r="K440" i="40"/>
  <c r="N229" i="40"/>
  <c r="N444" i="40" s="1"/>
  <c r="H444" i="40"/>
  <c r="P236" i="40"/>
  <c r="P451" i="40" s="1"/>
  <c r="Y32" i="40"/>
  <c r="E192" i="40"/>
  <c r="E431" i="40" s="1"/>
  <c r="E191" i="40"/>
  <c r="U13" i="40"/>
  <c r="Z29" i="40"/>
  <c r="Y163" i="40"/>
  <c r="K236" i="40"/>
  <c r="Y175" i="40"/>
  <c r="Z175" i="40" s="1"/>
  <c r="U86" i="40"/>
  <c r="C243" i="40"/>
  <c r="C190" i="40"/>
  <c r="S119" i="40"/>
  <c r="O358" i="40"/>
  <c r="R119" i="40"/>
  <c r="Y149" i="40"/>
  <c r="Z149" i="40" s="1"/>
  <c r="Z99" i="40"/>
  <c r="O361" i="40"/>
  <c r="N212" i="40"/>
  <c r="P324" i="40"/>
  <c r="W122" i="40"/>
  <c r="W361" i="40" s="1"/>
  <c r="Q388" i="40"/>
  <c r="S149" i="40"/>
  <c r="U137" i="40"/>
  <c r="O80" i="40"/>
  <c r="R80" i="40" s="1"/>
  <c r="W119" i="40"/>
  <c r="U117" i="40"/>
  <c r="Q324" i="40"/>
  <c r="T85" i="40"/>
  <c r="Y85" i="40"/>
  <c r="N286" i="40"/>
  <c r="Y51" i="40"/>
  <c r="I5" i="40"/>
  <c r="I244" i="40" s="1"/>
  <c r="P228" i="40"/>
  <c r="P443" i="40" s="1"/>
  <c r="Q228" i="40"/>
  <c r="Q443" i="40" s="1"/>
  <c r="O310" i="40"/>
  <c r="W71" i="40"/>
  <c r="U71" i="40"/>
  <c r="O234" i="40"/>
  <c r="O449" i="40" s="1"/>
  <c r="J234" i="40"/>
  <c r="J449" i="40" s="1"/>
  <c r="Q392" i="40"/>
  <c r="P392" i="40"/>
  <c r="O235" i="40"/>
  <c r="O450" i="40" s="1"/>
  <c r="J235" i="40"/>
  <c r="J450" i="40" s="1"/>
  <c r="N219" i="40"/>
  <c r="O391" i="40"/>
  <c r="J53" i="40"/>
  <c r="J292" i="40" s="1"/>
  <c r="Q406" i="40"/>
  <c r="T167" i="40"/>
  <c r="N339" i="40"/>
  <c r="U100" i="40"/>
  <c r="W112" i="40"/>
  <c r="R112" i="40"/>
  <c r="O351" i="40"/>
  <c r="U112" i="40"/>
  <c r="T131" i="40"/>
  <c r="T42" i="40"/>
  <c r="S153" i="40"/>
  <c r="H274" i="40"/>
  <c r="N35" i="40"/>
  <c r="N274" i="40" s="1"/>
  <c r="K309" i="40"/>
  <c r="K428" i="40"/>
  <c r="Q412" i="40"/>
  <c r="N278" i="40"/>
  <c r="Z186" i="40"/>
  <c r="U203" i="40"/>
  <c r="R203" i="40"/>
  <c r="I301" i="40"/>
  <c r="R62" i="40"/>
  <c r="N400" i="40"/>
  <c r="N213" i="40"/>
  <c r="O277" i="40"/>
  <c r="U38" i="40"/>
  <c r="W38" i="40"/>
  <c r="R38" i="40"/>
  <c r="S131" i="40"/>
  <c r="O374" i="40"/>
  <c r="W135" i="40"/>
  <c r="U135" i="40"/>
  <c r="R135" i="40"/>
  <c r="H401" i="40"/>
  <c r="N162" i="40"/>
  <c r="P412" i="40"/>
  <c r="X287" i="40"/>
  <c r="N300" i="40"/>
  <c r="O375" i="40"/>
  <c r="W136" i="40"/>
  <c r="U136" i="40"/>
  <c r="R136" i="40"/>
  <c r="N378" i="40"/>
  <c r="H309" i="40"/>
  <c r="N70" i="40"/>
  <c r="N259" i="40"/>
  <c r="U20" i="40"/>
  <c r="X288" i="40"/>
  <c r="X428" i="40"/>
  <c r="X255" i="40"/>
  <c r="W293" i="40"/>
  <c r="H343" i="40"/>
  <c r="N104" i="40"/>
  <c r="N299" i="40"/>
  <c r="R60" i="40"/>
  <c r="O355" i="40"/>
  <c r="U116" i="40"/>
  <c r="W116" i="40"/>
  <c r="R116" i="40"/>
  <c r="O390" i="40"/>
  <c r="W151" i="40"/>
  <c r="U151" i="40"/>
  <c r="O55" i="40"/>
  <c r="O370" i="40"/>
  <c r="W131" i="40"/>
  <c r="U131" i="40"/>
  <c r="J389" i="40"/>
  <c r="Z8" i="40"/>
  <c r="O288" i="40"/>
  <c r="S49" i="40"/>
  <c r="W49" i="40"/>
  <c r="W288" i="40" s="1"/>
  <c r="U49" i="40"/>
  <c r="I412" i="40"/>
  <c r="O173" i="40"/>
  <c r="R173" i="40" s="1"/>
  <c r="I359" i="40"/>
  <c r="R120" i="40"/>
  <c r="H363" i="40"/>
  <c r="N124" i="40"/>
  <c r="O219" i="40"/>
  <c r="H272" i="40"/>
  <c r="N33" i="40"/>
  <c r="O328" i="40"/>
  <c r="W89" i="40"/>
  <c r="U89" i="40"/>
  <c r="N425" i="40"/>
  <c r="U186" i="40"/>
  <c r="J303" i="40"/>
  <c r="N297" i="40"/>
  <c r="K301" i="40"/>
  <c r="K204" i="40"/>
  <c r="T204" i="40"/>
  <c r="M243" i="40"/>
  <c r="M190" i="40"/>
  <c r="I287" i="40"/>
  <c r="K272" i="40"/>
  <c r="W418" i="40"/>
  <c r="Y179" i="40"/>
  <c r="O427" i="40"/>
  <c r="R188" i="40"/>
  <c r="W188" i="40"/>
  <c r="U188" i="40"/>
  <c r="J426" i="40"/>
  <c r="N321" i="40"/>
  <c r="K389" i="40"/>
  <c r="K262" i="40"/>
  <c r="J353" i="40"/>
  <c r="O286" i="40"/>
  <c r="U47" i="40"/>
  <c r="W47" i="40"/>
  <c r="R47" i="40"/>
  <c r="O369" i="40"/>
  <c r="U130" i="40"/>
  <c r="W130" i="40"/>
  <c r="I367" i="40"/>
  <c r="N268" i="40"/>
  <c r="U29" i="40"/>
  <c r="X326" i="40"/>
  <c r="I346" i="40"/>
  <c r="N414" i="40"/>
  <c r="U175" i="40"/>
  <c r="P238" i="40"/>
  <c r="P453" i="40" s="1"/>
  <c r="I299" i="40"/>
  <c r="I53" i="40"/>
  <c r="N285" i="40"/>
  <c r="N337" i="40"/>
  <c r="P325" i="40"/>
  <c r="S86" i="40"/>
  <c r="X379" i="40"/>
  <c r="O354" i="40"/>
  <c r="U115" i="40"/>
  <c r="W115" i="40"/>
  <c r="R115" i="40"/>
  <c r="O426" i="40"/>
  <c r="S187" i="40"/>
  <c r="W187" i="40"/>
  <c r="U187" i="40"/>
  <c r="J204" i="40"/>
  <c r="S204" i="40"/>
  <c r="F199" i="40"/>
  <c r="W251" i="40"/>
  <c r="Y12" i="40"/>
  <c r="O322" i="40"/>
  <c r="W83" i="40"/>
  <c r="U83" i="40"/>
  <c r="R83" i="40"/>
  <c r="W404" i="40"/>
  <c r="Y165" i="40"/>
  <c r="G398" i="40"/>
  <c r="K323" i="40"/>
  <c r="H262" i="40"/>
  <c r="N23" i="40"/>
  <c r="H5" i="40"/>
  <c r="O345" i="40"/>
  <c r="W106" i="40"/>
  <c r="U106" i="40"/>
  <c r="R106" i="40"/>
  <c r="P290" i="40"/>
  <c r="S51" i="40"/>
  <c r="J262" i="40"/>
  <c r="T20" i="40"/>
  <c r="W311" i="40"/>
  <c r="Y72" i="40"/>
  <c r="H428" i="40"/>
  <c r="N189" i="40"/>
  <c r="K410" i="40"/>
  <c r="I343" i="40"/>
  <c r="K343" i="40"/>
  <c r="I326" i="40"/>
  <c r="X346" i="40"/>
  <c r="N389" i="40"/>
  <c r="R150" i="40"/>
  <c r="K326" i="40"/>
  <c r="X292" i="40"/>
  <c r="W383" i="40"/>
  <c r="Y144" i="40"/>
  <c r="Z120" i="40"/>
  <c r="O335" i="40"/>
  <c r="W96" i="40"/>
  <c r="U96" i="40"/>
  <c r="R96" i="40"/>
  <c r="K392" i="40"/>
  <c r="Q222" i="40"/>
  <c r="Q438" i="40" s="1"/>
  <c r="H398" i="40"/>
  <c r="N159" i="40"/>
  <c r="K299" i="40"/>
  <c r="K53" i="40"/>
  <c r="O313" i="40"/>
  <c r="P74" i="40"/>
  <c r="W74" i="40"/>
  <c r="U74" i="40"/>
  <c r="R74" i="40"/>
  <c r="R89" i="40"/>
  <c r="O318" i="40"/>
  <c r="W79" i="40"/>
  <c r="U79" i="40"/>
  <c r="F429" i="40"/>
  <c r="F191" i="40"/>
  <c r="F192" i="40"/>
  <c r="F431" i="40" s="1"/>
  <c r="X274" i="40"/>
  <c r="P387" i="40"/>
  <c r="P68" i="40"/>
  <c r="H331" i="40"/>
  <c r="N92" i="40"/>
  <c r="K353" i="40"/>
  <c r="H314" i="40"/>
  <c r="N75" i="40"/>
  <c r="P311" i="40"/>
  <c r="S72" i="40"/>
  <c r="I353" i="40"/>
  <c r="R114" i="40"/>
  <c r="I303" i="40"/>
  <c r="H411" i="40"/>
  <c r="N172" i="40"/>
  <c r="N411" i="40" s="1"/>
  <c r="K425" i="40"/>
  <c r="T186" i="40"/>
  <c r="X364" i="40"/>
  <c r="X343" i="40"/>
  <c r="R187" i="40"/>
  <c r="W348" i="40"/>
  <c r="Y109" i="40"/>
  <c r="W406" i="40"/>
  <c r="Y167" i="40"/>
  <c r="J299" i="40"/>
  <c r="X299" i="40"/>
  <c r="Z41" i="40"/>
  <c r="J343" i="40"/>
  <c r="P383" i="40"/>
  <c r="S144" i="40"/>
  <c r="P361" i="40"/>
  <c r="S122" i="40"/>
  <c r="N393" i="40"/>
  <c r="H263" i="40"/>
  <c r="N24" i="40"/>
  <c r="N263" i="40" s="1"/>
  <c r="O298" i="40"/>
  <c r="W59" i="40"/>
  <c r="U59" i="40"/>
  <c r="R59" i="40"/>
  <c r="H346" i="40"/>
  <c r="N107" i="40"/>
  <c r="S130" i="40"/>
  <c r="N367" i="40"/>
  <c r="O128" i="40"/>
  <c r="N410" i="40"/>
  <c r="R79" i="40"/>
  <c r="O332" i="40"/>
  <c r="W93" i="40"/>
  <c r="U93" i="40"/>
  <c r="R93" i="40"/>
  <c r="O296" i="40"/>
  <c r="W57" i="40"/>
  <c r="U57" i="40"/>
  <c r="R57" i="40"/>
  <c r="W407" i="40"/>
  <c r="Y168" i="40"/>
  <c r="I309" i="40"/>
  <c r="X262" i="40"/>
  <c r="J287" i="40"/>
  <c r="P349" i="40"/>
  <c r="S110" i="40"/>
  <c r="H88" i="40"/>
  <c r="S148" i="40"/>
  <c r="K321" i="40"/>
  <c r="N342" i="40"/>
  <c r="J323" i="40"/>
  <c r="U32" i="40"/>
  <c r="K300" i="40"/>
  <c r="X303" i="40"/>
  <c r="O394" i="40"/>
  <c r="W155" i="40"/>
  <c r="U155" i="40"/>
  <c r="R155" i="40"/>
  <c r="W356" i="40"/>
  <c r="Y117" i="40"/>
  <c r="U129" i="40"/>
  <c r="I364" i="40"/>
  <c r="X323" i="40"/>
  <c r="N247" i="40"/>
  <c r="U8" i="40"/>
  <c r="H284" i="40"/>
  <c r="N45" i="40"/>
  <c r="H364" i="40"/>
  <c r="N125" i="40"/>
  <c r="X389" i="40"/>
  <c r="N396" i="40"/>
  <c r="K391" i="40"/>
  <c r="N308" i="40"/>
  <c r="J288" i="40"/>
  <c r="W325" i="40"/>
  <c r="Y86" i="40"/>
  <c r="O386" i="40"/>
  <c r="W147" i="40"/>
  <c r="U147" i="40"/>
  <c r="R147" i="40"/>
  <c r="K346" i="40"/>
  <c r="H316" i="40"/>
  <c r="H200" i="40"/>
  <c r="N77" i="40"/>
  <c r="J309" i="40"/>
  <c r="W252" i="40"/>
  <c r="Y13" i="40"/>
  <c r="J356" i="40"/>
  <c r="P117" i="40"/>
  <c r="P356" i="40" s="1"/>
  <c r="O380" i="40"/>
  <c r="W141" i="40"/>
  <c r="U141" i="40"/>
  <c r="X304" i="40"/>
  <c r="W352" i="40"/>
  <c r="Y113" i="40"/>
  <c r="I262" i="40"/>
  <c r="O281" i="40"/>
  <c r="W42" i="40"/>
  <c r="N330" i="40"/>
  <c r="O91" i="40"/>
  <c r="N326" i="40"/>
  <c r="J346" i="40"/>
  <c r="Q387" i="40"/>
  <c r="Q68" i="40"/>
  <c r="H303" i="40"/>
  <c r="N64" i="40"/>
  <c r="H53" i="40"/>
  <c r="H283" i="40"/>
  <c r="N44" i="40"/>
  <c r="H43" i="40"/>
  <c r="X291" i="40"/>
  <c r="K220" i="40"/>
  <c r="K436" i="40" s="1"/>
  <c r="Q221" i="40"/>
  <c r="Q437" i="40" s="1"/>
  <c r="Z105" i="40"/>
  <c r="W368" i="40"/>
  <c r="Y129" i="40"/>
  <c r="X316" i="40"/>
  <c r="I389" i="40"/>
  <c r="H323" i="40"/>
  <c r="N84" i="40"/>
  <c r="Y54" i="40"/>
  <c r="W306" i="40"/>
  <c r="Y67" i="40"/>
  <c r="N385" i="40"/>
  <c r="I272" i="40"/>
  <c r="N312" i="40"/>
  <c r="O73" i="40"/>
  <c r="I379" i="40"/>
  <c r="I206" i="40"/>
  <c r="N395" i="40"/>
  <c r="Z153" i="40"/>
  <c r="X309" i="40"/>
  <c r="P352" i="40"/>
  <c r="P203" i="40"/>
  <c r="S203" i="40" s="1"/>
  <c r="S113" i="40"/>
  <c r="R42" i="40"/>
  <c r="X301" i="40"/>
  <c r="T148" i="40"/>
  <c r="F398" i="40"/>
  <c r="N336" i="40"/>
  <c r="O329" i="40"/>
  <c r="W90" i="40"/>
  <c r="U90" i="40"/>
  <c r="I291" i="40"/>
  <c r="N320" i="40"/>
  <c r="U81" i="40"/>
  <c r="J227" i="40"/>
  <c r="J442" i="40" s="1"/>
  <c r="P220" i="40"/>
  <c r="P436" i="40" s="1"/>
  <c r="J219" i="40"/>
  <c r="Q377" i="40"/>
  <c r="T138" i="40"/>
  <c r="P271" i="40"/>
  <c r="Q32" i="40"/>
  <c r="O301" i="40"/>
  <c r="S62" i="40"/>
  <c r="W62" i="40"/>
  <c r="W301" i="40" s="1"/>
  <c r="U62" i="40"/>
  <c r="W416" i="40"/>
  <c r="Y177" i="40"/>
  <c r="N419" i="40"/>
  <c r="U180" i="40"/>
  <c r="O381" i="40"/>
  <c r="W142" i="40"/>
  <c r="U142" i="40"/>
  <c r="N382" i="40"/>
  <c r="I316" i="40"/>
  <c r="I200" i="40"/>
  <c r="P380" i="40"/>
  <c r="I323" i="40"/>
  <c r="Z10" i="40"/>
  <c r="O417" i="40"/>
  <c r="W178" i="40"/>
  <c r="U178" i="40"/>
  <c r="R178" i="40"/>
  <c r="X398" i="40"/>
  <c r="J301" i="40"/>
  <c r="N291" i="40"/>
  <c r="O52" i="40"/>
  <c r="O289" i="40"/>
  <c r="W50" i="40"/>
  <c r="U50" i="40"/>
  <c r="R50" i="40"/>
  <c r="O424" i="40"/>
  <c r="W185" i="40"/>
  <c r="U185" i="40"/>
  <c r="R185" i="40"/>
  <c r="N397" i="40"/>
  <c r="O334" i="40"/>
  <c r="W95" i="40"/>
  <c r="U95" i="40"/>
  <c r="R95" i="40"/>
  <c r="H287" i="40"/>
  <c r="N48" i="40"/>
  <c r="W295" i="40"/>
  <c r="Y56" i="40"/>
  <c r="H399" i="40"/>
  <c r="N160" i="40"/>
  <c r="N399" i="40" s="1"/>
  <c r="X272" i="40"/>
  <c r="R141" i="40"/>
  <c r="J326" i="40"/>
  <c r="W349" i="40"/>
  <c r="Y110" i="40"/>
  <c r="K359" i="40"/>
  <c r="T120" i="40"/>
  <c r="N422" i="40"/>
  <c r="U183" i="40"/>
  <c r="Z176" i="40"/>
  <c r="H281" i="40"/>
  <c r="N42" i="40"/>
  <c r="N281" i="40" s="1"/>
  <c r="W376" i="40"/>
  <c r="Y137" i="40"/>
  <c r="K291" i="40"/>
  <c r="O302" i="40"/>
  <c r="W63" i="40"/>
  <c r="U63" i="40"/>
  <c r="R63" i="40"/>
  <c r="I288" i="40"/>
  <c r="R49" i="40"/>
  <c r="J425" i="40"/>
  <c r="S186" i="40"/>
  <c r="I428" i="40"/>
  <c r="Z20" i="40"/>
  <c r="Z134" i="40"/>
  <c r="I255" i="40"/>
  <c r="O16" i="40"/>
  <c r="R16" i="40" s="1"/>
  <c r="P293" i="40"/>
  <c r="P416" i="40"/>
  <c r="S177" i="40"/>
  <c r="N360" i="40"/>
  <c r="H140" i="40"/>
  <c r="X367" i="40"/>
  <c r="O317" i="40"/>
  <c r="W78" i="40"/>
  <c r="U78" i="40"/>
  <c r="O353" i="40"/>
  <c r="S114" i="40"/>
  <c r="W114" i="40"/>
  <c r="U114" i="40"/>
  <c r="I24" i="40"/>
  <c r="I263" i="40" s="1"/>
  <c r="Y94" i="40"/>
  <c r="H371" i="40"/>
  <c r="N132" i="40"/>
  <c r="N371" i="40" s="1"/>
  <c r="O350" i="40"/>
  <c r="W111" i="40"/>
  <c r="U111" i="40"/>
  <c r="R111" i="40"/>
  <c r="I398" i="40"/>
  <c r="G199" i="40"/>
  <c r="S90" i="40"/>
  <c r="O387" i="40"/>
  <c r="W148" i="40"/>
  <c r="U148" i="40"/>
  <c r="O68" i="40"/>
  <c r="I229" i="40"/>
  <c r="I444" i="40" s="1"/>
  <c r="O227" i="40"/>
  <c r="O442" i="40" s="1"/>
  <c r="K202" i="40"/>
  <c r="T202" i="40"/>
  <c r="U67" i="40"/>
  <c r="W384" i="40"/>
  <c r="Y145" i="40"/>
  <c r="H347" i="40"/>
  <c r="N108" i="40"/>
  <c r="N347" i="40" s="1"/>
  <c r="Q236" i="40" l="1"/>
  <c r="Q451" i="40" s="1"/>
  <c r="K451" i="40"/>
  <c r="Z32" i="40"/>
  <c r="Z163" i="40"/>
  <c r="Y122" i="40"/>
  <c r="Z122" i="40" s="1"/>
  <c r="C429" i="40"/>
  <c r="C192" i="40"/>
  <c r="C431" i="40" s="1"/>
  <c r="C191" i="40"/>
  <c r="T149" i="40"/>
  <c r="Z85" i="40"/>
  <c r="P80" i="40"/>
  <c r="S80" i="40" s="1"/>
  <c r="Q80" i="40"/>
  <c r="P358" i="40"/>
  <c r="Z51" i="40"/>
  <c r="W80" i="40"/>
  <c r="Y80" i="40" s="1"/>
  <c r="O66" i="40"/>
  <c r="W66" i="40" s="1"/>
  <c r="O212" i="40"/>
  <c r="U80" i="40"/>
  <c r="O40" i="40"/>
  <c r="O35" i="40" s="1"/>
  <c r="O274" i="40" s="1"/>
  <c r="R152" i="40"/>
  <c r="U152" i="40"/>
  <c r="W152" i="40"/>
  <c r="Y152" i="40" s="1"/>
  <c r="S152" i="40"/>
  <c r="T153" i="40"/>
  <c r="O319" i="40"/>
  <c r="W358" i="40"/>
  <c r="Y119" i="40"/>
  <c r="J205" i="40"/>
  <c r="Y62" i="40"/>
  <c r="S112" i="40"/>
  <c r="P351" i="40"/>
  <c r="W310" i="40"/>
  <c r="Y71" i="40"/>
  <c r="S71" i="40"/>
  <c r="P310" i="40"/>
  <c r="K380" i="40"/>
  <c r="Q141" i="40"/>
  <c r="W351" i="40"/>
  <c r="Y112" i="40"/>
  <c r="K234" i="40"/>
  <c r="K449" i="40" s="1"/>
  <c r="P234" i="40"/>
  <c r="P449" i="40" s="1"/>
  <c r="K235" i="40"/>
  <c r="K450" i="40" s="1"/>
  <c r="P235" i="40"/>
  <c r="P450" i="40" s="1"/>
  <c r="W353" i="40"/>
  <c r="Y114" i="40"/>
  <c r="Z110" i="40"/>
  <c r="W381" i="40"/>
  <c r="Y142" i="40"/>
  <c r="I237" i="40"/>
  <c r="I452" i="40" s="1"/>
  <c r="O229" i="40"/>
  <c r="O444" i="40" s="1"/>
  <c r="H379" i="40"/>
  <c r="H206" i="40"/>
  <c r="N140" i="40"/>
  <c r="Q293" i="40"/>
  <c r="T54" i="40"/>
  <c r="Y95" i="40"/>
  <c r="W334" i="40"/>
  <c r="P424" i="40"/>
  <c r="S185" i="40"/>
  <c r="Z67" i="40"/>
  <c r="H282" i="40"/>
  <c r="N43" i="40"/>
  <c r="N282" i="40" s="1"/>
  <c r="U42" i="40"/>
  <c r="S117" i="40"/>
  <c r="O396" i="40"/>
  <c r="W157" i="40"/>
  <c r="U157" i="40"/>
  <c r="R157" i="40"/>
  <c r="W332" i="40"/>
  <c r="Y93" i="40"/>
  <c r="O367" i="40"/>
  <c r="U128" i="40"/>
  <c r="P128" i="40"/>
  <c r="S128" i="40" s="1"/>
  <c r="W128" i="40"/>
  <c r="W298" i="40"/>
  <c r="Y59" i="40"/>
  <c r="Q361" i="40"/>
  <c r="T122" i="40"/>
  <c r="I284" i="40"/>
  <c r="P345" i="40"/>
  <c r="S106" i="40"/>
  <c r="Z165" i="40"/>
  <c r="R128" i="40"/>
  <c r="P286" i="40"/>
  <c r="S47" i="40"/>
  <c r="O297" i="40"/>
  <c r="W58" i="40"/>
  <c r="U58" i="40"/>
  <c r="R58" i="40"/>
  <c r="J367" i="40"/>
  <c r="P355" i="40"/>
  <c r="S116" i="40"/>
  <c r="O300" i="40"/>
  <c r="U61" i="40"/>
  <c r="W61" i="40"/>
  <c r="R61" i="40"/>
  <c r="N401" i="40"/>
  <c r="O162" i="40"/>
  <c r="R162" i="40" s="1"/>
  <c r="P334" i="40"/>
  <c r="S95" i="40"/>
  <c r="O291" i="40"/>
  <c r="W52" i="40"/>
  <c r="P52" i="40"/>
  <c r="U52" i="40"/>
  <c r="Q271" i="40"/>
  <c r="T32" i="40"/>
  <c r="P219" i="40"/>
  <c r="W329" i="40"/>
  <c r="Y90" i="40"/>
  <c r="O336" i="40"/>
  <c r="W97" i="40"/>
  <c r="U97" i="40"/>
  <c r="R97" i="40"/>
  <c r="K227" i="40"/>
  <c r="K442" i="40" s="1"/>
  <c r="Q220" i="40"/>
  <c r="Q436" i="40" s="1"/>
  <c r="K219" i="40"/>
  <c r="N283" i="40"/>
  <c r="O44" i="40"/>
  <c r="R44" i="40" s="1"/>
  <c r="W281" i="40"/>
  <c r="Y42" i="40"/>
  <c r="H327" i="40"/>
  <c r="H201" i="40"/>
  <c r="N88" i="40"/>
  <c r="P332" i="40"/>
  <c r="S93" i="40"/>
  <c r="J317" i="40"/>
  <c r="J212" i="40"/>
  <c r="P78" i="40"/>
  <c r="J77" i="40"/>
  <c r="P307" i="40"/>
  <c r="S68" i="40"/>
  <c r="W318" i="40"/>
  <c r="Y79" i="40"/>
  <c r="K292" i="40"/>
  <c r="K205" i="40"/>
  <c r="Q358" i="40"/>
  <c r="H244" i="40"/>
  <c r="N5" i="40"/>
  <c r="I401" i="40"/>
  <c r="W354" i="40"/>
  <c r="Y115" i="40"/>
  <c r="O321" i="40"/>
  <c r="U82" i="40"/>
  <c r="R82" i="40"/>
  <c r="W82" i="40"/>
  <c r="M429" i="40"/>
  <c r="M191" i="40"/>
  <c r="M192" i="40"/>
  <c r="M431" i="40" s="1"/>
  <c r="W390" i="40"/>
  <c r="Y151" i="40"/>
  <c r="O378" i="40"/>
  <c r="W139" i="40"/>
  <c r="U139" i="40"/>
  <c r="R139" i="40"/>
  <c r="W277" i="40"/>
  <c r="Y38" i="40"/>
  <c r="O307" i="40"/>
  <c r="W68" i="40"/>
  <c r="U68" i="40"/>
  <c r="R68" i="40"/>
  <c r="Z145" i="40"/>
  <c r="W317" i="40"/>
  <c r="Y78" i="40"/>
  <c r="Z177" i="40"/>
  <c r="J381" i="40"/>
  <c r="P142" i="40"/>
  <c r="J140" i="40"/>
  <c r="O326" i="40"/>
  <c r="U87" i="40"/>
  <c r="W87" i="40"/>
  <c r="N316" i="40"/>
  <c r="N200" i="40"/>
  <c r="Q311" i="40"/>
  <c r="T72" i="40"/>
  <c r="W335" i="40"/>
  <c r="Y96" i="40"/>
  <c r="W345" i="40"/>
  <c r="Y106" i="40"/>
  <c r="N262" i="40"/>
  <c r="O23" i="40"/>
  <c r="O5" i="40" s="1"/>
  <c r="W322" i="40"/>
  <c r="Y83" i="40"/>
  <c r="P354" i="40"/>
  <c r="S115" i="40"/>
  <c r="I292" i="40"/>
  <c r="I205" i="40"/>
  <c r="W369" i="40"/>
  <c r="Y130" i="40"/>
  <c r="Z179" i="40"/>
  <c r="N272" i="40"/>
  <c r="O33" i="40"/>
  <c r="O174" i="40"/>
  <c r="I413" i="40"/>
  <c r="P288" i="40"/>
  <c r="P390" i="40"/>
  <c r="P55" i="40"/>
  <c r="S151" i="40"/>
  <c r="W355" i="40"/>
  <c r="Y116" i="40"/>
  <c r="Z137" i="40"/>
  <c r="O312" i="40"/>
  <c r="U73" i="40"/>
  <c r="R73" i="40"/>
  <c r="P73" i="40"/>
  <c r="W73" i="40"/>
  <c r="W387" i="40"/>
  <c r="Y148" i="40"/>
  <c r="O360" i="40"/>
  <c r="W121" i="40"/>
  <c r="U121" i="40"/>
  <c r="R121" i="40"/>
  <c r="O255" i="40"/>
  <c r="U16" i="40"/>
  <c r="W16" i="40"/>
  <c r="W302" i="40"/>
  <c r="Y63" i="40"/>
  <c r="N287" i="40"/>
  <c r="O397" i="40"/>
  <c r="W158" i="40"/>
  <c r="U158" i="40"/>
  <c r="R158" i="40"/>
  <c r="W417" i="40"/>
  <c r="Y178" i="40"/>
  <c r="O382" i="40"/>
  <c r="W143" i="40"/>
  <c r="U143" i="40"/>
  <c r="R143" i="40"/>
  <c r="P227" i="40"/>
  <c r="P442" i="40" s="1"/>
  <c r="J229" i="40"/>
  <c r="J444" i="40" s="1"/>
  <c r="J398" i="40"/>
  <c r="H292" i="40"/>
  <c r="H205" i="40"/>
  <c r="N53" i="40"/>
  <c r="W380" i="40"/>
  <c r="Y141" i="40"/>
  <c r="W386" i="40"/>
  <c r="Y147" i="40"/>
  <c r="W394" i="40"/>
  <c r="Y155" i="40"/>
  <c r="Q349" i="40"/>
  <c r="T110" i="40"/>
  <c r="W296" i="40"/>
  <c r="Y57" i="40"/>
  <c r="N346" i="40"/>
  <c r="Q383" i="40"/>
  <c r="T144" i="40"/>
  <c r="Z109" i="40"/>
  <c r="P335" i="40"/>
  <c r="S96" i="40"/>
  <c r="P322" i="40"/>
  <c r="S83" i="40"/>
  <c r="X401" i="40"/>
  <c r="Q325" i="40"/>
  <c r="T86" i="40"/>
  <c r="N309" i="40"/>
  <c r="P277" i="40"/>
  <c r="S38" i="40"/>
  <c r="Z56" i="40"/>
  <c r="P350" i="40"/>
  <c r="S111" i="40"/>
  <c r="Z94" i="40"/>
  <c r="W350" i="40"/>
  <c r="Y111" i="40"/>
  <c r="P302" i="40"/>
  <c r="S63" i="40"/>
  <c r="W289" i="40"/>
  <c r="Y50" i="40"/>
  <c r="P417" i="40"/>
  <c r="S178" i="40"/>
  <c r="I283" i="40"/>
  <c r="I43" i="40"/>
  <c r="I282" i="40" s="1"/>
  <c r="Q352" i="40"/>
  <c r="Q203" i="40"/>
  <c r="T203" i="40" s="1"/>
  <c r="T113" i="40"/>
  <c r="Z54" i="40"/>
  <c r="Z129" i="40"/>
  <c r="J255" i="40"/>
  <c r="P16" i="40"/>
  <c r="J5" i="40"/>
  <c r="N303" i="40"/>
  <c r="O53" i="40"/>
  <c r="O330" i="40"/>
  <c r="W91" i="40"/>
  <c r="U91" i="40"/>
  <c r="P91" i="40"/>
  <c r="R91" i="40"/>
  <c r="P386" i="40"/>
  <c r="S147" i="40"/>
  <c r="O308" i="40"/>
  <c r="W69" i="40"/>
  <c r="U69" i="40"/>
  <c r="R69" i="40"/>
  <c r="N364" i="40"/>
  <c r="P394" i="40"/>
  <c r="S155" i="40"/>
  <c r="P296" i="40"/>
  <c r="S57" i="40"/>
  <c r="N398" i="40"/>
  <c r="X327" i="40"/>
  <c r="W374" i="40"/>
  <c r="Y135" i="40"/>
  <c r="P289" i="40"/>
  <c r="S50" i="40"/>
  <c r="X283" i="40"/>
  <c r="N323" i="40"/>
  <c r="Z113" i="40"/>
  <c r="Z13" i="40"/>
  <c r="K318" i="40"/>
  <c r="Q79" i="40"/>
  <c r="Q318" i="40" s="1"/>
  <c r="P298" i="40"/>
  <c r="S59" i="40"/>
  <c r="O393" i="40"/>
  <c r="U154" i="40"/>
  <c r="R154" i="40"/>
  <c r="W154" i="40"/>
  <c r="Z167" i="40"/>
  <c r="R87" i="40"/>
  <c r="N428" i="40"/>
  <c r="Q290" i="40"/>
  <c r="T51" i="40"/>
  <c r="I331" i="40"/>
  <c r="I88" i="40"/>
  <c r="O337" i="40"/>
  <c r="W98" i="40"/>
  <c r="U98" i="40"/>
  <c r="R98" i="40"/>
  <c r="I172" i="40"/>
  <c r="I411" i="40" s="1"/>
  <c r="W370" i="40"/>
  <c r="Y131" i="40"/>
  <c r="O299" i="40"/>
  <c r="W60" i="40"/>
  <c r="U60" i="40"/>
  <c r="W375" i="40"/>
  <c r="Y136" i="40"/>
  <c r="P374" i="40"/>
  <c r="S135" i="40"/>
  <c r="P353" i="40"/>
  <c r="O395" i="40"/>
  <c r="W156" i="40"/>
  <c r="U156" i="40"/>
  <c r="R156" i="40"/>
  <c r="Z86" i="40"/>
  <c r="N284" i="40"/>
  <c r="O45" i="40"/>
  <c r="O410" i="40"/>
  <c r="W171" i="40"/>
  <c r="U171" i="40"/>
  <c r="R171" i="40"/>
  <c r="W313" i="40"/>
  <c r="Y74" i="40"/>
  <c r="O389" i="40"/>
  <c r="U150" i="40"/>
  <c r="W150" i="40"/>
  <c r="X331" i="40"/>
  <c r="K398" i="40"/>
  <c r="Z12" i="40"/>
  <c r="W426" i="40"/>
  <c r="Y187" i="40"/>
  <c r="Q238" i="40"/>
  <c r="Q453" i="40" s="1"/>
  <c r="W286" i="40"/>
  <c r="Y47" i="40"/>
  <c r="W427" i="40"/>
  <c r="Y188" i="40"/>
  <c r="N363" i="40"/>
  <c r="U124" i="40"/>
  <c r="O412" i="40"/>
  <c r="W173" i="40"/>
  <c r="U173" i="40"/>
  <c r="H366" i="40"/>
  <c r="N127" i="40"/>
  <c r="H126" i="40"/>
  <c r="P375" i="40"/>
  <c r="S136" i="40"/>
  <c r="O278" i="40"/>
  <c r="W39" i="40"/>
  <c r="U39" i="40"/>
  <c r="R39" i="40"/>
  <c r="Q416" i="40"/>
  <c r="T177" i="40"/>
  <c r="R52" i="40"/>
  <c r="O385" i="40"/>
  <c r="W146" i="40"/>
  <c r="U146" i="40"/>
  <c r="R146" i="40"/>
  <c r="Q307" i="40"/>
  <c r="T68" i="40"/>
  <c r="W424" i="40"/>
  <c r="Y185" i="40"/>
  <c r="P301" i="40"/>
  <c r="X244" i="40"/>
  <c r="Z117" i="40"/>
  <c r="O342" i="40"/>
  <c r="W103" i="40"/>
  <c r="U103" i="40"/>
  <c r="R103" i="40"/>
  <c r="Z168" i="40"/>
  <c r="O279" i="40"/>
  <c r="U40" i="40"/>
  <c r="R40" i="40"/>
  <c r="W40" i="40"/>
  <c r="X284" i="40"/>
  <c r="N314" i="40"/>
  <c r="P75" i="40"/>
  <c r="O75" i="40"/>
  <c r="N331" i="40"/>
  <c r="O92" i="40"/>
  <c r="K329" i="40"/>
  <c r="Q90" i="40"/>
  <c r="Q329" i="40" s="1"/>
  <c r="P313" i="40"/>
  <c r="Q74" i="40"/>
  <c r="S74" i="40"/>
  <c r="Z144" i="40"/>
  <c r="Z72" i="40"/>
  <c r="P426" i="40"/>
  <c r="J328" i="40"/>
  <c r="P89" i="40"/>
  <c r="O285" i="40"/>
  <c r="W46" i="40"/>
  <c r="U46" i="40"/>
  <c r="R46" i="40"/>
  <c r="P427" i="40"/>
  <c r="S188" i="40"/>
  <c r="W328" i="40"/>
  <c r="Y89" i="40"/>
  <c r="O294" i="40"/>
  <c r="W55" i="40"/>
  <c r="R55" i="40"/>
  <c r="U55" i="40"/>
  <c r="N343" i="40"/>
  <c r="Y49" i="40"/>
  <c r="W391" i="40" l="1"/>
  <c r="W319" i="40"/>
  <c r="Z62" i="40"/>
  <c r="O305" i="40"/>
  <c r="P319" i="40"/>
  <c r="T119" i="40"/>
  <c r="P40" i="40"/>
  <c r="P35" i="40" s="1"/>
  <c r="P274" i="40" s="1"/>
  <c r="U35" i="40"/>
  <c r="P391" i="40"/>
  <c r="O172" i="40"/>
  <c r="Z119" i="40"/>
  <c r="Q380" i="40"/>
  <c r="T141" i="40"/>
  <c r="T90" i="40"/>
  <c r="Q234" i="40"/>
  <c r="Q449" i="40" s="1"/>
  <c r="Z112" i="40"/>
  <c r="O118" i="40"/>
  <c r="R118" i="40" s="1"/>
  <c r="I357" i="40"/>
  <c r="I108" i="40"/>
  <c r="I347" i="40" s="1"/>
  <c r="Q310" i="40"/>
  <c r="T71" i="40"/>
  <c r="Z71" i="40"/>
  <c r="I372" i="40"/>
  <c r="O133" i="40"/>
  <c r="R133" i="40" s="1"/>
  <c r="I132" i="40"/>
  <c r="I371" i="40" s="1"/>
  <c r="H199" i="40"/>
  <c r="Q235" i="40"/>
  <c r="Q450" i="40" s="1"/>
  <c r="H305" i="40"/>
  <c r="N66" i="40"/>
  <c r="H65" i="40"/>
  <c r="Q351" i="40"/>
  <c r="T112" i="40"/>
  <c r="O88" i="40"/>
  <c r="O327" i="40" s="1"/>
  <c r="Z89" i="40"/>
  <c r="P385" i="40"/>
  <c r="S146" i="40"/>
  <c r="Z187" i="40"/>
  <c r="W389" i="40"/>
  <c r="Y150" i="40"/>
  <c r="J283" i="40"/>
  <c r="J43" i="40"/>
  <c r="J282" i="40" s="1"/>
  <c r="Z136" i="40"/>
  <c r="W308" i="40"/>
  <c r="Y69" i="40"/>
  <c r="W330" i="40"/>
  <c r="Y91" i="40"/>
  <c r="Z152" i="40"/>
  <c r="X282" i="40"/>
  <c r="O287" i="40"/>
  <c r="U48" i="40"/>
  <c r="W48" i="40"/>
  <c r="R48" i="40"/>
  <c r="X399" i="40"/>
  <c r="Z96" i="40"/>
  <c r="Z115" i="40"/>
  <c r="Q319" i="40"/>
  <c r="Q40" i="40"/>
  <c r="T80" i="40"/>
  <c r="Q219" i="40"/>
  <c r="W336" i="40"/>
  <c r="Y97" i="40"/>
  <c r="Q286" i="40"/>
  <c r="T47" i="40"/>
  <c r="Z80" i="40"/>
  <c r="Q424" i="40"/>
  <c r="T185" i="40"/>
  <c r="Z114" i="40"/>
  <c r="O292" i="40"/>
  <c r="O205" i="40"/>
  <c r="U53" i="40"/>
  <c r="W285" i="40"/>
  <c r="Y46" i="40"/>
  <c r="O314" i="40"/>
  <c r="W75" i="40"/>
  <c r="U75" i="40"/>
  <c r="R75" i="40"/>
  <c r="I366" i="40"/>
  <c r="I126" i="40"/>
  <c r="I365" i="40" s="1"/>
  <c r="H365" i="40"/>
  <c r="N126" i="40"/>
  <c r="N365" i="40" s="1"/>
  <c r="H76" i="40"/>
  <c r="H315" i="40" s="1"/>
  <c r="P389" i="40"/>
  <c r="S150" i="40"/>
  <c r="J284" i="40"/>
  <c r="O284" i="40"/>
  <c r="W45" i="40"/>
  <c r="U45" i="40"/>
  <c r="P45" i="40"/>
  <c r="S45" i="40" s="1"/>
  <c r="J413" i="40"/>
  <c r="P174" i="40"/>
  <c r="S174" i="40" s="1"/>
  <c r="J172" i="40"/>
  <c r="J411" i="40" s="1"/>
  <c r="I327" i="40"/>
  <c r="I201" i="40"/>
  <c r="I199" i="40" s="1"/>
  <c r="Q296" i="40"/>
  <c r="T57" i="40"/>
  <c r="Q394" i="40"/>
  <c r="T155" i="40"/>
  <c r="Q302" i="40"/>
  <c r="T63" i="40"/>
  <c r="Q335" i="40"/>
  <c r="T96" i="40"/>
  <c r="O346" i="40"/>
  <c r="W107" i="40"/>
  <c r="U107" i="40"/>
  <c r="R107" i="40"/>
  <c r="N292" i="40"/>
  <c r="N205" i="40"/>
  <c r="Z178" i="40"/>
  <c r="P360" i="40"/>
  <c r="S121" i="40"/>
  <c r="Z148" i="40"/>
  <c r="Z116" i="40"/>
  <c r="Z130" i="40"/>
  <c r="W326" i="40"/>
  <c r="Y87" i="40"/>
  <c r="J316" i="40"/>
  <c r="J200" i="40"/>
  <c r="N327" i="40"/>
  <c r="N201" i="40"/>
  <c r="K381" i="40"/>
  <c r="Q142" i="40"/>
  <c r="K140" i="40"/>
  <c r="Q334" i="40"/>
  <c r="T95" i="40"/>
  <c r="P300" i="40"/>
  <c r="S61" i="40"/>
  <c r="J331" i="40"/>
  <c r="K212" i="40"/>
  <c r="K317" i="40"/>
  <c r="Q78" i="40"/>
  <c r="T78" i="40" s="1"/>
  <c r="K77" i="40"/>
  <c r="N366" i="40"/>
  <c r="O127" i="40"/>
  <c r="R127" i="40" s="1"/>
  <c r="Z188" i="40"/>
  <c r="R92" i="40"/>
  <c r="O303" i="40"/>
  <c r="U64" i="40"/>
  <c r="W64" i="40"/>
  <c r="W53" i="40" s="1"/>
  <c r="W292" i="40" s="1"/>
  <c r="P53" i="40"/>
  <c r="R64" i="40"/>
  <c r="Q277" i="40"/>
  <c r="T38" i="40"/>
  <c r="Z155" i="40"/>
  <c r="J237" i="40"/>
  <c r="J452" i="40" s="1"/>
  <c r="P229" i="40"/>
  <c r="P444" i="40" s="1"/>
  <c r="Z63" i="40"/>
  <c r="O413" i="40"/>
  <c r="W174" i="40"/>
  <c r="U174" i="40"/>
  <c r="Z83" i="40"/>
  <c r="P326" i="40"/>
  <c r="S87" i="40"/>
  <c r="P378" i="40"/>
  <c r="S139" i="40"/>
  <c r="P317" i="40"/>
  <c r="P212" i="40"/>
  <c r="P66" i="40"/>
  <c r="K229" i="40"/>
  <c r="K444" i="40" s="1"/>
  <c r="Q227" i="40"/>
  <c r="Q442" i="40" s="1"/>
  <c r="Z90" i="40"/>
  <c r="W300" i="40"/>
  <c r="Y61" i="40"/>
  <c r="Z93" i="40"/>
  <c r="K88" i="40"/>
  <c r="X243" i="40"/>
  <c r="P278" i="40"/>
  <c r="S39" i="40"/>
  <c r="W395" i="40"/>
  <c r="Y156" i="40"/>
  <c r="Q353" i="40"/>
  <c r="T114" i="40"/>
  <c r="W299" i="40"/>
  <c r="Y60" i="40"/>
  <c r="Q298" i="40"/>
  <c r="T59" i="40"/>
  <c r="Q289" i="40"/>
  <c r="T50" i="40"/>
  <c r="I305" i="40"/>
  <c r="I65" i="40"/>
  <c r="I304" i="40" s="1"/>
  <c r="R66" i="40"/>
  <c r="O364" i="40"/>
  <c r="W125" i="40"/>
  <c r="U125" i="40"/>
  <c r="R125" i="40"/>
  <c r="Q386" i="40"/>
  <c r="T147" i="40"/>
  <c r="Z111" i="40"/>
  <c r="Q322" i="40"/>
  <c r="T83" i="40"/>
  <c r="Z57" i="40"/>
  <c r="W360" i="40"/>
  <c r="Y121" i="40"/>
  <c r="R174" i="40"/>
  <c r="W321" i="40"/>
  <c r="Y82" i="40"/>
  <c r="S78" i="40"/>
  <c r="K328" i="40"/>
  <c r="Q89" i="40"/>
  <c r="T89" i="40" s="1"/>
  <c r="Z95" i="40"/>
  <c r="O237" i="40"/>
  <c r="O452" i="40" s="1"/>
  <c r="X366" i="40"/>
  <c r="P328" i="40"/>
  <c r="W294" i="40"/>
  <c r="Y55" i="40"/>
  <c r="Q427" i="40"/>
  <c r="T188" i="40"/>
  <c r="J88" i="40"/>
  <c r="W278" i="40"/>
  <c r="Y39" i="40"/>
  <c r="Z47" i="40"/>
  <c r="P395" i="40"/>
  <c r="S156" i="40"/>
  <c r="P299" i="40"/>
  <c r="S60" i="40"/>
  <c r="J244" i="40"/>
  <c r="Q417" i="40"/>
  <c r="T178" i="40"/>
  <c r="O309" i="40"/>
  <c r="W70" i="40"/>
  <c r="U70" i="40"/>
  <c r="R70" i="40"/>
  <c r="Z147" i="40"/>
  <c r="P397" i="40"/>
  <c r="S158" i="40"/>
  <c r="O244" i="40"/>
  <c r="U5" i="40"/>
  <c r="K255" i="40"/>
  <c r="Q16" i="40"/>
  <c r="K5" i="40"/>
  <c r="P294" i="40"/>
  <c r="S55" i="40"/>
  <c r="O262" i="40"/>
  <c r="P23" i="40"/>
  <c r="P5" i="40" s="1"/>
  <c r="W23" i="40"/>
  <c r="W5" i="40" s="1"/>
  <c r="U23" i="40"/>
  <c r="R23" i="40"/>
  <c r="W307" i="40"/>
  <c r="Y68" i="40"/>
  <c r="W378" i="40"/>
  <c r="Y139" i="40"/>
  <c r="P321" i="40"/>
  <c r="S82" i="40"/>
  <c r="N244" i="40"/>
  <c r="Z79" i="40"/>
  <c r="Z42" i="40"/>
  <c r="R35" i="40"/>
  <c r="W297" i="40"/>
  <c r="Y58" i="40"/>
  <c r="Z59" i="40"/>
  <c r="Z142" i="40"/>
  <c r="P314" i="40"/>
  <c r="Q75" i="40"/>
  <c r="S75" i="40"/>
  <c r="W412" i="40"/>
  <c r="Y173" i="40"/>
  <c r="P337" i="40"/>
  <c r="S98" i="40"/>
  <c r="W393" i="40"/>
  <c r="Y154" i="40"/>
  <c r="Z135" i="40"/>
  <c r="O398" i="40"/>
  <c r="P140" i="40"/>
  <c r="W159" i="40"/>
  <c r="W140" i="40" s="1"/>
  <c r="U159" i="40"/>
  <c r="R159" i="40"/>
  <c r="P308" i="40"/>
  <c r="S69" i="40"/>
  <c r="P255" i="40"/>
  <c r="W255" i="40"/>
  <c r="Y16" i="40"/>
  <c r="W305" i="40"/>
  <c r="Y66" i="40"/>
  <c r="Q390" i="40"/>
  <c r="Q55" i="40"/>
  <c r="T151" i="40"/>
  <c r="O272" i="40"/>
  <c r="U33" i="40"/>
  <c r="W33" i="40"/>
  <c r="P33" i="40"/>
  <c r="O24" i="40"/>
  <c r="R33" i="40"/>
  <c r="J379" i="40"/>
  <c r="J206" i="40"/>
  <c r="Z78" i="40"/>
  <c r="P336" i="40"/>
  <c r="S97" i="40"/>
  <c r="P291" i="40"/>
  <c r="Q52" i="40"/>
  <c r="S52" i="40"/>
  <c r="P297" i="40"/>
  <c r="S58" i="40"/>
  <c r="P396" i="40"/>
  <c r="S157" i="40"/>
  <c r="Q313" i="40"/>
  <c r="T74" i="40"/>
  <c r="S89" i="40"/>
  <c r="Z49" i="40"/>
  <c r="K367" i="40"/>
  <c r="W279" i="40"/>
  <c r="Y40" i="40"/>
  <c r="W342" i="40"/>
  <c r="Y103" i="40"/>
  <c r="Q301" i="40"/>
  <c r="T62" i="40"/>
  <c r="Z185" i="40"/>
  <c r="O411" i="40"/>
  <c r="U172" i="40"/>
  <c r="W410" i="40"/>
  <c r="Y171" i="40"/>
  <c r="Q374" i="40"/>
  <c r="T135" i="40"/>
  <c r="Z131" i="40"/>
  <c r="O428" i="40"/>
  <c r="U189" i="40"/>
  <c r="W189" i="40"/>
  <c r="R189" i="40"/>
  <c r="P393" i="40"/>
  <c r="S154" i="40"/>
  <c r="T79" i="40"/>
  <c r="O323" i="40"/>
  <c r="P77" i="40"/>
  <c r="W84" i="40"/>
  <c r="U84" i="40"/>
  <c r="R84" i="40"/>
  <c r="O77" i="40"/>
  <c r="J401" i="40"/>
  <c r="Q391" i="40"/>
  <c r="T152" i="40"/>
  <c r="P330" i="40"/>
  <c r="Q91" i="40"/>
  <c r="S91" i="40"/>
  <c r="S16" i="40"/>
  <c r="Z50" i="40"/>
  <c r="Z141" i="40"/>
  <c r="W382" i="40"/>
  <c r="Y143" i="40"/>
  <c r="W397" i="40"/>
  <c r="Y158" i="40"/>
  <c r="O65" i="40"/>
  <c r="W312" i="40"/>
  <c r="Y73" i="40"/>
  <c r="Q354" i="40"/>
  <c r="T115" i="40"/>
  <c r="Z106" i="40"/>
  <c r="P381" i="40"/>
  <c r="W35" i="40"/>
  <c r="Z151" i="40"/>
  <c r="O283" i="40"/>
  <c r="P44" i="40"/>
  <c r="S44" i="40" s="1"/>
  <c r="W44" i="40"/>
  <c r="O43" i="40"/>
  <c r="U44" i="40"/>
  <c r="W291" i="40"/>
  <c r="Y52" i="40"/>
  <c r="O401" i="40"/>
  <c r="P162" i="40"/>
  <c r="W162" i="40"/>
  <c r="U162" i="40"/>
  <c r="Q355" i="40"/>
  <c r="T116" i="40"/>
  <c r="Q345" i="40"/>
  <c r="T106" i="40"/>
  <c r="R45" i="40"/>
  <c r="W367" i="40"/>
  <c r="Y128" i="40"/>
  <c r="O343" i="40"/>
  <c r="W104" i="40"/>
  <c r="U104" i="40"/>
  <c r="R104" i="40"/>
  <c r="P285" i="40"/>
  <c r="S46" i="40"/>
  <c r="Q426" i="40"/>
  <c r="T187" i="40"/>
  <c r="O331" i="40"/>
  <c r="P92" i="40"/>
  <c r="W92" i="40"/>
  <c r="U92" i="40"/>
  <c r="P342" i="40"/>
  <c r="S103" i="40"/>
  <c r="W385" i="40"/>
  <c r="Y146" i="40"/>
  <c r="Q375" i="40"/>
  <c r="T136" i="40"/>
  <c r="Z74" i="40"/>
  <c r="P410" i="40"/>
  <c r="S171" i="40"/>
  <c r="W337" i="40"/>
  <c r="Y98" i="40"/>
  <c r="Q350" i="40"/>
  <c r="T111" i="40"/>
  <c r="P382" i="40"/>
  <c r="S143" i="40"/>
  <c r="P312" i="40"/>
  <c r="Q73" i="40"/>
  <c r="S73" i="40"/>
  <c r="Q288" i="40"/>
  <c r="T49" i="40"/>
  <c r="S142" i="40"/>
  <c r="Z38" i="40"/>
  <c r="Q332" i="40"/>
  <c r="T93" i="40"/>
  <c r="P367" i="40"/>
  <c r="Q128" i="40"/>
  <c r="Q367" i="40" s="1"/>
  <c r="W396" i="40"/>
  <c r="Y157" i="40"/>
  <c r="N379" i="40"/>
  <c r="N206" i="40"/>
  <c r="O140" i="40"/>
  <c r="S40" i="40" l="1"/>
  <c r="P279" i="40"/>
  <c r="W65" i="40"/>
  <c r="W304" i="40" s="1"/>
  <c r="U88" i="40"/>
  <c r="R132" i="40"/>
  <c r="R108" i="40"/>
  <c r="N305" i="40"/>
  <c r="U66" i="40"/>
  <c r="O357" i="40"/>
  <c r="W118" i="40"/>
  <c r="W108" i="40" s="1"/>
  <c r="U118" i="40"/>
  <c r="O108" i="40"/>
  <c r="R53" i="40"/>
  <c r="O372" i="40"/>
  <c r="W133" i="40"/>
  <c r="U133" i="40"/>
  <c r="O132" i="40"/>
  <c r="J108" i="40"/>
  <c r="J347" i="40" s="1"/>
  <c r="P118" i="40"/>
  <c r="P108" i="40" s="1"/>
  <c r="P347" i="40" s="1"/>
  <c r="J357" i="40"/>
  <c r="H304" i="40"/>
  <c r="H4" i="40"/>
  <c r="H243" i="40" s="1"/>
  <c r="N65" i="40"/>
  <c r="U65" i="40" s="1"/>
  <c r="J372" i="40"/>
  <c r="P133" i="40"/>
  <c r="J132" i="40"/>
  <c r="J371" i="40" s="1"/>
  <c r="O201" i="40"/>
  <c r="U201" i="40" s="1"/>
  <c r="P88" i="40"/>
  <c r="P327" i="40" s="1"/>
  <c r="N76" i="40"/>
  <c r="N315" i="40" s="1"/>
  <c r="P316" i="40"/>
  <c r="P200" i="40"/>
  <c r="S200" i="40" s="1"/>
  <c r="R126" i="40"/>
  <c r="Q285" i="40"/>
  <c r="T46" i="40"/>
  <c r="Q393" i="40"/>
  <c r="T154" i="40"/>
  <c r="W331" i="40"/>
  <c r="Y92" i="40"/>
  <c r="W88" i="40"/>
  <c r="W327" i="40" s="1"/>
  <c r="Z52" i="40"/>
  <c r="Z73" i="40"/>
  <c r="Q330" i="40"/>
  <c r="T91" i="40"/>
  <c r="T128" i="40"/>
  <c r="Q396" i="40"/>
  <c r="T157" i="40"/>
  <c r="Q336" i="40"/>
  <c r="T97" i="40"/>
  <c r="Q308" i="40"/>
  <c r="T69" i="40"/>
  <c r="J305" i="40"/>
  <c r="S66" i="40"/>
  <c r="J65" i="40"/>
  <c r="Q255" i="40"/>
  <c r="Q299" i="40"/>
  <c r="T60" i="40"/>
  <c r="Z82" i="40"/>
  <c r="Q326" i="40"/>
  <c r="T87" i="40"/>
  <c r="Q381" i="40"/>
  <c r="Q279" i="40"/>
  <c r="T40" i="40"/>
  <c r="W323" i="40"/>
  <c r="Y84" i="40"/>
  <c r="P428" i="40"/>
  <c r="S189" i="40"/>
  <c r="Q294" i="40"/>
  <c r="T55" i="40"/>
  <c r="Z154" i="40"/>
  <c r="Q321" i="40"/>
  <c r="T82" i="40"/>
  <c r="W262" i="40"/>
  <c r="Y23" i="40"/>
  <c r="T16" i="40"/>
  <c r="Z61" i="40"/>
  <c r="T142" i="40"/>
  <c r="W314" i="40"/>
  <c r="Y75" i="40"/>
  <c r="U205" i="40"/>
  <c r="R205" i="40"/>
  <c r="W287" i="40"/>
  <c r="Y48" i="40"/>
  <c r="Q312" i="40"/>
  <c r="T73" i="40"/>
  <c r="P331" i="40"/>
  <c r="Q92" i="40"/>
  <c r="Q331" i="40" s="1"/>
  <c r="Z157" i="40"/>
  <c r="Z146" i="40"/>
  <c r="O304" i="40"/>
  <c r="P323" i="40"/>
  <c r="Q77" i="40"/>
  <c r="S84" i="40"/>
  <c r="W428" i="40"/>
  <c r="Y189" i="40"/>
  <c r="K283" i="40"/>
  <c r="K43" i="40"/>
  <c r="K282" i="40" s="1"/>
  <c r="K413" i="40"/>
  <c r="Q174" i="40"/>
  <c r="T174" i="40" s="1"/>
  <c r="K172" i="40"/>
  <c r="K411" i="40" s="1"/>
  <c r="Q297" i="40"/>
  <c r="T58" i="40"/>
  <c r="R24" i="40"/>
  <c r="P262" i="40"/>
  <c r="Q23" i="40"/>
  <c r="Q5" i="40" s="1"/>
  <c r="S23" i="40"/>
  <c r="J327" i="40"/>
  <c r="J201" i="40"/>
  <c r="J199" i="40" s="1"/>
  <c r="Q328" i="40"/>
  <c r="R140" i="40"/>
  <c r="K316" i="40"/>
  <c r="K200" i="40"/>
  <c r="Z87" i="40"/>
  <c r="R43" i="40"/>
  <c r="J366" i="40"/>
  <c r="J126" i="40"/>
  <c r="J365" i="40" s="1"/>
  <c r="W283" i="40"/>
  <c r="W43" i="40"/>
  <c r="Y44" i="40"/>
  <c r="Q291" i="40"/>
  <c r="T52" i="40"/>
  <c r="P343" i="40"/>
  <c r="S104" i="40"/>
  <c r="W379" i="40"/>
  <c r="Y140" i="40"/>
  <c r="W343" i="40"/>
  <c r="Y104" i="40"/>
  <c r="W274" i="40"/>
  <c r="Y35" i="40"/>
  <c r="Z158" i="40"/>
  <c r="O263" i="40"/>
  <c r="U24" i="40"/>
  <c r="Z66" i="40"/>
  <c r="Q337" i="40"/>
  <c r="T98" i="40"/>
  <c r="Z139" i="40"/>
  <c r="Q395" i="40"/>
  <c r="T156" i="40"/>
  <c r="K327" i="40"/>
  <c r="K201" i="40"/>
  <c r="R88" i="40"/>
  <c r="P364" i="40"/>
  <c r="S125" i="40"/>
  <c r="Z156" i="40"/>
  <c r="P237" i="40"/>
  <c r="P452" i="40" s="1"/>
  <c r="K284" i="40"/>
  <c r="Q317" i="40"/>
  <c r="Q212" i="40"/>
  <c r="Q66" i="40"/>
  <c r="Q300" i="40"/>
  <c r="T61" i="40"/>
  <c r="Q360" i="40"/>
  <c r="T121" i="40"/>
  <c r="W346" i="40"/>
  <c r="Y107" i="40"/>
  <c r="Q389" i="40"/>
  <c r="T150" i="40"/>
  <c r="Z97" i="40"/>
  <c r="P287" i="40"/>
  <c r="S48" i="40"/>
  <c r="Z91" i="40"/>
  <c r="P401" i="40"/>
  <c r="Q162" i="40"/>
  <c r="Q401" i="40" s="1"/>
  <c r="Q382" i="40"/>
  <c r="T143" i="40"/>
  <c r="Q410" i="40"/>
  <c r="T171" i="40"/>
  <c r="W77" i="40"/>
  <c r="S162" i="40"/>
  <c r="Z103" i="40"/>
  <c r="P272" i="40"/>
  <c r="Q33" i="40"/>
  <c r="S33" i="40"/>
  <c r="P24" i="40"/>
  <c r="P263" i="40" s="1"/>
  <c r="W398" i="40"/>
  <c r="Y159" i="40"/>
  <c r="Q314" i="40"/>
  <c r="T75" i="40"/>
  <c r="Z58" i="40"/>
  <c r="P292" i="40"/>
  <c r="P205" i="40"/>
  <c r="O4" i="40"/>
  <c r="R172" i="40"/>
  <c r="K331" i="40"/>
  <c r="P303" i="40"/>
  <c r="Q53" i="40"/>
  <c r="S64" i="40"/>
  <c r="P346" i="40"/>
  <c r="S107" i="40"/>
  <c r="P284" i="40"/>
  <c r="Q45" i="40"/>
  <c r="Q284" i="40" s="1"/>
  <c r="Q385" i="40"/>
  <c r="T146" i="40"/>
  <c r="Q342" i="40"/>
  <c r="T103" i="40"/>
  <c r="Z128" i="40"/>
  <c r="W401" i="40"/>
  <c r="Y162" i="40"/>
  <c r="O282" i="40"/>
  <c r="U43" i="40"/>
  <c r="P379" i="40"/>
  <c r="P206" i="40"/>
  <c r="Z143" i="40"/>
  <c r="W272" i="40"/>
  <c r="W24" i="40"/>
  <c r="Y33" i="40"/>
  <c r="P244" i="40"/>
  <c r="P398" i="40"/>
  <c r="Q140" i="40"/>
  <c r="S159" i="40"/>
  <c r="Z68" i="40"/>
  <c r="W364" i="40"/>
  <c r="Y125" i="40"/>
  <c r="Q278" i="40"/>
  <c r="T39" i="40"/>
  <c r="Q378" i="40"/>
  <c r="T139" i="40"/>
  <c r="W413" i="40"/>
  <c r="Y174" i="40"/>
  <c r="W303" i="40"/>
  <c r="Y64" i="40"/>
  <c r="Y53" i="40" s="1"/>
  <c r="Z46" i="40"/>
  <c r="Z69" i="40"/>
  <c r="Z16" i="40"/>
  <c r="Z173" i="40"/>
  <c r="W309" i="40"/>
  <c r="Y70" i="40"/>
  <c r="Z55" i="40"/>
  <c r="I4" i="40"/>
  <c r="K237" i="40"/>
  <c r="K452" i="40" s="1"/>
  <c r="Q229" i="40"/>
  <c r="Q444" i="40" s="1"/>
  <c r="S92" i="40"/>
  <c r="P413" i="40"/>
  <c r="P172" i="40"/>
  <c r="P411" i="40" s="1"/>
  <c r="W284" i="40"/>
  <c r="Y45" i="40"/>
  <c r="O316" i="40"/>
  <c r="O200" i="40"/>
  <c r="U77" i="40"/>
  <c r="Z40" i="40"/>
  <c r="O379" i="40"/>
  <c r="O206" i="40"/>
  <c r="U140" i="40"/>
  <c r="Z98" i="40"/>
  <c r="P283" i="40"/>
  <c r="Q44" i="40"/>
  <c r="T44" i="40" s="1"/>
  <c r="P43" i="40"/>
  <c r="P282" i="40" s="1"/>
  <c r="R77" i="40"/>
  <c r="Z171" i="40"/>
  <c r="W244" i="40"/>
  <c r="Y5" i="40"/>
  <c r="W172" i="40"/>
  <c r="W411" i="40" s="1"/>
  <c r="R5" i="40"/>
  <c r="K244" i="40"/>
  <c r="Q397" i="40"/>
  <c r="T158" i="40"/>
  <c r="P309" i="40"/>
  <c r="S70" i="40"/>
  <c r="Z39" i="40"/>
  <c r="Z121" i="40"/>
  <c r="R65" i="40"/>
  <c r="Z60" i="40"/>
  <c r="P305" i="40"/>
  <c r="P65" i="40"/>
  <c r="P304" i="40" s="1"/>
  <c r="Q35" i="40"/>
  <c r="Q274" i="40" s="1"/>
  <c r="O366" i="40"/>
  <c r="P127" i="40"/>
  <c r="W127" i="40"/>
  <c r="U127" i="40"/>
  <c r="O126" i="40"/>
  <c r="K379" i="40"/>
  <c r="K206" i="40"/>
  <c r="N199" i="40"/>
  <c r="K401" i="40"/>
  <c r="Z150" i="40"/>
  <c r="X365" i="40"/>
  <c r="S35" i="40" l="1"/>
  <c r="W4" i="40"/>
  <c r="Y172" i="40"/>
  <c r="S172" i="40"/>
  <c r="T162" i="40"/>
  <c r="S77" i="40"/>
  <c r="Y65" i="40"/>
  <c r="Z65" i="40" s="1"/>
  <c r="S53" i="40"/>
  <c r="H190" i="40"/>
  <c r="H429" i="40" s="1"/>
  <c r="O199" i="40"/>
  <c r="S5" i="40"/>
  <c r="R201" i="40"/>
  <c r="T92" i="40"/>
  <c r="P357" i="40"/>
  <c r="S118" i="40"/>
  <c r="P201" i="40"/>
  <c r="S201" i="40" s="1"/>
  <c r="P372" i="40"/>
  <c r="P132" i="40"/>
  <c r="P371" i="40" s="1"/>
  <c r="W357" i="40"/>
  <c r="Y118" i="40"/>
  <c r="K372" i="40"/>
  <c r="Q133" i="40"/>
  <c r="K132" i="40"/>
  <c r="K371" i="40" s="1"/>
  <c r="O371" i="40"/>
  <c r="U132" i="40"/>
  <c r="S133" i="40"/>
  <c r="K108" i="40"/>
  <c r="K347" i="40" s="1"/>
  <c r="Q118" i="40"/>
  <c r="K357" i="40"/>
  <c r="O347" i="40"/>
  <c r="U108" i="40"/>
  <c r="N304" i="40"/>
  <c r="N4" i="40"/>
  <c r="N243" i="40" s="1"/>
  <c r="W372" i="40"/>
  <c r="W132" i="40"/>
  <c r="Y133" i="40"/>
  <c r="K199" i="40"/>
  <c r="Q88" i="40"/>
  <c r="Q327" i="40" s="1"/>
  <c r="Q379" i="40"/>
  <c r="Q206" i="40"/>
  <c r="Q244" i="40"/>
  <c r="P366" i="40"/>
  <c r="Q127" i="40"/>
  <c r="T127" i="40" s="1"/>
  <c r="P126" i="40"/>
  <c r="P365" i="40" s="1"/>
  <c r="Q309" i="40"/>
  <c r="T70" i="40"/>
  <c r="K305" i="40"/>
  <c r="K65" i="40"/>
  <c r="T66" i="40"/>
  <c r="P4" i="40"/>
  <c r="S205" i="40"/>
  <c r="Q316" i="40"/>
  <c r="Q200" i="40"/>
  <c r="T200" i="40" s="1"/>
  <c r="Z104" i="40"/>
  <c r="R206" i="40"/>
  <c r="S65" i="40"/>
  <c r="S24" i="40"/>
  <c r="W316" i="40"/>
  <c r="Z92" i="40"/>
  <c r="Y88" i="40"/>
  <c r="X315" i="40"/>
  <c r="X190" i="40"/>
  <c r="T35" i="40"/>
  <c r="Z33" i="40"/>
  <c r="Q346" i="40"/>
  <c r="T107" i="40"/>
  <c r="Q272" i="40"/>
  <c r="T33" i="40"/>
  <c r="Q24" i="40"/>
  <c r="Q263" i="40" s="1"/>
  <c r="Z107" i="40"/>
  <c r="K366" i="40"/>
  <c r="K126" i="40"/>
  <c r="Z140" i="40"/>
  <c r="Q428" i="40"/>
  <c r="T189" i="40"/>
  <c r="Q283" i="40"/>
  <c r="Q43" i="40"/>
  <c r="Q282" i="40" s="1"/>
  <c r="Z174" i="40"/>
  <c r="W347" i="40"/>
  <c r="Y108" i="40"/>
  <c r="W263" i="40"/>
  <c r="Y24" i="40"/>
  <c r="Q287" i="40"/>
  <c r="T48" i="40"/>
  <c r="Z44" i="40"/>
  <c r="Z75" i="40"/>
  <c r="I243" i="40"/>
  <c r="Z64" i="40"/>
  <c r="Q305" i="40"/>
  <c r="Q65" i="40"/>
  <c r="Q304" i="40" s="1"/>
  <c r="Z5" i="40"/>
  <c r="Z45" i="40"/>
  <c r="Z125" i="40"/>
  <c r="S88" i="40"/>
  <c r="T45" i="40"/>
  <c r="Q364" i="40"/>
  <c r="T125" i="40"/>
  <c r="W282" i="40"/>
  <c r="Y43" i="40"/>
  <c r="Z189" i="40"/>
  <c r="Z84" i="40"/>
  <c r="Y77" i="40"/>
  <c r="R4" i="40"/>
  <c r="W243" i="40"/>
  <c r="O365" i="40"/>
  <c r="W126" i="40"/>
  <c r="U126" i="40"/>
  <c r="Q237" i="40"/>
  <c r="Q452" i="40" s="1"/>
  <c r="Z70" i="40"/>
  <c r="Z162" i="40"/>
  <c r="Q303" i="40"/>
  <c r="T64" i="40"/>
  <c r="Q343" i="40"/>
  <c r="T104" i="40"/>
  <c r="S140" i="40"/>
  <c r="U200" i="40"/>
  <c r="U199" i="40" s="1"/>
  <c r="R200" i="40"/>
  <c r="R199" i="40" s="1"/>
  <c r="Z35" i="40"/>
  <c r="Q262" i="40"/>
  <c r="T23" i="40"/>
  <c r="Q413" i="40"/>
  <c r="Q172" i="40"/>
  <c r="Q411" i="40" s="1"/>
  <c r="Z48" i="40"/>
  <c r="Q292" i="40"/>
  <c r="Q205" i="40"/>
  <c r="Q398" i="40"/>
  <c r="T159" i="40"/>
  <c r="Z159" i="40"/>
  <c r="W366" i="40"/>
  <c r="Y127" i="40"/>
  <c r="U206" i="40"/>
  <c r="I400" i="40"/>
  <c r="I160" i="40"/>
  <c r="O161" i="40"/>
  <c r="R161" i="40" s="1"/>
  <c r="I213" i="40"/>
  <c r="O243" i="40"/>
  <c r="S127" i="40"/>
  <c r="Q323" i="40"/>
  <c r="T84" i="40"/>
  <c r="Z23" i="40"/>
  <c r="J304" i="40"/>
  <c r="J4" i="40"/>
  <c r="S43" i="40"/>
  <c r="Z172" i="40" l="1"/>
  <c r="S199" i="40"/>
  <c r="P199" i="40"/>
  <c r="U4" i="40"/>
  <c r="S108" i="40"/>
  <c r="Q201" i="40"/>
  <c r="T201" i="40" s="1"/>
  <c r="H191" i="40"/>
  <c r="N190" i="40"/>
  <c r="N191" i="40" s="1"/>
  <c r="H192" i="40"/>
  <c r="H431" i="40" s="1"/>
  <c r="Z133" i="40"/>
  <c r="Q357" i="40"/>
  <c r="T118" i="40"/>
  <c r="Q108" i="40"/>
  <c r="Q347" i="40" s="1"/>
  <c r="Y132" i="40"/>
  <c r="W371" i="40"/>
  <c r="Q372" i="40"/>
  <c r="Q132" i="40"/>
  <c r="Q371" i="40" s="1"/>
  <c r="T133" i="40"/>
  <c r="Z118" i="40"/>
  <c r="S132" i="40"/>
  <c r="Y4" i="40"/>
  <c r="Z4" i="40" s="1"/>
  <c r="R160" i="40"/>
  <c r="Z127" i="40"/>
  <c r="T53" i="40"/>
  <c r="Z108" i="40"/>
  <c r="X429" i="40"/>
  <c r="X191" i="40"/>
  <c r="X192" i="40"/>
  <c r="S4" i="40"/>
  <c r="Q4" i="40"/>
  <c r="T24" i="40"/>
  <c r="S126" i="40"/>
  <c r="J400" i="40"/>
  <c r="J160" i="40"/>
  <c r="P161" i="40"/>
  <c r="S161" i="40" s="1"/>
  <c r="J213" i="40"/>
  <c r="T88" i="40"/>
  <c r="J243" i="40"/>
  <c r="O400" i="40"/>
  <c r="W161" i="40"/>
  <c r="U161" i="40"/>
  <c r="O160" i="40"/>
  <c r="O213" i="40"/>
  <c r="W365" i="40"/>
  <c r="Y126" i="40"/>
  <c r="I399" i="40"/>
  <c r="I76" i="40"/>
  <c r="Z43" i="40"/>
  <c r="T77" i="40"/>
  <c r="Z77" i="40"/>
  <c r="Z53" i="40"/>
  <c r="K365" i="40"/>
  <c r="T65" i="40"/>
  <c r="Q366" i="40"/>
  <c r="Q126" i="40"/>
  <c r="T172" i="40"/>
  <c r="Z24" i="40"/>
  <c r="T5" i="40"/>
  <c r="T140" i="40"/>
  <c r="T126" i="40"/>
  <c r="Z88" i="40"/>
  <c r="P243" i="40"/>
  <c r="T205" i="40"/>
  <c r="S206" i="40"/>
  <c r="K304" i="40"/>
  <c r="K4" i="40"/>
  <c r="T43" i="40"/>
  <c r="Q199" i="40" l="1"/>
  <c r="T199" i="40"/>
  <c r="T108" i="40"/>
  <c r="N429" i="40"/>
  <c r="N192" i="40"/>
  <c r="N431" i="40" s="1"/>
  <c r="Z132" i="40"/>
  <c r="T132" i="40"/>
  <c r="S160" i="40"/>
  <c r="T206" i="40"/>
  <c r="J399" i="40"/>
  <c r="J76" i="40"/>
  <c r="T4" i="40"/>
  <c r="O399" i="40"/>
  <c r="U160" i="40"/>
  <c r="O76" i="40"/>
  <c r="W400" i="40"/>
  <c r="W160" i="40"/>
  <c r="Y161" i="40"/>
  <c r="K400" i="40"/>
  <c r="Q161" i="40"/>
  <c r="T161" i="40" s="1"/>
  <c r="K160" i="40"/>
  <c r="K213" i="40"/>
  <c r="Q243" i="40"/>
  <c r="K243" i="40"/>
  <c r="I315" i="40"/>
  <c r="I190" i="40"/>
  <c r="R76" i="40"/>
  <c r="Q365" i="40"/>
  <c r="X431" i="40"/>
  <c r="Z126" i="40"/>
  <c r="P400" i="40"/>
  <c r="P160" i="40"/>
  <c r="P213" i="40"/>
  <c r="P399" i="40" l="1"/>
  <c r="P76" i="40"/>
  <c r="Q400" i="40"/>
  <c r="Q160" i="40"/>
  <c r="Q213" i="40"/>
  <c r="T160" i="40"/>
  <c r="R190" i="40"/>
  <c r="Z161" i="40"/>
  <c r="S76" i="40"/>
  <c r="W399" i="40"/>
  <c r="Y160" i="40"/>
  <c r="W76" i="40"/>
  <c r="J315" i="40"/>
  <c r="J190" i="40"/>
  <c r="I429" i="40"/>
  <c r="I191" i="40"/>
  <c r="I192" i="40"/>
  <c r="I431" i="40" s="1"/>
  <c r="O315" i="40"/>
  <c r="U76" i="40"/>
  <c r="O190" i="40"/>
  <c r="K399" i="40"/>
  <c r="K76" i="40"/>
  <c r="J429" i="40" l="1"/>
  <c r="J191" i="40"/>
  <c r="J192" i="40"/>
  <c r="J431" i="40" s="1"/>
  <c r="W315" i="40"/>
  <c r="Y76" i="40"/>
  <c r="W190" i="40"/>
  <c r="Q399" i="40"/>
  <c r="Q76" i="40"/>
  <c r="Z160" i="40"/>
  <c r="S190" i="40"/>
  <c r="T76" i="40"/>
  <c r="R216" i="40"/>
  <c r="R192" i="40"/>
  <c r="K315" i="40"/>
  <c r="K190" i="40"/>
  <c r="P315" i="40"/>
  <c r="P190" i="40"/>
  <c r="O429" i="40"/>
  <c r="O191" i="40"/>
  <c r="O192" i="40"/>
  <c r="U190" i="40"/>
  <c r="W429" i="40" l="1"/>
  <c r="W191" i="40"/>
  <c r="W192" i="40"/>
  <c r="Y190" i="40"/>
  <c r="P429" i="40"/>
  <c r="P192" i="40"/>
  <c r="P431" i="40" s="1"/>
  <c r="P191" i="40"/>
  <c r="O431" i="40"/>
  <c r="U192" i="40"/>
  <c r="Z76" i="40"/>
  <c r="S216" i="40"/>
  <c r="S192" i="40"/>
  <c r="K429" i="40"/>
  <c r="K192" i="40"/>
  <c r="K431" i="40" s="1"/>
  <c r="K191" i="40"/>
  <c r="U191" i="40"/>
  <c r="R191" i="40"/>
  <c r="Q315" i="40"/>
  <c r="Q190" i="40"/>
  <c r="T190" i="40"/>
  <c r="W431" i="40" l="1"/>
  <c r="Y192" i="40"/>
  <c r="S191" i="40"/>
  <c r="Z190" i="40"/>
  <c r="T216" i="40"/>
  <c r="T192" i="40"/>
  <c r="Y191" i="40"/>
  <c r="Q429" i="40"/>
  <c r="Q191" i="40"/>
  <c r="Q192" i="40"/>
  <c r="Q431" i="40" s="1"/>
  <c r="Z192" i="40" l="1"/>
  <c r="T191" i="40"/>
  <c r="Z191" i="40"/>
  <c r="B43" i="38" l="1"/>
  <c r="B42" i="38"/>
  <c r="B38" i="38"/>
  <c r="J35" i="38"/>
  <c r="F38" i="38"/>
  <c r="M32" i="38"/>
  <c r="J34" i="38"/>
  <c r="J32" i="38" s="1"/>
  <c r="N32" i="38"/>
  <c r="L32" i="38"/>
  <c r="B31" i="38"/>
  <c r="B34" i="38" s="1"/>
  <c r="J30" i="38"/>
  <c r="B28" i="38"/>
  <c r="J27" i="38"/>
  <c r="B24" i="38"/>
  <c r="B23" i="38"/>
  <c r="B22" i="38"/>
  <c r="B20" i="38"/>
  <c r="B21" i="38" s="1"/>
  <c r="J15" i="38"/>
  <c r="J11" i="38"/>
  <c r="J10" i="38"/>
  <c r="O24" i="38"/>
  <c r="N24" i="38"/>
  <c r="M24" i="38"/>
  <c r="L24" i="38"/>
  <c r="K24" i="38"/>
  <c r="B7" i="38"/>
  <c r="O4" i="38"/>
  <c r="N4" i="38"/>
  <c r="M4" i="38"/>
  <c r="L4" i="38"/>
  <c r="K4" i="38"/>
  <c r="M35" i="38"/>
  <c r="O2" i="38"/>
  <c r="N2" i="38"/>
  <c r="M2" i="38"/>
  <c r="L2" i="38"/>
  <c r="K2" i="38"/>
  <c r="J2" i="38"/>
  <c r="L7" i="37"/>
  <c r="K7" i="37"/>
  <c r="E7" i="37"/>
  <c r="D7" i="37"/>
  <c r="C7" i="37"/>
  <c r="L5" i="37"/>
  <c r="K5" i="37"/>
  <c r="J5" i="37"/>
  <c r="J7" i="37" s="1"/>
  <c r="I5" i="37"/>
  <c r="I7" i="37" s="1"/>
  <c r="H5" i="37"/>
  <c r="H7" i="37" s="1"/>
  <c r="G5" i="37"/>
  <c r="G7" i="37" s="1"/>
  <c r="F5" i="37"/>
  <c r="F7" i="37" s="1"/>
  <c r="E5" i="37"/>
  <c r="D5" i="37"/>
  <c r="C5" i="37"/>
  <c r="B5" i="37"/>
  <c r="B7" i="37" s="1"/>
  <c r="H24" i="36"/>
  <c r="H22" i="36" s="1"/>
  <c r="G24" i="36"/>
  <c r="G22" i="36" s="1"/>
  <c r="M22" i="36"/>
  <c r="L22" i="36"/>
  <c r="K22" i="36"/>
  <c r="J22" i="36"/>
  <c r="I22" i="36"/>
  <c r="F22" i="36"/>
  <c r="E22" i="36"/>
  <c r="D22" i="36"/>
  <c r="C22" i="36"/>
  <c r="B22" i="36"/>
  <c r="G20" i="36"/>
  <c r="G17" i="36"/>
  <c r="M15" i="36"/>
  <c r="L15" i="36"/>
  <c r="K15" i="36"/>
  <c r="J15" i="36"/>
  <c r="I15" i="36"/>
  <c r="H15" i="36"/>
  <c r="F15" i="36"/>
  <c r="E15" i="36"/>
  <c r="D15" i="36"/>
  <c r="C15" i="36"/>
  <c r="B15" i="36"/>
  <c r="M3" i="36"/>
  <c r="L3" i="36"/>
  <c r="K3" i="36"/>
  <c r="J3" i="36"/>
  <c r="I3" i="36"/>
  <c r="H3" i="36"/>
  <c r="G3" i="36"/>
  <c r="F3" i="36"/>
  <c r="E3" i="36"/>
  <c r="D3" i="36"/>
  <c r="C3" i="36"/>
  <c r="B3" i="36"/>
  <c r="E3" i="35"/>
  <c r="D3" i="35"/>
  <c r="C3" i="35"/>
  <c r="B3" i="35"/>
  <c r="G53" i="34"/>
  <c r="F53" i="34"/>
  <c r="E53" i="34"/>
  <c r="C53" i="34"/>
  <c r="G50" i="34"/>
  <c r="F50" i="34"/>
  <c r="E50" i="34"/>
  <c r="C50" i="34"/>
  <c r="G49" i="34"/>
  <c r="F49" i="34"/>
  <c r="E49" i="34"/>
  <c r="C49" i="34"/>
  <c r="G48" i="34"/>
  <c r="F48" i="34"/>
  <c r="E48" i="34"/>
  <c r="C48" i="34"/>
  <c r="G47" i="34"/>
  <c r="F47" i="34"/>
  <c r="E47" i="34"/>
  <c r="C47" i="34"/>
  <c r="G46" i="34"/>
  <c r="F46" i="34"/>
  <c r="E46" i="34"/>
  <c r="C46" i="34"/>
  <c r="G45" i="34"/>
  <c r="F45" i="34"/>
  <c r="E45" i="34"/>
  <c r="C45" i="34"/>
  <c r="G44" i="34"/>
  <c r="F44" i="34"/>
  <c r="E44" i="34"/>
  <c r="C44" i="34"/>
  <c r="G43" i="34"/>
  <c r="F43" i="34"/>
  <c r="E43" i="34"/>
  <c r="C43" i="34"/>
  <c r="G42" i="34"/>
  <c r="F42" i="34"/>
  <c r="E42" i="34"/>
  <c r="C42" i="34"/>
  <c r="G40" i="34"/>
  <c r="F40" i="34"/>
  <c r="E40" i="34"/>
  <c r="C40" i="34"/>
  <c r="G39" i="34"/>
  <c r="F39" i="34"/>
  <c r="E39" i="34"/>
  <c r="C39" i="34"/>
  <c r="G38" i="34"/>
  <c r="F38" i="34"/>
  <c r="E38" i="34"/>
  <c r="C38" i="34"/>
  <c r="G37" i="34"/>
  <c r="F37" i="34"/>
  <c r="E37" i="34"/>
  <c r="C37" i="34"/>
  <c r="G36" i="34"/>
  <c r="F36" i="34"/>
  <c r="E36" i="34"/>
  <c r="C36" i="34"/>
  <c r="G35" i="34"/>
  <c r="F35" i="34"/>
  <c r="E35" i="34"/>
  <c r="G34" i="34"/>
  <c r="F34" i="34"/>
  <c r="E34" i="34"/>
  <c r="C34" i="34"/>
  <c r="G33" i="34"/>
  <c r="F33" i="34"/>
  <c r="E33" i="34"/>
  <c r="C33" i="34"/>
  <c r="H27" i="34"/>
  <c r="H50" i="34" s="1"/>
  <c r="D27" i="34"/>
  <c r="D48" i="34" s="1"/>
  <c r="H13" i="34"/>
  <c r="G13" i="34"/>
  <c r="G41" i="34" s="1"/>
  <c r="F13" i="34"/>
  <c r="F41" i="34" s="1"/>
  <c r="E13" i="34"/>
  <c r="E41" i="34" s="1"/>
  <c r="D13" i="34"/>
  <c r="C13" i="34"/>
  <c r="C41" i="34" s="1"/>
  <c r="C7" i="34"/>
  <c r="C35" i="34" s="1"/>
  <c r="H4" i="34"/>
  <c r="G4" i="34"/>
  <c r="G32" i="34" s="1"/>
  <c r="F4" i="34"/>
  <c r="E4" i="34"/>
  <c r="E32" i="34" s="1"/>
  <c r="D4" i="34"/>
  <c r="C4" i="34"/>
  <c r="C32" i="34" s="1"/>
  <c r="F17" i="33"/>
  <c r="E17" i="33"/>
  <c r="D17" i="33"/>
  <c r="B16" i="33"/>
  <c r="A16" i="33"/>
  <c r="C17" i="33"/>
  <c r="C11" i="33"/>
  <c r="F8" i="33"/>
  <c r="E8" i="33"/>
  <c r="D8" i="33"/>
  <c r="C5" i="33"/>
  <c r="C8" i="33" s="1"/>
  <c r="E2" i="33"/>
  <c r="E11" i="33" s="1"/>
  <c r="D2" i="33"/>
  <c r="D11" i="33" s="1"/>
  <c r="E6" i="32"/>
  <c r="D6" i="32"/>
  <c r="C6" i="32"/>
  <c r="B6" i="32"/>
  <c r="E3" i="32"/>
  <c r="D3" i="32"/>
  <c r="C3" i="32"/>
  <c r="B3" i="32"/>
  <c r="C2" i="32"/>
  <c r="D2" i="32" s="1"/>
  <c r="E2" i="32" s="1"/>
  <c r="E16" i="31"/>
  <c r="E15" i="31"/>
  <c r="E14" i="31"/>
  <c r="E13" i="31"/>
  <c r="E12" i="31"/>
  <c r="E11" i="31"/>
  <c r="E8" i="31" s="1"/>
  <c r="E10" i="31"/>
  <c r="E9" i="31"/>
  <c r="D8" i="31"/>
  <c r="D17" i="31" s="1"/>
  <c r="C8" i="31"/>
  <c r="E7" i="31"/>
  <c r="E6" i="31"/>
  <c r="E5" i="31"/>
  <c r="E4" i="31"/>
  <c r="D3" i="31"/>
  <c r="C3" i="31"/>
  <c r="C17" i="31" s="1"/>
  <c r="E5" i="30"/>
  <c r="D5" i="30"/>
  <c r="C2" i="30"/>
  <c r="D2" i="30" s="1"/>
  <c r="E2" i="30" s="1"/>
  <c r="F2" i="30" s="1"/>
  <c r="G2" i="30" s="1"/>
  <c r="D5" i="27"/>
  <c r="E4" i="26"/>
  <c r="E7" i="26" s="1"/>
  <c r="D4" i="26"/>
  <c r="D7" i="26" s="1"/>
  <c r="B4" i="26"/>
  <c r="B7" i="26" s="1"/>
  <c r="C4" i="26"/>
  <c r="C7" i="26" s="1"/>
  <c r="D14" i="22"/>
  <c r="E14" i="22"/>
  <c r="B20" i="25"/>
  <c r="C14" i="25" s="1"/>
  <c r="C20" i="25" s="1"/>
  <c r="H12" i="25"/>
  <c r="B11" i="25"/>
  <c r="C4" i="25" s="1"/>
  <c r="C11" i="25" s="1"/>
  <c r="C6" i="24"/>
  <c r="D6" i="24"/>
  <c r="E6" i="24"/>
  <c r="F6" i="24"/>
  <c r="B6" i="24"/>
  <c r="C4" i="23"/>
  <c r="C14" i="22"/>
  <c r="B12" i="22"/>
  <c r="B6" i="22"/>
  <c r="B14" i="22" s="1"/>
  <c r="B5" i="22"/>
  <c r="B13" i="22" s="1"/>
  <c r="D2" i="22"/>
  <c r="E2" i="22" s="1"/>
  <c r="D5" i="21"/>
  <c r="C5" i="21"/>
  <c r="B5" i="21"/>
  <c r="E2" i="21"/>
  <c r="D2" i="21"/>
  <c r="C2" i="21"/>
  <c r="D38" i="38" l="1"/>
  <c r="G38" i="38"/>
  <c r="D42" i="38"/>
  <c r="N16" i="38"/>
  <c r="N15" i="38" s="1"/>
  <c r="M16" i="38"/>
  <c r="F42" i="38"/>
  <c r="N11" i="38"/>
  <c r="N35" i="38"/>
  <c r="E21" i="38"/>
  <c r="O11" i="38"/>
  <c r="M11" i="38"/>
  <c r="K11" i="38"/>
  <c r="L16" i="38"/>
  <c r="L15" i="38" s="1"/>
  <c r="F29" i="38"/>
  <c r="O32" i="38"/>
  <c r="C42" i="38"/>
  <c r="G7" i="38"/>
  <c r="F21" i="38"/>
  <c r="D21" i="38"/>
  <c r="B29" i="38"/>
  <c r="G21" i="38"/>
  <c r="C29" i="38"/>
  <c r="O35" i="38"/>
  <c r="E42" i="38"/>
  <c r="K16" i="38"/>
  <c r="K27" i="38" s="1"/>
  <c r="D29" i="38"/>
  <c r="E29" i="38"/>
  <c r="K32" i="38"/>
  <c r="C38" i="38"/>
  <c r="G42" i="38"/>
  <c r="K35" i="38"/>
  <c r="L11" i="38"/>
  <c r="L35" i="38"/>
  <c r="O10" i="38"/>
  <c r="C21" i="38"/>
  <c r="G29" i="38"/>
  <c r="E38" i="38"/>
  <c r="O16" i="38"/>
  <c r="L10" i="38"/>
  <c r="K15" i="38"/>
  <c r="M10" i="38"/>
  <c r="M15" i="38"/>
  <c r="M27" i="38"/>
  <c r="K10" i="38"/>
  <c r="N10" i="38"/>
  <c r="C7" i="38"/>
  <c r="D7" i="38"/>
  <c r="E7" i="38"/>
  <c r="N27" i="38"/>
  <c r="F7" i="38"/>
  <c r="J28" i="36"/>
  <c r="B28" i="36"/>
  <c r="I28" i="36"/>
  <c r="G15" i="36"/>
  <c r="C28" i="36"/>
  <c r="K28" i="36"/>
  <c r="E28" i="36"/>
  <c r="L28" i="36"/>
  <c r="D28" i="36"/>
  <c r="M28" i="36"/>
  <c r="F28" i="36"/>
  <c r="H28" i="36"/>
  <c r="D39" i="34"/>
  <c r="D47" i="34"/>
  <c r="H33" i="34"/>
  <c r="D32" i="34"/>
  <c r="F23" i="34"/>
  <c r="F24" i="34" s="1"/>
  <c r="F52" i="34" s="1"/>
  <c r="D35" i="34"/>
  <c r="D43" i="34"/>
  <c r="D41" i="34"/>
  <c r="H32" i="34"/>
  <c r="G23" i="34"/>
  <c r="G24" i="34" s="1"/>
  <c r="G52" i="34" s="1"/>
  <c r="H23" i="34"/>
  <c r="H24" i="34" s="1"/>
  <c r="H52" i="34" s="1"/>
  <c r="F2" i="33"/>
  <c r="F11" i="33" s="1"/>
  <c r="F51" i="34"/>
  <c r="H45" i="34"/>
  <c r="H49" i="34"/>
  <c r="D34" i="34"/>
  <c r="H36" i="34"/>
  <c r="D38" i="34"/>
  <c r="H40" i="34"/>
  <c r="D42" i="34"/>
  <c r="H44" i="34"/>
  <c r="D46" i="34"/>
  <c r="H48" i="34"/>
  <c r="D50" i="34"/>
  <c r="H37" i="34"/>
  <c r="H41" i="34"/>
  <c r="C23" i="34"/>
  <c r="G51" i="34"/>
  <c r="D23" i="34"/>
  <c r="D33" i="34"/>
  <c r="H35" i="34"/>
  <c r="D37" i="34"/>
  <c r="H39" i="34"/>
  <c r="H43" i="34"/>
  <c r="D45" i="34"/>
  <c r="H47" i="34"/>
  <c r="D49" i="34"/>
  <c r="H51" i="34"/>
  <c r="D53" i="34"/>
  <c r="F32" i="34"/>
  <c r="E23" i="34"/>
  <c r="H34" i="34"/>
  <c r="D36" i="34"/>
  <c r="H38" i="34"/>
  <c r="D40" i="34"/>
  <c r="H42" i="34"/>
  <c r="D44" i="34"/>
  <c r="H46" i="34"/>
  <c r="E3" i="31"/>
  <c r="G5" i="30"/>
  <c r="F5" i="30"/>
  <c r="E5" i="27"/>
  <c r="B11" i="22"/>
  <c r="D14" i="25"/>
  <c r="D20" i="25" s="1"/>
  <c r="E14" i="25" s="1"/>
  <c r="E20" i="25" s="1"/>
  <c r="D4" i="25"/>
  <c r="D11" i="25" s="1"/>
  <c r="C3" i="23"/>
  <c r="L27" i="38" l="1"/>
  <c r="O15" i="38"/>
  <c r="O27" i="38"/>
  <c r="G28" i="36"/>
  <c r="E24" i="34"/>
  <c r="E52" i="34" s="1"/>
  <c r="E51" i="34"/>
  <c r="D51" i="34"/>
  <c r="D24" i="34"/>
  <c r="D52" i="34" s="1"/>
  <c r="C51" i="34"/>
  <c r="C24" i="34"/>
  <c r="C52" i="34" s="1"/>
  <c r="E17" i="31"/>
  <c r="F5" i="27"/>
  <c r="E4" i="25"/>
  <c r="E11" i="25" s="1"/>
  <c r="F14" i="25"/>
  <c r="F20" i="25" s="1"/>
  <c r="C12" i="22"/>
  <c r="G5" i="27" l="1"/>
  <c r="F4" i="25"/>
  <c r="F11" i="25" s="1"/>
  <c r="G14" i="25"/>
  <c r="G20" i="25" s="1"/>
  <c r="D4" i="23"/>
  <c r="D3" i="23" s="1"/>
  <c r="G4" i="25" l="1"/>
  <c r="G11" i="25" s="1"/>
  <c r="H14" i="25"/>
  <c r="H20" i="25" s="1"/>
  <c r="E4" i="23"/>
  <c r="E3" i="23" s="1"/>
  <c r="H4" i="25" l="1"/>
  <c r="H11" i="25" s="1"/>
  <c r="I14" i="25"/>
  <c r="I20" i="25" s="1"/>
  <c r="C13" i="22"/>
  <c r="C11" i="22" s="1"/>
  <c r="I4" i="25" l="1"/>
  <c r="I11" i="25" s="1"/>
  <c r="J4" i="25" s="1"/>
  <c r="J11" i="25" s="1"/>
  <c r="J14" i="25"/>
  <c r="J20" i="25" s="1"/>
  <c r="D12" i="22"/>
  <c r="E13" i="22"/>
  <c r="D13" i="22"/>
  <c r="E12" i="22" l="1"/>
  <c r="E11" i="22" s="1"/>
  <c r="D11" i="22"/>
  <c r="I13" i="19" l="1"/>
  <c r="G13" i="19"/>
  <c r="E13" i="19"/>
  <c r="C13" i="19"/>
  <c r="C12" i="19"/>
  <c r="D12" i="19"/>
  <c r="E12" i="19"/>
  <c r="F12" i="19"/>
  <c r="G12" i="19"/>
  <c r="H12" i="19"/>
  <c r="I12" i="19"/>
  <c r="B12" i="19"/>
  <c r="C5" i="19"/>
  <c r="D5" i="19"/>
  <c r="E5" i="19"/>
  <c r="F5" i="19"/>
  <c r="G5" i="19"/>
  <c r="H5" i="19"/>
  <c r="I5" i="19"/>
  <c r="B5" i="19"/>
  <c r="C9" i="19"/>
  <c r="D9" i="19"/>
  <c r="E9" i="19"/>
  <c r="F9" i="19"/>
  <c r="G9" i="19"/>
  <c r="H9" i="19"/>
  <c r="I9" i="19"/>
  <c r="B9" i="19"/>
  <c r="D12" i="17"/>
  <c r="C12" i="17"/>
  <c r="B12" i="17"/>
  <c r="E11" i="16"/>
  <c r="F11" i="16"/>
  <c r="B11" i="16"/>
  <c r="E12" i="17" l="1"/>
  <c r="D11" i="16"/>
  <c r="E12" i="16" s="1"/>
  <c r="E14" i="16" s="1"/>
  <c r="F12" i="16"/>
  <c r="F14" i="16" s="1"/>
  <c r="G11" i="16"/>
  <c r="G12" i="16" s="1"/>
  <c r="G14" i="16" s="1"/>
  <c r="C11" i="16"/>
  <c r="C12" i="16" s="1"/>
  <c r="C14" i="16" s="1"/>
  <c r="C16" i="16" s="1"/>
  <c r="G16" i="16" l="1"/>
  <c r="D12" i="16"/>
  <c r="D14" i="16" s="1"/>
  <c r="F16" i="16"/>
  <c r="E16" i="16"/>
  <c r="D16" i="16" l="1"/>
  <c r="AA2" i="14" l="1"/>
  <c r="Z2" i="14"/>
  <c r="C2" i="14"/>
  <c r="D2" i="14" s="1"/>
  <c r="E2" i="14" s="1"/>
  <c r="F2" i="14" s="1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G5" i="13"/>
  <c r="F5" i="13"/>
  <c r="C5" i="13"/>
  <c r="C7" i="13" s="1"/>
  <c r="B12" i="11"/>
  <c r="C2" i="11"/>
  <c r="D2" i="11" s="1"/>
  <c r="C3" i="9"/>
  <c r="C3" i="8"/>
  <c r="D3" i="8"/>
  <c r="E3" i="8"/>
  <c r="B3" i="8"/>
  <c r="D5" i="13" l="1"/>
  <c r="D7" i="13" s="1"/>
  <c r="E5" i="13"/>
  <c r="E7" i="13" s="1"/>
  <c r="G7" i="13"/>
  <c r="F7" i="13"/>
  <c r="H5" i="13"/>
  <c r="H7" i="13" s="1"/>
  <c r="I5" i="13"/>
  <c r="I7" i="13" s="1"/>
  <c r="B5" i="13"/>
  <c r="G7" i="12"/>
  <c r="C10" i="11"/>
  <c r="E2" i="11"/>
  <c r="J5" i="13" l="1"/>
  <c r="J7" i="13" s="1"/>
  <c r="L5" i="13"/>
  <c r="L7" i="13" s="1"/>
  <c r="B7" i="13"/>
  <c r="K5" i="13"/>
  <c r="K7" i="13" s="1"/>
  <c r="F2" i="11"/>
  <c r="G5" i="12" l="1"/>
  <c r="D10" i="11"/>
  <c r="G4" i="12" l="1"/>
  <c r="G6" i="12"/>
  <c r="E10" i="11"/>
  <c r="F10" i="11" l="1"/>
  <c r="E7" i="6" l="1"/>
  <c r="F7" i="6"/>
  <c r="D7" i="6"/>
  <c r="C9" i="7"/>
  <c r="B9" i="7"/>
  <c r="D5" i="7"/>
  <c r="C2" i="7"/>
  <c r="D2" i="7" s="1"/>
  <c r="E2" i="7" s="1"/>
  <c r="F2" i="7" s="1"/>
  <c r="G2" i="7" s="1"/>
  <c r="F15" i="6"/>
  <c r="E15" i="6"/>
  <c r="D15" i="6"/>
  <c r="C15" i="6"/>
  <c r="B8" i="6"/>
  <c r="F4" i="6"/>
  <c r="E4" i="6"/>
  <c r="D4" i="6"/>
  <c r="C2" i="6"/>
  <c r="D2" i="6" s="1"/>
  <c r="E2" i="6" s="1"/>
  <c r="F2" i="6" s="1"/>
  <c r="C3" i="5"/>
  <c r="D13" i="5"/>
  <c r="C13" i="5"/>
  <c r="B13" i="5"/>
  <c r="D5" i="5"/>
  <c r="D3" i="5" s="1"/>
  <c r="C5" i="5"/>
  <c r="B5" i="5"/>
  <c r="B3" i="5" s="1"/>
  <c r="C28" i="4"/>
  <c r="B28" i="4"/>
  <c r="D28" i="4"/>
  <c r="D23" i="4"/>
  <c r="C23" i="4"/>
  <c r="B23" i="4"/>
  <c r="D19" i="4"/>
  <c r="B19" i="4"/>
  <c r="C19" i="4"/>
  <c r="D13" i="4"/>
  <c r="C13" i="4"/>
  <c r="B13" i="4"/>
  <c r="C12" i="7" l="1"/>
  <c r="D9" i="7"/>
  <c r="E5" i="7"/>
  <c r="C7" i="6"/>
  <c r="C9" i="6" s="1"/>
  <c r="E8" i="6"/>
  <c r="E10" i="6" s="1"/>
  <c r="D8" i="6"/>
  <c r="F8" i="6"/>
  <c r="F10" i="6" s="1"/>
  <c r="E9" i="6"/>
  <c r="D9" i="6"/>
  <c r="D10" i="6"/>
  <c r="C5" i="4"/>
  <c r="C3" i="4" s="1"/>
  <c r="B5" i="4"/>
  <c r="B3" i="4" s="1"/>
  <c r="D5" i="4"/>
  <c r="D3" i="4" s="1"/>
  <c r="E9" i="7" l="1"/>
  <c r="D12" i="7"/>
  <c r="C8" i="6"/>
  <c r="C10" i="6" s="1"/>
  <c r="F9" i="6"/>
  <c r="F5" i="7"/>
  <c r="F9" i="7" l="1"/>
  <c r="E12" i="7"/>
  <c r="G5" i="7"/>
  <c r="G9" i="7" s="1"/>
  <c r="F12" i="7" l="1"/>
  <c r="G12" i="7" l="1"/>
  <c r="C3" i="1" l="1"/>
  <c r="C7" i="1" s="1"/>
  <c r="D3" i="1"/>
  <c r="D7" i="1" s="1"/>
  <c r="B3" i="1"/>
  <c r="B7" i="1" s="1"/>
  <c r="C19" i="3"/>
  <c r="C18" i="3"/>
  <c r="C16" i="3"/>
  <c r="B14" i="3"/>
  <c r="C15" i="3"/>
  <c r="C13" i="3"/>
  <c r="C12" i="3"/>
  <c r="B10" i="3"/>
  <c r="C10" i="3" s="1"/>
  <c r="C11" i="3"/>
  <c r="C8" i="3"/>
  <c r="C7" i="3"/>
  <c r="C6" i="3"/>
  <c r="C5" i="3"/>
  <c r="C4" i="3"/>
  <c r="C14" i="3" l="1"/>
  <c r="B3" i="3"/>
  <c r="C3" i="3" s="1"/>
  <c r="B9" i="3" l="1"/>
  <c r="C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Bugyi</author>
  </authors>
  <commentList>
    <comment ref="B25" authorId="0" shapeId="0" xr:uid="{D155AD8E-11B1-406D-BBA5-420A30D283B0}">
      <text>
        <r>
          <rPr>
            <b/>
            <sz val="9"/>
            <color indexed="81"/>
            <rFont val="Segoe UI"/>
            <family val="2"/>
          </rPr>
          <t>Erik Bugyi:</t>
        </r>
        <r>
          <rPr>
            <sz val="9"/>
            <color indexed="81"/>
            <rFont val="Segoe UI"/>
            <family val="2"/>
          </rPr>
          <t xml:space="preserve">
vrátane vplyvov zavedenia ročného zúčtovania (z doložky)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bugyi</author>
  </authors>
  <commentList>
    <comment ref="J19" authorId="0" shapeId="0" xr:uid="{8C196AD3-F6A3-46B1-B198-3E3DC400EF7D}">
      <text>
        <r>
          <rPr>
            <b/>
            <sz val="9"/>
            <color indexed="81"/>
            <rFont val="Segoe UI"/>
            <family val="2"/>
            <charset val="238"/>
          </rPr>
          <t>bugyi:</t>
        </r>
        <r>
          <rPr>
            <sz val="9"/>
            <color indexed="81"/>
            <rFont val="Segoe UI"/>
            <family val="2"/>
            <charset val="238"/>
          </rPr>
          <t xml:space="preserve">
zmena ziskov za minulé roky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bugyi</author>
  </authors>
  <commentList>
    <comment ref="D6" authorId="0" shapeId="0" xr:uid="{1B7700D0-981F-4AC1-995F-C007C16F4DCE}">
      <text>
        <r>
          <rPr>
            <b/>
            <sz val="9"/>
            <color indexed="81"/>
            <rFont val="Segoe UI"/>
            <family val="2"/>
            <charset val="238"/>
          </rPr>
          <t>bugyi:</t>
        </r>
        <r>
          <rPr>
            <sz val="9"/>
            <color indexed="81"/>
            <rFont val="Segoe UI"/>
            <family val="2"/>
            <charset val="238"/>
          </rPr>
          <t xml:space="preserve">
zvyšok je v hotovostnej rezerve</t>
        </r>
      </text>
    </comment>
  </commentList>
</comments>
</file>

<file path=xl/sharedStrings.xml><?xml version="1.0" encoding="utf-8"?>
<sst xmlns="http://schemas.openxmlformats.org/spreadsheetml/2006/main" count="2199" uniqueCount="1186">
  <si>
    <t>mil. eur</t>
  </si>
  <si>
    <t>Rezervy</t>
  </si>
  <si>
    <t>Obrana</t>
  </si>
  <si>
    <t>Šport</t>
  </si>
  <si>
    <t>Zdravotníctvo</t>
  </si>
  <si>
    <t>Investičné stimuly</t>
  </si>
  <si>
    <t>Cestná doprava</t>
  </si>
  <si>
    <t>Ostatné</t>
  </si>
  <si>
    <t>Pozn.: ide o kapitálové výdavky štátneho rozpočtu (EKRK 710 a 720 bez 721) bez EÚ fondov, spolufinancovania a metodických úprav.</t>
  </si>
  <si>
    <t>Zdroj:  MF SR, RRZ</t>
  </si>
  <si>
    <t>% HDP</t>
  </si>
  <si>
    <t>Opatrenia vlády</t>
  </si>
  <si>
    <t>Sociálne dávky (štát, SP)</t>
  </si>
  <si>
    <t>Zvyšovanie miezd v ŠR</t>
  </si>
  <si>
    <t>Nové opatrenia vlády (bežné výdavky ŠR)</t>
  </si>
  <si>
    <t>Kapitálové výdavky ŠR</t>
  </si>
  <si>
    <t>Zdravotná starostlivosť</t>
  </si>
  <si>
    <t>Aktualizácia odhadov</t>
  </si>
  <si>
    <t>Výdavky samospráv</t>
  </si>
  <si>
    <t>Odvod do EÚ</t>
  </si>
  <si>
    <t>Úrokové náklady</t>
  </si>
  <si>
    <t>Pozitíva</t>
  </si>
  <si>
    <t>Spolufinancovanie EÚ fondov</t>
  </si>
  <si>
    <t>Daňové príjmy</t>
  </si>
  <si>
    <t>Legislatívne zmeny v daniach a nedaňových príjmoch</t>
  </si>
  <si>
    <t>Zhoršenie cieľa</t>
  </si>
  <si>
    <t>HDP</t>
  </si>
  <si>
    <t>Graf 7: Zmena kapitálových výdavkov štátneho rozpočtu v roku 2019 (mil. eur)</t>
  </si>
  <si>
    <t>Zmeny kapitálových výdavkov v roku 2019 (NRVS 2019-21 oproti RVS 2017-19)</t>
  </si>
  <si>
    <t>Graf 6: Zmeny v príjmoch a výdavkoch roku 2019 (Návrh rozpočtu VS na roky 2019 až 2021 v porovnaní s Rozpočtom VS na roky 2017 až 2019, mil. eur)</t>
  </si>
  <si>
    <t>Tab: Porovnanie zmien v salde na rok 2019 (NRVS 2019-21 oproti RVS 2017-19)</t>
  </si>
  <si>
    <r>
      <t>Tab 7: Daňovo-odvodové opatrenia zahrnuté v NRVS 2019-2021</t>
    </r>
    <r>
      <rPr>
        <sz val="10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(v tis. eur, ESA2010)</t>
    </r>
  </si>
  <si>
    <t>Odvod z obchodných reťazcov</t>
  </si>
  <si>
    <t>- hrubý vplyv</t>
  </si>
  <si>
    <t>- vplyv na DPPO</t>
  </si>
  <si>
    <t>eKasa a nanomarkery</t>
  </si>
  <si>
    <t>Spolu</t>
  </si>
  <si>
    <t>Zdroj: MF SR</t>
  </si>
  <si>
    <t>Riziká spolu:</t>
  </si>
  <si>
    <t xml:space="preserve"> - v % HDP</t>
  </si>
  <si>
    <t>1. Nadhodnotenie nedaňových príjmov:</t>
  </si>
  <si>
    <t xml:space="preserve"> - príjmy z dividend (SPP, VSE)</t>
  </si>
  <si>
    <t xml:space="preserve"> - príjmy z predaja majetku ŠR</t>
  </si>
  <si>
    <t xml:space="preserve"> - príjmy štátneho rozpočtu z hazardných hier</t>
  </si>
  <si>
    <t xml:space="preserve"> - príjmy z predaja emisných povoleniek</t>
  </si>
  <si>
    <t>bez kvantifikácie</t>
  </si>
  <si>
    <t xml:space="preserve"> - zvýšenie príjmov Agentúry pre núdzové zásoby ropy</t>
  </si>
  <si>
    <t xml:space="preserve"> - príjmy zo spustenia 3. a 4. bloku elektrárne Mochovce</t>
  </si>
  <si>
    <t>2. Podhodnotenie výdavkov štátneho rozpočtu:</t>
  </si>
  <si>
    <t xml:space="preserve"> - mzdové výdavky ŠR (vrátane školstva)</t>
  </si>
  <si>
    <t xml:space="preserve"> - tovary a služby</t>
  </si>
  <si>
    <t xml:space="preserve"> - nové legislatívne opatrenia vlády kryté rezervou</t>
  </si>
  <si>
    <t xml:space="preserve"> - investičná pomoc JLR</t>
  </si>
  <si>
    <t xml:space="preserve"> - kapitálové výdavky</t>
  </si>
  <si>
    <t>3. Podhodnotenie výdavkov v zdravotníctve:</t>
  </si>
  <si>
    <t xml:space="preserve"> - výdavky na zdravotnú starostlivosť </t>
  </si>
  <si>
    <t xml:space="preserve"> - hospodárenie nemocníc</t>
  </si>
  <si>
    <t xml:space="preserve"> - splátky záväzkov voči akcionárom súkromných zdravotných poisťovní</t>
  </si>
  <si>
    <t>4. Podhodnotenie výdavkov ostatných subjektov VS:</t>
  </si>
  <si>
    <t xml:space="preserve"> - samosprávy</t>
  </si>
  <si>
    <t xml:space="preserve"> - správny fond Sociálnej poisťovne</t>
  </si>
  <si>
    <t xml:space="preserve"> - ŽSSK (tovary a služby)</t>
  </si>
  <si>
    <t>5. Vyššie výdavky na spolufinancovanie</t>
  </si>
  <si>
    <t>6. Nižšie daňové príjmy</t>
  </si>
  <si>
    <t>P.2</t>
  </si>
  <si>
    <t xml:space="preserve"> - príjmy zo zavedenia e-kasy a nanomarkerov</t>
  </si>
  <si>
    <t xml:space="preserve"> - príjmy z odvodu obchodných reťazcov</t>
  </si>
  <si>
    <t xml:space="preserve"> - vplyv čerpania EÚ fondov</t>
  </si>
  <si>
    <t xml:space="preserve"> - ostatné daňové príjmy</t>
  </si>
  <si>
    <t>7. Korekcie voči fondom EÚ</t>
  </si>
  <si>
    <t>bez kvantifikácie (negatívny vplyv 1,5 mld. eur po roku 2021)</t>
  </si>
  <si>
    <t>Zdroje krytia rizík:</t>
  </si>
  <si>
    <t>1. Krytie rizík z rezerv:</t>
  </si>
  <si>
    <t xml:space="preserve"> - rezerva na riešenie vplyvov nových zákonných úprav</t>
  </si>
  <si>
    <t xml:space="preserve"> - rezerva na mzdy a poistné</t>
  </si>
  <si>
    <t xml:space="preserve"> - rezerva na prostriedky EÚ a odvody EÚ</t>
  </si>
  <si>
    <t xml:space="preserve"> - rezerva v zdravotníctve (štátom platené poistné)</t>
  </si>
  <si>
    <t xml:space="preserve"> - rezerva na významné investície</t>
  </si>
  <si>
    <t xml:space="preserve"> - rezerva na zhoršenie daňových a nedaňových príjmov</t>
  </si>
  <si>
    <t xml:space="preserve"> - rezerva na rok 2019</t>
  </si>
  <si>
    <t xml:space="preserve"> - rezerva na vývoj ekonomického cyklu</t>
  </si>
  <si>
    <t>2. Viazanie výdavkov z odvodu obchodných reťazcov</t>
  </si>
  <si>
    <t>Zmeny úrok. nákladov z dôvodu rizík a zdrojov ich krytia</t>
  </si>
  <si>
    <t>Pozn.: znamienka vyjadrujú vplyv na saldo VS</t>
  </si>
  <si>
    <t>Zdroj: RRZ</t>
  </si>
  <si>
    <t>Tab 9: Riziká v rokoch 2019 až 2021 (ESA2010, mil. eur)</t>
  </si>
  <si>
    <t>8. Výdavky v rezorte obrany podliehajúce utajeniu</t>
  </si>
  <si>
    <t>9. Rekapitalizácia dlhodobo stratových štátnych podnikov</t>
  </si>
  <si>
    <t>Tab 10: Zdroje krytia rizík v rokoch 2019 až 2021 (ESA2010, mil. eur)</t>
  </si>
  <si>
    <t>Zdroj: MF SR, RRZ</t>
  </si>
  <si>
    <t>HDP - VpMP</t>
  </si>
  <si>
    <t>1. Prognóza hrubého dlhu VS</t>
  </si>
  <si>
    <t>2. Dodatočná zmena dlhu:</t>
  </si>
  <si>
    <r>
      <t xml:space="preserve"> - riziká a zdroje ich krytia s vplyvom na saldo VS</t>
    </r>
    <r>
      <rPr>
        <sz val="9"/>
        <color rgb="FF13B5EA"/>
        <rFont val="Constantia"/>
        <family val="1"/>
        <charset val="238"/>
      </rPr>
      <t>*</t>
    </r>
  </si>
  <si>
    <t xml:space="preserve"> - oddlžovanie v zdravotníctve</t>
  </si>
  <si>
    <t xml:space="preserve"> - dodatočné hotovostné úrokové náklady</t>
  </si>
  <si>
    <t xml:space="preserve">3. Hrubý dlh VS po zohľadnení rizík </t>
  </si>
  <si>
    <t xml:space="preserve"> - vplyv revízie HDP (p.b.)</t>
  </si>
  <si>
    <t xml:space="preserve"> - hrubý dlh v % HDP po zohľadnení rizík</t>
  </si>
  <si>
    <t>* Na účely odhadu vplyvu na hrubý dlh sa zohľadnili hotovostné vplyvy rizík (nebrali sa do úvahy akrualizačné položky príjmov z predaja emisných kvót a zohľadnili sa príjmy z dividend z mimoriadneho zisku).</t>
  </si>
  <si>
    <t>Zdroj: ŠÚ SR, MF SR, RRZ</t>
  </si>
  <si>
    <t>Revidované HDP</t>
  </si>
  <si>
    <t>Tab 11: Riziká spojené s dosiahnutím rozpočtových cieľov (ESA2010, mil. eur)</t>
  </si>
  <si>
    <t>* V roku 2018 ide o cieľ schválený v Rozpočte verejnej správy na roky 2018 až 2020.</t>
  </si>
  <si>
    <t>** Po zohľadnení vplyvu revízie HDP na prognózu.</t>
  </si>
  <si>
    <r>
      <t>1. Rozpočtové ciele</t>
    </r>
    <r>
      <rPr>
        <sz val="9"/>
        <color rgb="FF13B5EA"/>
        <rFont val="Constantia"/>
        <family val="1"/>
        <charset val="238"/>
      </rPr>
      <t>*</t>
    </r>
  </si>
  <si>
    <t>2. Veľkosť kvantifikovaných rizík</t>
  </si>
  <si>
    <t>3. Veľkosť možných zdrojov krytia rizík</t>
  </si>
  <si>
    <t>4. Saldo VS po zohľadnení rizík RRZ (1+2+3)</t>
  </si>
  <si>
    <r>
      <t>5. Potreba dodatočných opatrení (1-4)</t>
    </r>
    <r>
      <rPr>
        <sz val="9"/>
        <color rgb="FF13B5EA"/>
        <rFont val="Constantia"/>
        <family val="1"/>
        <charset val="238"/>
      </rPr>
      <t>**</t>
    </r>
  </si>
  <si>
    <t>p.m. 1 Výnos 10-ročného štátneho dlhopisu (VpMP, sep. 2018)</t>
  </si>
  <si>
    <t>p.m. 2 Hranica prvého sankčného pásma ústavného zákona</t>
  </si>
  <si>
    <t>Tab 12: Predpoklady vývoja hrubého dlhu verejnej správy (mil. eur)</t>
  </si>
  <si>
    <t>Saldo VS</t>
  </si>
  <si>
    <t xml:space="preserve"> - medzispotreba</t>
  </si>
  <si>
    <t xml:space="preserve"> - sociálne platby</t>
  </si>
  <si>
    <t xml:space="preserve"> - úroky</t>
  </si>
  <si>
    <t xml:space="preserve"> - spolufinancovanie</t>
  </si>
  <si>
    <t>kumulatívne</t>
  </si>
  <si>
    <t>Medziročná zmena salda v NPC scenári</t>
  </si>
  <si>
    <t>Dane</t>
  </si>
  <si>
    <t>Nedaňové príjmy</t>
  </si>
  <si>
    <t>Sociálne platby</t>
  </si>
  <si>
    <t>Prev. výdavky</t>
  </si>
  <si>
    <t>Dotácie a ost. transfery</t>
  </si>
  <si>
    <t xml:space="preserve">Úroky </t>
  </si>
  <si>
    <t>1. NPC saldo VS</t>
  </si>
  <si>
    <t>2. Návrh rozpočtu VS</t>
  </si>
  <si>
    <t>3. Veľkosť opatrení (2-1)</t>
  </si>
  <si>
    <t xml:space="preserve"> - z toho: riziká identifikované RRZ</t>
  </si>
  <si>
    <t>riziká</t>
  </si>
  <si>
    <t>Celkové zmeny</t>
  </si>
  <si>
    <t>Výdavkové opatrenia</t>
  </si>
  <si>
    <t>Mzdy</t>
  </si>
  <si>
    <t>Medzispotreba</t>
  </si>
  <si>
    <t>Investície</t>
  </si>
  <si>
    <t>Spolufinancovanie</t>
  </si>
  <si>
    <t>Graf 18: Príspevky k medziročnej zmene salda v NPC scenári (p. b.)</t>
  </si>
  <si>
    <t>Graf 18: Príspevky k medziročnej zmene salda v NPC scenári (perc. body)</t>
  </si>
  <si>
    <t>Graf 19: Vplyvy opatrení zapracovaných v návrhu rozpočtu v roku 2019 (% HDP)</t>
  </si>
  <si>
    <t>Pozn.: (+) zlepšuje saldo, (-) zhoršuje saldo VS                       Zdroj: RRZ</t>
  </si>
  <si>
    <t>Tab 13: Veľkosť opatrení v návrhu rozpočtu (% HDP)</t>
  </si>
  <si>
    <t>Pozn.: v roku 2018 ide o porovnanie odhadu RRZ s odhadom vlády, odhad roku 2018 bol východiskom zostavenia NPC scenára. V riadku 3 môžu vzniknúť rozdiely z dôvodu zaokrúhľovania.                                                                                                   Zdroj: RRZ, MF SR</t>
  </si>
  <si>
    <t>Dlh k 1.1.</t>
  </si>
  <si>
    <t>Zmena dlhu v prognóze MFSR</t>
  </si>
  <si>
    <t>Chyba v prognóze dlhu MF SR</t>
  </si>
  <si>
    <t>Primárne saldo v NPC</t>
  </si>
  <si>
    <t>Úrokové náklady v NPC (zmena oproti MFSR)</t>
  </si>
  <si>
    <t>Hotovostná rezerva na úrovni 4 mesiacov</t>
  </si>
  <si>
    <t>Jednorazové príjmy</t>
  </si>
  <si>
    <t>NPC Dlh k 31.12.</t>
  </si>
  <si>
    <t>HDP VpMP</t>
  </si>
  <si>
    <t>HDP NPC scenár</t>
  </si>
  <si>
    <t xml:space="preserve"> - EU fondy</t>
  </si>
  <si>
    <t>kumul</t>
  </si>
  <si>
    <t>Medziročné zmeny</t>
  </si>
  <si>
    <t>Dlh v NPC scenári</t>
  </si>
  <si>
    <t>Opatrenia vlády (vrátane obrany)</t>
  </si>
  <si>
    <t>Ostatné vplyvy</t>
  </si>
  <si>
    <t>Prognóza vlády</t>
  </si>
  <si>
    <t>Dlh VS (prognóza MFSR)</t>
  </si>
  <si>
    <t>Dlh VS v % HDP (prognóza MF SR)</t>
  </si>
  <si>
    <t>HDP revidované</t>
  </si>
  <si>
    <r>
      <t>Graf 20: Porovnanie prognózy dlhu MF SR s NPC scenárom RRZ</t>
    </r>
    <r>
      <rPr>
        <sz val="9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</si>
  <si>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r>
      <t>Zdroj:</t>
    </r>
    <r>
      <rPr>
        <i/>
        <sz val="8"/>
        <color rgb="FF13B5EA"/>
        <rFont val="Constantia"/>
        <family val="1"/>
        <charset val="238"/>
      </rPr>
      <t xml:space="preserve"> </t>
    </r>
    <r>
      <rPr>
        <i/>
        <sz val="8"/>
        <color rgb="FF00B0F0"/>
        <rFont val="Constantia"/>
        <family val="1"/>
        <charset val="238"/>
      </rPr>
      <t>MF SR, RRZ</t>
    </r>
  </si>
  <si>
    <r>
      <t>Graf 21: Príspevky k medziročnej zmene dlhu v prognóze MF SR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(p. b.)</t>
    </r>
  </si>
  <si>
    <t>2018 O</t>
  </si>
  <si>
    <t>2019 O</t>
  </si>
  <si>
    <t>2020 O</t>
  </si>
  <si>
    <t>2021 O</t>
  </si>
  <si>
    <t>1. Hrubý dlh</t>
  </si>
  <si>
    <t>3. Čistý dlh (1-2)</t>
  </si>
  <si>
    <t>Zdroj: MF SR, ŠÚ SR</t>
  </si>
  <si>
    <t>1. Jednorazové hotovostné vplyvy na saldo VS</t>
  </si>
  <si>
    <t xml:space="preserve"> - zvýšenie nezdaniteľnej časti základu dane DPFO</t>
  </si>
  <si>
    <t>-</t>
  </si>
  <si>
    <t xml:space="preserve"> - príjmy Sociálnej poisťovne z oddlženia zdravotníctva </t>
  </si>
  <si>
    <t xml:space="preserve"> - príjmy z predaja telekomunikačných licencií</t>
  </si>
  <si>
    <t xml:space="preserve"> - náklady spojené so suchom/povodňami</t>
  </si>
  <si>
    <t xml:space="preserve"> - mimoriadny odvod v bankovom sektore</t>
  </si>
  <si>
    <t xml:space="preserve"> - dividendy nad rámec zisku z riadnej činnosti</t>
  </si>
  <si>
    <t xml:space="preserve"> - doplatok dôchodkov ozbrojeným zložkám</t>
  </si>
  <si>
    <t xml:space="preserve"> - pokuta protimonopolného úradu</t>
  </si>
  <si>
    <t xml:space="preserve"> - prepočet odvodu do rozpočtu EÚ</t>
  </si>
  <si>
    <t xml:space="preserve"> - splátka NFV Vodohospodárska výstavba</t>
  </si>
  <si>
    <t xml:space="preserve">    - vratky domácnostiam za spotrebu plynu</t>
  </si>
  <si>
    <t>2. Ostatné jednorazové vplyvy (bez vplyvu na saldo)</t>
  </si>
  <si>
    <t xml:space="preserve"> - jednorazový vplyv otvorenia II. piliera dôchodkového systému</t>
  </si>
  <si>
    <t xml:space="preserve"> - privatizácia/odkúpenie podielov</t>
  </si>
  <si>
    <t xml:space="preserve"> - príjmy zo splátky NFV od Vodohospodárskej výstavby</t>
  </si>
  <si>
    <t xml:space="preserve"> - príjmy zo splátky NFV od spoločnosti Cargo</t>
  </si>
  <si>
    <t xml:space="preserve">    - osobitný odvod z podnikania v regulovaných odvetviach</t>
  </si>
  <si>
    <t>3. Vplyvy čerpania a preplácania EÚ fondov</t>
  </si>
  <si>
    <t xml:space="preserve"> - zahrnuté v rozpočte</t>
  </si>
  <si>
    <t xml:space="preserve"> - korekcie k EÚ fondom</t>
  </si>
  <si>
    <t xml:space="preserve"> - nezahrnuté v rozpočte (preddavky)</t>
  </si>
  <si>
    <t>4. Zmeny v hotovosti bez vplyvu na čisté bohatstvo (1+2+3)</t>
  </si>
  <si>
    <t>Pozn.: (+) zvyšuje a (-) znižuje hotovosť na účtoch verejnej správy</t>
  </si>
  <si>
    <t>Zdroj: RRZ, MF SR, ŠÚ SR</t>
  </si>
  <si>
    <t>2. Likvidné finančné aktíva</t>
  </si>
  <si>
    <t>4. Hotovosť neovplyvňujúca čisté bohatstvo</t>
  </si>
  <si>
    <t>5. Dlh bez jednorazových vplyvov (3-4)</t>
  </si>
  <si>
    <t xml:space="preserve"> - vplyv EFSF</t>
  </si>
  <si>
    <t xml:space="preserve"> - ostatné vplyvy</t>
  </si>
  <si>
    <t>Hrubý dlh VS (% HDP)</t>
  </si>
  <si>
    <t>Skutočnosť</t>
  </si>
  <si>
    <t>Odhad vlády</t>
  </si>
  <si>
    <t>Odhad RRZ</t>
  </si>
  <si>
    <r>
      <t>Graf 24: Vývoj hrubého dlhu VS</t>
    </r>
    <r>
      <rPr>
        <sz val="10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</si>
  <si>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r>
      <t>Graf 25: Medziročná zmena dlhu</t>
    </r>
    <r>
      <rPr>
        <sz val="10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</si>
  <si>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EK (jeseň 2018)</t>
  </si>
  <si>
    <t>RRZ</t>
  </si>
  <si>
    <t>OECD (jún 2018)</t>
  </si>
  <si>
    <t>MMF (okt 2018)</t>
  </si>
  <si>
    <t>MF SR(DBP)</t>
  </si>
  <si>
    <t xml:space="preserve">Graf 26: Saldo VS v rokoch 2016 až 2021 (ESA2010, % HDP) </t>
  </si>
  <si>
    <t>Graf 27: Štrukturálne saldo VS v rokoch 2016 až 2021 (ESA2010, % HDP)</t>
  </si>
  <si>
    <t>Štrukturálne saldo</t>
  </si>
  <si>
    <t>Zdroj: RRZ, MF SR. OECD. MMF, EK</t>
  </si>
  <si>
    <t xml:space="preserve">1. Celkové výdavky </t>
  </si>
  <si>
    <t xml:space="preserve">2. Úrokové náklady </t>
  </si>
  <si>
    <t>3. Výdavky na EÚ programy plne kryté príjmami z fondov EÚ</t>
  </si>
  <si>
    <t xml:space="preserve"> - z toho: kapitálové výdavky na EÚ programy</t>
  </si>
  <si>
    <t>4. Tvorba hrubého fixného kapitálu (bez EÚ výdavkov)</t>
  </si>
  <si>
    <t>5. Tvorba hrubého fixného kapitálu (bez EÚ výdavkov, priemer za t-3 až t)</t>
  </si>
  <si>
    <t>6. Cyklické výdavky (nezamestnanosť, dôchodky)</t>
  </si>
  <si>
    <t>8. Primárny výdavkový agregát (1-2-3-4+5-6-7)</t>
  </si>
  <si>
    <t>9. Medziročná zmena primárneho výdavkového agregátu (8t-8t-1)</t>
  </si>
  <si>
    <t>10. Zmena v príjmoch z titulu diskrečných opatrení a metodiky vykazovania národných účtov</t>
  </si>
  <si>
    <t>11. Nominálny rast agregátu výdavkov očisteného o zmenu príjmov ((9t-10t)/8t-1)</t>
  </si>
  <si>
    <t>12. Medziročná zmena deflátora HDP</t>
  </si>
  <si>
    <t>13. Reálny medziročný rast agregátu výdavkov očisteného o zmenu príjmov (11-12)</t>
  </si>
  <si>
    <t>14. Miera potenciálneho rastu HDP</t>
  </si>
  <si>
    <t>1. RRZ</t>
  </si>
  <si>
    <t>Deflátor HDP</t>
  </si>
  <si>
    <t>Potenciálny rast HDP</t>
  </si>
  <si>
    <t>2. MF SR</t>
  </si>
  <si>
    <t>Zdroj: RRZ, Eurostat, MF SR</t>
  </si>
  <si>
    <t>3. Rozdiely (1-2, p.b.)</t>
  </si>
  <si>
    <t>4. Vplyv na výdavkové pravidlo (p.b.)*</t>
  </si>
  <si>
    <t>* Kladné číslo znamená, že pravidlo je menej prísne v prístupe RRZ.</t>
  </si>
  <si>
    <t>2016 S</t>
  </si>
  <si>
    <t>2017 S</t>
  </si>
  <si>
    <t>2019 NRVS</t>
  </si>
  <si>
    <t>15. Vplyv odchýlky na saldo v danom roku (14t-13t)*8t-1/HDPt</t>
  </si>
  <si>
    <t>p.m. THFK celkové</t>
  </si>
  <si>
    <t>7. Jednorazové výdavky</t>
  </si>
  <si>
    <t>Tab 15: Výdavkové pravidlo (ESA2010, mil. eur)</t>
  </si>
  <si>
    <t>Tab 16: Rozdiely vo výdavkovom pravidle (%)</t>
  </si>
  <si>
    <t>Tab 17: Vypracovanie makroekonomických a daňových prognóz výbormi v roku 2018</t>
  </si>
  <si>
    <t xml:space="preserve">1. </t>
  </si>
  <si>
    <t xml:space="preserve">2. </t>
  </si>
  <si>
    <t>3.</t>
  </si>
  <si>
    <t>Povinný termín do 15.2.</t>
  </si>
  <si>
    <t>Povinný termín do 30.6.</t>
  </si>
  <si>
    <t>Výbor pre makroekonomické prognózy</t>
  </si>
  <si>
    <t>zasadnutie VpMP</t>
  </si>
  <si>
    <t>zverejnenie prognóz</t>
  </si>
  <si>
    <t>Výbor pre daňové prognózy</t>
  </si>
  <si>
    <t>zasadnutie VpDP</t>
  </si>
  <si>
    <t>Zdroj: MF SR</t>
  </si>
  <si>
    <t>Tab 23: Dividendy v rokoch 2018 až 2021 (ESA2010, mil. eur)</t>
  </si>
  <si>
    <t>2019 N</t>
  </si>
  <si>
    <t>2020 N</t>
  </si>
  <si>
    <t>2021 N</t>
  </si>
  <si>
    <t>RVS </t>
  </si>
  <si>
    <t>RRZ </t>
  </si>
  <si>
    <t>Slovenský plynárenský priemysel, a.s.</t>
  </si>
  <si>
    <t>Príjmy z dividend:</t>
  </si>
  <si>
    <t xml:space="preserve">    - riadne dividendy</t>
  </si>
  <si>
    <t xml:space="preserve">    - mimoriadne dividendy</t>
  </si>
  <si>
    <r>
      <t>Východoslovenská energetika Holding, a.s.</t>
    </r>
    <r>
      <rPr>
        <b/>
        <sz val="9"/>
        <color theme="1"/>
        <rFont val="Constantia"/>
        <family val="1"/>
        <charset val="238"/>
      </rPr>
      <t> </t>
    </r>
  </si>
  <si>
    <t>Suma riadnych dividend podľa ESA2010</t>
  </si>
  <si>
    <t>Riziko voči návrhu rozpočtu (RRZ-RVS)</t>
  </si>
  <si>
    <t>O – odhad, N – návrh rozpočtu</t>
  </si>
  <si>
    <t>Zdroj: RRZ, MF SR</t>
  </si>
  <si>
    <t>Rok</t>
  </si>
  <si>
    <t>Pridelené kvóty</t>
  </si>
  <si>
    <t>Aukcionované kvóty</t>
  </si>
  <si>
    <t>Spotrebované kvóty</t>
  </si>
  <si>
    <t>Priem. cena aukcií</t>
  </si>
  <si>
    <t>Priem. cena spotrebovaných kvót</t>
  </si>
  <si>
    <t>Ročný daňový príjem</t>
  </si>
  <si>
    <t>Stav pohľadávok/záväzkov</t>
  </si>
  <si>
    <t>Stav aktívnych kvót</t>
  </si>
  <si>
    <t>k 1.1.</t>
  </si>
  <si>
    <t>k 31.12.</t>
  </si>
  <si>
    <t>mil. jedn.</t>
  </si>
  <si>
    <t>eur/t CO2</t>
  </si>
  <si>
    <t>3=2*8</t>
  </si>
  <si>
    <t>5=4*8</t>
  </si>
  <si>
    <t>7=6*8</t>
  </si>
  <si>
    <t>9=11/13</t>
  </si>
  <si>
    <t>10=6*9</t>
  </si>
  <si>
    <t>12=11+5-10</t>
  </si>
  <si>
    <t>14=13+2+4-6</t>
  </si>
  <si>
    <t>Zdroj: RRZ, ŠÚ SR</t>
  </si>
  <si>
    <t>2. Odhad RRZ</t>
  </si>
  <si>
    <t>3. Rozdiel (riziko výpadku príjmov)</t>
  </si>
  <si>
    <t>Tab 24: Odhad príjmov z emisných kvót v rokoch 2018 až 2020</t>
  </si>
  <si>
    <t>Tab 25: Odhad rizika z príjmov z emisných kvót v porovnaní s fiškálnym rámcom (mil. eur)</t>
  </si>
  <si>
    <t>1. Návrh rozpočtu verejnej správy na roky 2019 až 2021</t>
  </si>
  <si>
    <t>Výdavky zdravotného poistenia</t>
  </si>
  <si>
    <t>Splátky nerozdeleného zisku</t>
  </si>
  <si>
    <t>Návrh rozpočtu verejnej správy na roky 2018 až 2021</t>
  </si>
  <si>
    <t>Rozdiely (riziká):</t>
  </si>
  <si>
    <t xml:space="preserve"> - výdavky ZP</t>
  </si>
  <si>
    <t xml:space="preserve"> - nerozdelený zisk</t>
  </si>
  <si>
    <t>Zdroje krytia (rezerva)</t>
  </si>
  <si>
    <t>Výdavky ZP na zdravotnú starostlivosť (D.632 PAY)</t>
  </si>
  <si>
    <t xml:space="preserve">Medziročná zmena výdavkov: </t>
  </si>
  <si>
    <t xml:space="preserve"> - mzdové výdavky</t>
  </si>
  <si>
    <t xml:space="preserve"> - inflácia (nemzdové výdavky)</t>
  </si>
  <si>
    <t xml:space="preserve"> - vplyv starnutia</t>
  </si>
  <si>
    <t xml:space="preserve"> - opatrenia prijaté na rok 2019</t>
  </si>
  <si>
    <t>Pozn.: ide o vplyvy na saldo VS</t>
  </si>
  <si>
    <t>Tab 26: Vývoj výdavkov na zdravotnú starostlivosť podľa RRZ (ESA 2010, mil. eur)</t>
  </si>
  <si>
    <r>
      <t>Tab 27: Hospodárenie nemocníc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mil. eur)</t>
    </r>
  </si>
  <si>
    <t>Saldo nemocníc podľa RRZ</t>
  </si>
  <si>
    <t xml:space="preserve"> - jednorazový príjem v roku 2017</t>
  </si>
  <si>
    <t xml:space="preserve"> - vplyv oddlženia v rokoch 2018 a 2019</t>
  </si>
  <si>
    <t>Upravené saldo nemocníc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</si>
  <si>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</si>
  <si>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</si>
  <si>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</si>
  <si>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</si>
  <si>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</si>
  <si>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</si>
  <si>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</si>
  <si>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</si>
  <si>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</si>
  <si>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Zdravotná poisťovňa Dôvera</t>
  </si>
  <si>
    <t>Záväzky voči akcionárom a nerozdelený zisk k 1.1.</t>
  </si>
  <si>
    <t>Vyplatenie nerozdeleného zisku</t>
  </si>
  <si>
    <t>Vytvorený zisk/strata</t>
  </si>
  <si>
    <t>Splátky záväzkov voči akcionárom z úverov</t>
  </si>
  <si>
    <r>
      <t>Splátky záväzkov voči akcionárom formou dividend</t>
    </r>
    <r>
      <rPr>
        <sz val="9"/>
        <color rgb="FF13B5EA"/>
        <rFont val="Constantia"/>
        <family val="1"/>
      </rPr>
      <t>*</t>
    </r>
  </si>
  <si>
    <r>
      <t>Zníženie rezervného fondu</t>
    </r>
    <r>
      <rPr>
        <sz val="9"/>
        <color rgb="FF13B5EA"/>
        <rFont val="Constantia"/>
        <family val="1"/>
      </rPr>
      <t>*</t>
    </r>
  </si>
  <si>
    <t>Ostatné zmeny</t>
  </si>
  <si>
    <t>Záväzky voči akcionárom a nerozdelený zisk k 31.12.</t>
  </si>
  <si>
    <t xml:space="preserve"> - splátky úverov*</t>
  </si>
  <si>
    <t>Zdravotná poisťovňa Union</t>
  </si>
  <si>
    <r>
      <t>Nerozdelený zisk/strata k 1.1.</t>
    </r>
    <r>
      <rPr>
        <b/>
        <sz val="9"/>
        <color rgb="FF13B5EA"/>
        <rFont val="Constantia"/>
        <family val="1"/>
      </rPr>
      <t>**</t>
    </r>
  </si>
  <si>
    <t>Úhrada nerozdeleného zisku zo základného imania</t>
  </si>
  <si>
    <r>
      <t>Úhrada dividendy akcionárom</t>
    </r>
    <r>
      <rPr>
        <sz val="9"/>
        <color rgb="FF13B5EA"/>
        <rFont val="Constantia"/>
        <family val="1"/>
      </rPr>
      <t>*</t>
    </r>
  </si>
  <si>
    <t>Zvýšenie zákonného rezervného fondu zo zisku</t>
  </si>
  <si>
    <r>
      <t>Nerozdelený zisk/strata k 31.12.</t>
    </r>
    <r>
      <rPr>
        <b/>
        <sz val="9"/>
        <color rgb="FF13B5EA"/>
        <rFont val="Constantia"/>
        <family val="1"/>
      </rPr>
      <t>**</t>
    </r>
  </si>
  <si>
    <t>* vplyv na saldo VS</t>
  </si>
  <si>
    <t>Zdroj: ÚDZS, výročné správy ZP Dôvera, výročné správy ZP Union</t>
  </si>
  <si>
    <t>** vlastné imanie znížené o základné imanie a zákonný rezervný fond</t>
  </si>
  <si>
    <r>
      <t>Tab 28: Vývoj nerozdelených ziskov súkromných zdravotných poisťovní</t>
    </r>
    <r>
      <rPr>
        <b/>
        <sz val="10"/>
        <color rgb="FF13B5EA"/>
        <rFont val="Times New Roman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</si>
  <si>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>Tab 29: Odhad rizika voči návrhu rozpočtu (mil. eur)</t>
  </si>
  <si>
    <t>2018*</t>
  </si>
  <si>
    <r>
      <t>Hospodárenie nemocníc</t>
    </r>
    <r>
      <rPr>
        <sz val="9"/>
        <color rgb="FF13B5EA"/>
        <rFont val="Constantia"/>
        <family val="1"/>
        <charset val="238"/>
      </rPr>
      <t>**</t>
    </r>
  </si>
  <si>
    <t>** po zohľadnení transferu zo štátnych finančných aktív na oddlženie</t>
  </si>
  <si>
    <t>Štátom platené poistné v NRVS 2019-2021</t>
  </si>
  <si>
    <t>Štátom platené poistné pri naplnení rizík</t>
  </si>
  <si>
    <t>* Rozpočet na rok 2018 uvažoval s výdavkami zdravotného poistenia vo výške 4 467 mil. eur, splátkami nerozdeleného zisku vo výške 23 mil. eur a deficitom nemocníc vo výške 17 mil. eur.     Zdroj: RRZ, MF SR</t>
  </si>
  <si>
    <t>1. Štátny rozpočet - návrh rozpočtu (bez rezerv, bez školstva)</t>
  </si>
  <si>
    <t>2. Štátny rozpočet - odhad RRZ</t>
  </si>
  <si>
    <t xml:space="preserve"> - mzdové výdavky ŠR</t>
  </si>
  <si>
    <r>
      <t xml:space="preserve"> - transfery školstvo, samosprávy</t>
    </r>
    <r>
      <rPr>
        <sz val="9"/>
        <color rgb="FF13B5EA"/>
        <rFont val="Constantia"/>
        <family val="1"/>
      </rPr>
      <t>*</t>
    </r>
  </si>
  <si>
    <t>3. Veľkosť rizík - vplyv na saldo (1-2)</t>
  </si>
  <si>
    <t>* vo výške vytvorenej rezervy</t>
  </si>
  <si>
    <t>3. Veľkosť rizík - vplyv na saldo (2-1)</t>
  </si>
  <si>
    <t>prognózovaná miera inflácie (%)</t>
  </si>
  <si>
    <t>Zdroj: MF SR, RRZ, ŠÚ SR</t>
  </si>
  <si>
    <t>Ide o výdavky štátneho rozpočtu a mimorozpočtových účtov na položke ekonomickej klasifikácie 630 bez rozpočtovaných rezerv, výdavkov financovaných z EÚ fondov a spolufinancovania.</t>
  </si>
  <si>
    <t>Tab 31: Riziká v mzdových výdavkoch štátneho rozpočtu (mil. eur)</t>
  </si>
  <si>
    <t>Tab 32: Riziká vo výdavkoch štátneho rozpočtu na tovary a služby (mil. eur)</t>
  </si>
  <si>
    <t>1. Skutočnosť / Návrh rozpočtu (bez výdavkov na rezervy)</t>
  </si>
  <si>
    <t>Indexy</t>
  </si>
  <si>
    <t>Súkromný sektor</t>
  </si>
  <si>
    <t>Štátne RO - odhad RRZ</t>
  </si>
  <si>
    <t>Priemer RRZ</t>
  </si>
  <si>
    <t>Kapitálové výdavky (bez obrany)</t>
  </si>
  <si>
    <t>Riziká</t>
  </si>
  <si>
    <t>1. Návrh rozpočtu</t>
  </si>
  <si>
    <t>3. Veľkosť rizík (1-2)</t>
  </si>
  <si>
    <t>Graf 35: Porovnanie vývoja miezd v štátnom rozpočte a súkromnom sektore (2009=100)</t>
  </si>
  <si>
    <t>(% HDP)</t>
  </si>
  <si>
    <r>
      <t>Graf 36: Riziká v kapitálových výdavkoch</t>
    </r>
    <r>
      <rPr>
        <sz val="6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</si>
  <si>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 xml:space="preserve"> Zdroj: MF SR, RRZ</t>
  </si>
  <si>
    <t>* klasifikácia COFOG 02</t>
  </si>
  <si>
    <t>Tab 33: Odhad rizika pri kapitálových výdavkoch štátneho rozpočtu (mil. eur, bez obrany*)</t>
  </si>
  <si>
    <t>položka ESA</t>
  </si>
  <si>
    <t>metodika</t>
  </si>
  <si>
    <t>spolu</t>
  </si>
  <si>
    <t>2019 NPC</t>
  </si>
  <si>
    <t>2020 NPC</t>
  </si>
  <si>
    <t>2021 NPC</t>
  </si>
  <si>
    <t>Príjmy VS</t>
  </si>
  <si>
    <t>D.2 R, D.5 R, D.91 R, D.6 R</t>
  </si>
  <si>
    <t>TR</t>
  </si>
  <si>
    <t>Tržby</t>
  </si>
  <si>
    <t>P.11+P.12+P.131</t>
  </si>
  <si>
    <t>Dane z výroby a dovozov</t>
  </si>
  <si>
    <t>D.2 R</t>
  </si>
  <si>
    <t>Príjmy z majetku</t>
  </si>
  <si>
    <t>D.4 R</t>
  </si>
  <si>
    <t>Bežné dane z príjmu, majetku, atď.</t>
  </si>
  <si>
    <t>D.5 R</t>
  </si>
  <si>
    <t>Bežné a kapitálové transfery</t>
  </si>
  <si>
    <t>D.7 R</t>
  </si>
  <si>
    <t>Kapitálové dane</t>
  </si>
  <si>
    <t>D.91 R</t>
  </si>
  <si>
    <t>Výdavky VS</t>
  </si>
  <si>
    <t>Sociálne príspevky</t>
  </si>
  <si>
    <t>D.61 R</t>
  </si>
  <si>
    <t>Kompenzácie zamestnancov</t>
  </si>
  <si>
    <t>D.1 P</t>
  </si>
  <si>
    <t>D.62 P</t>
  </si>
  <si>
    <t>Príjmy z EÚ fondov</t>
  </si>
  <si>
    <t>D.7 R, D.9 R</t>
  </si>
  <si>
    <t>Dotácie</t>
  </si>
  <si>
    <t>D.3 P</t>
  </si>
  <si>
    <t>Ostatné prijaté transfery</t>
  </si>
  <si>
    <t xml:space="preserve">Úrokové výdavky </t>
  </si>
  <si>
    <t>D.41 P</t>
  </si>
  <si>
    <t>TE</t>
  </si>
  <si>
    <t>Bežné transfery</t>
  </si>
  <si>
    <t>D.7 P, D.29 P, D.51 P, NP</t>
  </si>
  <si>
    <t xml:space="preserve">Tvorba hrubého fixného kapitálu </t>
  </si>
  <si>
    <t>P.51 G</t>
  </si>
  <si>
    <t>Kapitálové transfery</t>
  </si>
  <si>
    <t>D.9 P</t>
  </si>
  <si>
    <t>Sociálne platby (bez výdavkov na zdravotníctvo)</t>
  </si>
  <si>
    <t>Výdavky na zdravotníctvo</t>
  </si>
  <si>
    <t>D.632 P</t>
  </si>
  <si>
    <t>Bežné transfery a ostatné výdavky</t>
  </si>
  <si>
    <t>D.2 P, D.5 P, D.7 P, P.5 M, NP</t>
  </si>
  <si>
    <t>Primárne saldo VS</t>
  </si>
  <si>
    <t>Hrubý dlh VS</t>
  </si>
  <si>
    <t>2018 O (upr.)*</t>
  </si>
  <si>
    <t>Rozdiel**</t>
  </si>
  <si>
    <t>Bežné dane z príjmu, majetku</t>
  </si>
  <si>
    <t>Sociálne platby (bez výd. na zdravot.)</t>
  </si>
  <si>
    <t>* upravené o jednorazové vplyvy</t>
  </si>
  <si>
    <t xml:space="preserve">** rozdiely voči návrhu rozpočtu sú očistené o nerozpočtované položky </t>
  </si>
  <si>
    <t>Rozdelenie podľa fondov</t>
  </si>
  <si>
    <t xml:space="preserve"> - štrukturálne fondy a Kohézny fond</t>
  </si>
  <si>
    <t xml:space="preserve"> - poľnohospodárske fondy</t>
  </si>
  <si>
    <t>Rozdelenie podľa konečného príjemcu</t>
  </si>
  <si>
    <t xml:space="preserve"> - verejná správa</t>
  </si>
  <si>
    <t xml:space="preserve"> - subjekty mimo verejnej správy</t>
  </si>
  <si>
    <t>Výdavky na spolufinancovanie</t>
  </si>
  <si>
    <t>ESA</t>
  </si>
  <si>
    <t>Príjmy SP z oddlženia v zdravotníctve</t>
  </si>
  <si>
    <t>D.6 REC</t>
  </si>
  <si>
    <t>Pokles záväzkov nemocníc z dôvodu oddlženia</t>
  </si>
  <si>
    <t>Kapitálový transfer ŠFA na oddlženie</t>
  </si>
  <si>
    <t>D.9 PAY</t>
  </si>
  <si>
    <t>Imputácia DPH z PPP projektu</t>
  </si>
  <si>
    <t>Vplyv volieb v obciach na investície</t>
  </si>
  <si>
    <t>Spolu (vplyv na saldo VS)</t>
  </si>
  <si>
    <t>Tab 34: Prehľad zmien v porovnaní s odhadom MF SR na rok 2018</t>
  </si>
  <si>
    <t>Tab 35: Zoznam jednorazových vplyvov v NPC scenári (% HDP)</t>
  </si>
  <si>
    <t>Tab 35: Zoznam jednorazových vplyvov v NPC scenári (mil. eur)</t>
  </si>
  <si>
    <t>Tab 36: Predpoklady čerpania fondov EÚ v NPC scenári RRZ (% HDP)</t>
  </si>
  <si>
    <t>Tab 37: Porovnanie NPC scenára vývoja verejných financií (mil. eur)</t>
  </si>
  <si>
    <t>Tab 37: Porovnanie NPC scenára vývoja verejných financií RRZ (% HDP)</t>
  </si>
  <si>
    <t>Tab 38: Príspevky k medziročnej zmene salda v NPC scenári (perc. body)</t>
  </si>
  <si>
    <t>Tab 39: Zmeny v hotovosti s nulovým alebo dočasným vplyvom na čisté bohatstvo (mil. eur)</t>
  </si>
  <si>
    <r>
      <t>Tab 40: Prehľad vývoja dlhu do roku 2021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(medziročné zmeny, % HDP)</t>
    </r>
  </si>
  <si>
    <t>Tab 46: Príjmy podľa odhadu RRZ (ESA2010, mil. eur)</t>
  </si>
  <si>
    <t>Tab 47: Výdavky podľa odhadu RRZ (ESA2010, mil. eur)</t>
  </si>
  <si>
    <t>Celkové príjmy</t>
  </si>
  <si>
    <t>Celkové výdavky</t>
  </si>
  <si>
    <t xml:space="preserve"> - EÚ príjmy</t>
  </si>
  <si>
    <t xml:space="preserve"> - EÚ výdavky</t>
  </si>
  <si>
    <t xml:space="preserve"> - Poistné platené štátom + SP</t>
  </si>
  <si>
    <t xml:space="preserve"> - Spolufinancovanie</t>
  </si>
  <si>
    <t xml:space="preserve"> - imputované poistné</t>
  </si>
  <si>
    <t xml:space="preserve"> - Platené úroky</t>
  </si>
  <si>
    <t>Upravené príjmy</t>
  </si>
  <si>
    <t xml:space="preserve"> - Imputované poistné (kompenzácie)</t>
  </si>
  <si>
    <t xml:space="preserve"> - daň z pridanej hodnoty</t>
  </si>
  <si>
    <t xml:space="preserve"> - Odvody do rozpočtu EÚ</t>
  </si>
  <si>
    <t xml:space="preserve"> - spotrebné dane</t>
  </si>
  <si>
    <t>Upravené výdavky</t>
  </si>
  <si>
    <t xml:space="preserve"> - daň z nehnuteľností 67/100</t>
  </si>
  <si>
    <t>Prevádzkové</t>
  </si>
  <si>
    <t xml:space="preserve"> - daň z motorových vozidiel</t>
  </si>
  <si>
    <t xml:space="preserve"> - úhrada za služby verejnosti 15/100</t>
  </si>
  <si>
    <t xml:space="preserve"> - osobitný odvod vybraných fin. inštitúcií</t>
  </si>
  <si>
    <t xml:space="preserve"> - odvod z hazardných hier do štátneho rozpočtu</t>
  </si>
  <si>
    <t>Dané legislatívou</t>
  </si>
  <si>
    <t xml:space="preserve"> - dane za špecifické služby</t>
  </si>
  <si>
    <t>Sociálne transfery</t>
  </si>
  <si>
    <t xml:space="preserve"> - príjmy z emisných kvót</t>
  </si>
  <si>
    <t>Aktívne opatrenia trhu práce</t>
  </si>
  <si>
    <t xml:space="preserve"> - príspevok do Národného rezolučného fondu</t>
  </si>
  <si>
    <t>Nemocenské dávky</t>
  </si>
  <si>
    <t xml:space="preserve"> - daň z poistenia</t>
  </si>
  <si>
    <t>Dôchodkové dávky zo starobného a invalidného poistenia</t>
  </si>
  <si>
    <t xml:space="preserve"> - odvod z PZP</t>
  </si>
  <si>
    <t>Dávky v nezamestnanosti</t>
  </si>
  <si>
    <t xml:space="preserve"> - ostatné</t>
  </si>
  <si>
    <t>Štátne sociálne dávky a podpora</t>
  </si>
  <si>
    <t>Dôchodkový systém ozbrojených zložiek</t>
  </si>
  <si>
    <t xml:space="preserve"> - daň z príjmov fyzických osôb</t>
  </si>
  <si>
    <t>Daňový bonus a zamestnanecká prémia</t>
  </si>
  <si>
    <t xml:space="preserve"> - daň z príjmov právnickej osoby</t>
  </si>
  <si>
    <t>Imputované sociálne transfery</t>
  </si>
  <si>
    <t xml:space="preserve"> - daň z príjmov vyberaná zrážkou</t>
  </si>
  <si>
    <t>2% z daní na verejnoprospešný účel</t>
  </si>
  <si>
    <t xml:space="preserve"> - daň z nehnuteľností 33/100</t>
  </si>
  <si>
    <t>Príspevok do Národného rezolučného fondu</t>
  </si>
  <si>
    <t xml:space="preserve"> - úhrada za služby verejnosti 85/100</t>
  </si>
  <si>
    <t>Ostatné bežné</t>
  </si>
  <si>
    <t xml:space="preserve"> - osobitný odvod z podnikania v reg. odvetviach</t>
  </si>
  <si>
    <t>Subvencie</t>
  </si>
  <si>
    <t>Ostatné sociálne transfery</t>
  </si>
  <si>
    <t>Ostatné bežné transfery</t>
  </si>
  <si>
    <t>Naturálne sociálne transfery</t>
  </si>
  <si>
    <t xml:space="preserve"> - Sociálne poistenie EAO + dlžné </t>
  </si>
  <si>
    <t>Kapitálové výdavky</t>
  </si>
  <si>
    <t xml:space="preserve"> - Zdravotné poistenie EAO + dlžné</t>
  </si>
  <si>
    <t>Kapitálové investície</t>
  </si>
  <si>
    <t xml:space="preserve"> - ozbrojené zložky</t>
  </si>
  <si>
    <t>Kapitálové transfery a ostatné</t>
  </si>
  <si>
    <t xml:space="preserve"> - dividendy</t>
  </si>
  <si>
    <t>Zdroj: ŠÚSR, MF SR, RRZ</t>
  </si>
  <si>
    <t xml:space="preserve"> - NDS, ŽSR, ŽSSK</t>
  </si>
  <si>
    <t xml:space="preserve"> - nemocnice</t>
  </si>
  <si>
    <t>Návrh RVS 2019-2021</t>
  </si>
  <si>
    <t>RRZ NPC</t>
  </si>
  <si>
    <t>Rozdiely</t>
  </si>
  <si>
    <t>Rozdiely v roku 2019 na porovnateľnej báze</t>
  </si>
  <si>
    <t>(v metodike ESA 2010, v mil. eur)</t>
  </si>
  <si>
    <t>ESA kódy</t>
  </si>
  <si>
    <t>2017S</t>
  </si>
  <si>
    <t>2018 OS</t>
  </si>
  <si>
    <t>2018 úpravy</t>
  </si>
  <si>
    <t>2018 OS báza</t>
  </si>
  <si>
    <t>2019 NPC - 2018 OS bez OO</t>
  </si>
  <si>
    <t>2019 N (upr)</t>
  </si>
  <si>
    <t>rozdiely</t>
  </si>
  <si>
    <t>v % HDP</t>
  </si>
  <si>
    <t>one-offs</t>
  </si>
  <si>
    <t>Príjmy spolu</t>
  </si>
  <si>
    <t>D.2R</t>
  </si>
  <si>
    <t xml:space="preserve"> - osobitný odvod vybraných finančných inštitúcií</t>
  </si>
  <si>
    <t xml:space="preserve"> - odvod z hazardných hier (iba ŠR)</t>
  </si>
  <si>
    <t xml:space="preserve"> - príjmy Fondu ochrany vkladov a Garančného fondu investícií</t>
  </si>
  <si>
    <t xml:space="preserve"> - poplatok za udržiavanie ropných zásob (EOSA)</t>
  </si>
  <si>
    <t xml:space="preserve"> - odvod/daň z poistenia</t>
  </si>
  <si>
    <t xml:space="preserve"> - administratívne poplatky (221) 67/100</t>
  </si>
  <si>
    <t xml:space="preserve"> - zavedenie ERP (DPH) a nanomarkerov (spotrebné dane)</t>
  </si>
  <si>
    <t xml:space="preserve"> - z príspevkov prevádzkovateľov hazardných hier</t>
  </si>
  <si>
    <t>D.5R</t>
  </si>
  <si>
    <t xml:space="preserve"> - osobitný odvod z podnikania v regulovaných odvetviach</t>
  </si>
  <si>
    <t xml:space="preserve"> - odvod obchodných reťazcov</t>
  </si>
  <si>
    <t xml:space="preserve"> - administratívne poplatky (221) 33/100</t>
  </si>
  <si>
    <t>D.91R</t>
  </si>
  <si>
    <t>D.61R</t>
  </si>
  <si>
    <t xml:space="preserve"> - Zdravotné poistenie štát</t>
  </si>
  <si>
    <t xml:space="preserve"> - Sociálne poistenie štát + SP</t>
  </si>
  <si>
    <t xml:space="preserve"> - ozbrojené zložky (MRÚ)</t>
  </si>
  <si>
    <t>D.4R</t>
  </si>
  <si>
    <t xml:space="preserve"> - EFSF (prijaté úroky)</t>
  </si>
  <si>
    <t xml:space="preserve"> - FISIM (prijaté úroky)</t>
  </si>
  <si>
    <t xml:space="preserve"> - zdravotnícke zariadenia</t>
  </si>
  <si>
    <t xml:space="preserve"> - JAVYS (dividendy)</t>
  </si>
  <si>
    <t xml:space="preserve"> - ostatné miestne organizácie</t>
  </si>
  <si>
    <t xml:space="preserve"> - VVŠ nerozpočtované</t>
  </si>
  <si>
    <t xml:space="preserve"> - ostatné dividendy</t>
  </si>
  <si>
    <t xml:space="preserve"> - ostatné úroky</t>
  </si>
  <si>
    <t xml:space="preserve"> - iné príjmy</t>
  </si>
  <si>
    <t>P11+P12 +P131</t>
  </si>
  <si>
    <t xml:space="preserve"> - imputované príjmy z vedy a výskumu</t>
  </si>
  <si>
    <t xml:space="preserve"> - imputované výdavky na likvidáciu JZ</t>
  </si>
  <si>
    <t xml:space="preserve"> - obce a VÚC</t>
  </si>
  <si>
    <t xml:space="preserve"> - MH Invest</t>
  </si>
  <si>
    <t xml:space="preserve"> - mimorozpočtové účty</t>
  </si>
  <si>
    <t xml:space="preserve">Iné </t>
  </si>
  <si>
    <t>D.7R+D.9R</t>
  </si>
  <si>
    <t xml:space="preserve"> - príspevky od prevádzkovateľov jadrových zariadení</t>
  </si>
  <si>
    <t xml:space="preserve"> - zahraničné kapitálové granty (CEF, 332001 a 332002)</t>
  </si>
  <si>
    <t xml:space="preserve"> - vratky (292017)</t>
  </si>
  <si>
    <t>Výdavky spolu</t>
  </si>
  <si>
    <t>D.1P</t>
  </si>
  <si>
    <t xml:space="preserve"> - presunuté z D.7 do kompenzácií</t>
  </si>
  <si>
    <t xml:space="preserve"> - EFSF</t>
  </si>
  <si>
    <t xml:space="preserve"> - FISIM</t>
  </si>
  <si>
    <t xml:space="preserve"> - imputované výdavky na vedu a výskum</t>
  </si>
  <si>
    <t xml:space="preserve"> - platba za dostupnosť PPP projektu</t>
  </si>
  <si>
    <t xml:space="preserve"> - výdavky ŠR na obranu (cofog 02)</t>
  </si>
  <si>
    <t xml:space="preserve"> - výdavky v poľnohospodárstve (z odvodu reťazcov)</t>
  </si>
  <si>
    <t xml:space="preserve"> - príspevkové organizácie štátu</t>
  </si>
  <si>
    <t xml:space="preserve"> - NDS</t>
  </si>
  <si>
    <t xml:space="preserve"> - akrualizácia DPH z PPP projektu</t>
  </si>
  <si>
    <t xml:space="preserve"> - rezerva na nižšiu DPH v cestovnom ruchu</t>
  </si>
  <si>
    <t xml:space="preserve"> - rezerva na rýchlejšiu realizáciu EÚ fondov a korekcie</t>
  </si>
  <si>
    <t>D.62P+D.631P</t>
  </si>
  <si>
    <t xml:space="preserve"> - starobné a invalidné dôchodky SP</t>
  </si>
  <si>
    <t xml:space="preserve"> - nemocenské SP</t>
  </si>
  <si>
    <t xml:space="preserve"> - dávky úrazového poistenia</t>
  </si>
  <si>
    <t xml:space="preserve"> - dávky v nezamestnanosti</t>
  </si>
  <si>
    <t xml:space="preserve"> - výdavky zdravotného poistenia</t>
  </si>
  <si>
    <t xml:space="preserve"> - vybrané sociálne dávky (DHN, ZŤP, podpora rodiny, vianočný príspevok)</t>
  </si>
  <si>
    <t xml:space="preserve"> - štátom platené poistné + SP - sociálne poistenie</t>
  </si>
  <si>
    <t xml:space="preserve"> - štátom platené poistné - zdravotné poistenie</t>
  </si>
  <si>
    <t xml:space="preserve"> - dávky platené VS ako zamestnávateľ (imputované poistné)</t>
  </si>
  <si>
    <t xml:space="preserve"> - daňový bonus a zamestnanecká prémia</t>
  </si>
  <si>
    <t xml:space="preserve"> - štátna prémia a bonifikácia k hyp. úverom</t>
  </si>
  <si>
    <t xml:space="preserve"> - mimorozpočtové účty (ozbrojené zložky)</t>
  </si>
  <si>
    <t xml:space="preserve"> - transfer na osobitný účet</t>
  </si>
  <si>
    <t xml:space="preserve"> - ostatné (jednotlivcovi, štipendiá, aktívne opatrenia trhu práce)</t>
  </si>
  <si>
    <t>Úrokové výdavky</t>
  </si>
  <si>
    <t>D.41P</t>
  </si>
  <si>
    <t xml:space="preserve">D.3P </t>
  </si>
  <si>
    <t xml:space="preserve"> - štátna pomoc prvovýrobcom (najmä zelená nafta)</t>
  </si>
  <si>
    <t xml:space="preserve"> - podpora zníženia cien elektriny</t>
  </si>
  <si>
    <t xml:space="preserve"> - dotácia pre SVP</t>
  </si>
  <si>
    <t xml:space="preserve"> - imputovanie FOV a GFI</t>
  </si>
  <si>
    <t>Tvorba hrubého fixného kapitálu</t>
  </si>
  <si>
    <t>P.51G</t>
  </si>
  <si>
    <t xml:space="preserve"> - OPII vlastné zdroje mimo spolufinancovania</t>
  </si>
  <si>
    <t xml:space="preserve"> - one-off (MDV)</t>
  </si>
  <si>
    <t xml:space="preserve"> - SSC - priemyselný park Nitra</t>
  </si>
  <si>
    <t>inv. 34889</t>
  </si>
  <si>
    <t xml:space="preserve"> - výdavky MZ SR na nemocnice</t>
  </si>
  <si>
    <t xml:space="preserve"> - zahraničné kapitálové granty (CEF)</t>
  </si>
  <si>
    <t>D.9P</t>
  </si>
  <si>
    <t xml:space="preserve"> - korekcie voči EÚ</t>
  </si>
  <si>
    <t xml:space="preserve"> - výstavba Národného futbalového štadióna</t>
  </si>
  <si>
    <t>inv. 29663</t>
  </si>
  <si>
    <t xml:space="preserve"> - športová infraštruktúra národného významu</t>
  </si>
  <si>
    <t xml:space="preserve"> - transfer akcionárom súkromných ZP</t>
  </si>
  <si>
    <t xml:space="preserve"> - oddlženie zdravotníckych zariadení</t>
  </si>
  <si>
    <t>Iné</t>
  </si>
  <si>
    <t>D.2P+(D.4-D.41)+D.5P+D.7+P.52+P.53+NP+D.8</t>
  </si>
  <si>
    <t xml:space="preserve"> - odvod do rozpočtu EÚ</t>
  </si>
  <si>
    <t xml:space="preserve"> - 2% z daní</t>
  </si>
  <si>
    <t xml:space="preserve"> - platené dane (D.29+D.5)</t>
  </si>
  <si>
    <t xml:space="preserve"> - zmena stavu zásob (P.5M)</t>
  </si>
  <si>
    <t xml:space="preserve"> - voľby</t>
  </si>
  <si>
    <t xml:space="preserve"> - rezerva na nové zákonné úpravy</t>
  </si>
  <si>
    <t xml:space="preserve"> - rezerva na zdravotníctvo (poistné platené štátom)</t>
  </si>
  <si>
    <t xml:space="preserve"> - hotovostné korekcie</t>
  </si>
  <si>
    <t>Čisté pôžičky poskytnuté / prijaté</t>
  </si>
  <si>
    <t>B.9</t>
  </si>
  <si>
    <t>Primárne saldo</t>
  </si>
  <si>
    <t>Spotreba verejnej správy</t>
  </si>
  <si>
    <t xml:space="preserve"> - kompenzácie zamestnancov</t>
  </si>
  <si>
    <t xml:space="preserve"> - dane</t>
  </si>
  <si>
    <t xml:space="preserve"> - naturálne sociálne transfery</t>
  </si>
  <si>
    <t xml:space="preserve"> - spotreba fixného kapitálu</t>
  </si>
  <si>
    <t xml:space="preserve"> - tržby</t>
  </si>
  <si>
    <t>EU fondy celkom</t>
  </si>
  <si>
    <t xml:space="preserve"> - z toho v sektore VS</t>
  </si>
  <si>
    <t>Spolufinancovanie celkom</t>
  </si>
  <si>
    <t>Ciele NRVS 2015-2017</t>
  </si>
  <si>
    <t>Chýba na splnenie cieľa</t>
  </si>
  <si>
    <t>Príjmy z EÚ fondov v sektore VS</t>
  </si>
  <si>
    <t>Rozdelenie výdavkov na EÚ fondy (v sektore VS):</t>
  </si>
  <si>
    <t xml:space="preserve"> - tvorba hrubého fixného kapitálu</t>
  </si>
  <si>
    <t>Výdavky na EÚ fondy (mimo sektora VS):</t>
  </si>
  <si>
    <t xml:space="preserve"> - bežné výdavky </t>
  </si>
  <si>
    <t>Rozdelenie spolufinancovania:</t>
  </si>
  <si>
    <t xml:space="preserve"> - dotácie</t>
  </si>
  <si>
    <t xml:space="preserve"> - kapitálové transfery</t>
  </si>
  <si>
    <t xml:space="preserve"> - bežné transfery</t>
  </si>
  <si>
    <t>Návrh RVS 2018-2020</t>
  </si>
  <si>
    <t>Rozdiely v roku 2018 na porovnateľnej báze</t>
  </si>
  <si>
    <t xml:space="preserve"> - rezerva na nové legislatívne úpravy</t>
  </si>
  <si>
    <t xml:space="preserve"> - iné iné nedaňové príjmy (292027)</t>
  </si>
  <si>
    <t xml:space="preserve"> - iné iné nedaňové príjmy ( 292027)</t>
  </si>
  <si>
    <t>Graf 1: Porovnanie NRVS 2019-2021 voči NPC scenáru</t>
  </si>
  <si>
    <t>Graf 2: Opatrenia v NRVS 2019-2021</t>
  </si>
  <si>
    <t>Graf 3: Opatrenia na dosiahnutie rozpočtových cieľov - porovnanie voči scenáru nezmenených politík podľa návrhu rozpočtu verejnej správy na roky 2019-2021</t>
  </si>
  <si>
    <t>Graf 4: Porovnanie rozpočtových cieľov – saldo rozpočtu</t>
  </si>
  <si>
    <t>Graf 5: Zmeny v prognóze hrubého dlhu</t>
  </si>
  <si>
    <t>Graf 6: Zmeny v príjmoch a výdavkoch roku 2019</t>
  </si>
  <si>
    <t>Graf 7: Zmena kapitálových výdavkov štátneho rozpočtu v roku 2019</t>
  </si>
  <si>
    <t>Graf 8: Rast zahraničného dopytu spomalí</t>
  </si>
  <si>
    <t>Graf 9: Koniec prehrievania v ekonomikách</t>
  </si>
  <si>
    <t>Graf 10: Príspevky k rastu HDP (%) – investície a čistý export – prognóza VpMP</t>
  </si>
  <si>
    <t>Graf 11: Utlmený rast spotreby domácností</t>
  </si>
  <si>
    <t>Graf 12: Riziká pre ekonomický rast vyplývajúce z fiškálnej politiky</t>
  </si>
  <si>
    <t>Graf 13: Verejné investície</t>
  </si>
  <si>
    <t>Graf 14: Prognózy rastu spotreby verejnej správy na obdobie t+1</t>
  </si>
  <si>
    <t>Graf 15: Riziká prognózy rastu HDP VpMP na základe historických odchýlok</t>
  </si>
  <si>
    <t>Graf 16: Historické odchýlky prognóz VpDP</t>
  </si>
  <si>
    <t>Graf 17: 2-percentná odchýlka prognózy 2018 až 2020 a jej pokrytie rezervou</t>
  </si>
  <si>
    <t>Graf 18: Príspevky k medziročnej zmene salda v NPC scenári</t>
  </si>
  <si>
    <t>Graf 19: Vplyvy opatrení zapracovaných v návrhu rozpočtu v roku 2019</t>
  </si>
  <si>
    <t>Graf 20: Porovnanie prognózy dlhu MF SR s NPC scenárom RRZ</t>
  </si>
  <si>
    <t>Graf 21: Príspevky k medziročnej zmene dlhu v prognóze MF SR</t>
  </si>
  <si>
    <t>Graf 22: Vplyv neočakávaných vplyvov a ostatných položiek na saldo rozpočtu</t>
  </si>
  <si>
    <t>Graf 23: Odhadované saldo rozpočtu po zohľadnení nerozpočtovaných vplyvov</t>
  </si>
  <si>
    <t>Graf 24: Vývoj hrubého dlhu VS</t>
  </si>
  <si>
    <t>Graf 25: Medziročná zmena dlhu</t>
  </si>
  <si>
    <t>Graf 26: Saldo VS v rokoch 2016 až 2021</t>
  </si>
  <si>
    <t>Graf 27: Štrukturálne saldo VS v rokoch 2016 až 2021</t>
  </si>
  <si>
    <t>Graf 28: Štrukturálne saldo v rokoch 1999 až 2021 podľa RRZ</t>
  </si>
  <si>
    <t>Graf 29: Fiškálny impulz v rokoch 2017-2021</t>
  </si>
  <si>
    <t>Graf 30: Predpokladané čerpanie EÚ príjmov v rokoch 2017-2021</t>
  </si>
  <si>
    <t>Graf 31: Makroekonomické riziko vplývajúce na saldo verejnej správy</t>
  </si>
  <si>
    <t>Graf 32: Makroekonomické riziko vplývajúce na dlh verejnej správy</t>
  </si>
  <si>
    <t>Graf 33: Daňové základne</t>
  </si>
  <si>
    <t>Graf 34: Daňové príjmy</t>
  </si>
  <si>
    <t>Graf 35: Porovnanie vývoja miezd v štátnom rozpočte a súkromnom sektore</t>
  </si>
  <si>
    <t>Graf 36: Riziká v kapitálových výdavkoch</t>
  </si>
  <si>
    <t>Tab 1: Ciele v oblasti salda a dlhu verejnej správy</t>
  </si>
  <si>
    <t>Tab 2: Štrukturálne saldo podľa MF SR</t>
  </si>
  <si>
    <t>Tab 3: Výdavkové pravidlo podľa MF SR</t>
  </si>
  <si>
    <t>Tab 4: Opatrenia v návrhu rozpočtu</t>
  </si>
  <si>
    <t>Tab 5: Prognózy domácich a medzinárodných inštitúcií</t>
  </si>
  <si>
    <t>Tab 6: Porovnanie vychýlenosti a presnosti prognóz inštitúcií</t>
  </si>
  <si>
    <t>Tab 7: Daňovo-odvodové opatrenia zahrnuté v NRVS 2019-2021</t>
  </si>
  <si>
    <t>Tab 8: Riziká a zdroje krytia pre splnenie rozpočtovaného cieľa v roku 2018</t>
  </si>
  <si>
    <t>Tab 9: Riziká v rokoch 2019 až 2021</t>
  </si>
  <si>
    <t>Tab 10: Zdroje krytia rizík v rokoch 2019 až 2021</t>
  </si>
  <si>
    <t>Tab 11: Riziká spojené s dosiahnutím rozpočtových cieľov</t>
  </si>
  <si>
    <t>Tab 12: Predpoklady vývoja hrubého dlhu verejnej správy</t>
  </si>
  <si>
    <t>Tab 13: Veľkosť opatrení v návrhu rozpočtu</t>
  </si>
  <si>
    <t>Tab 14: Zmena štrukturálneho salda VS v rokoch 2017 až 2021 podľa RRZ</t>
  </si>
  <si>
    <t>Tab 15: Výdavkové pravidlo</t>
  </si>
  <si>
    <t>Tab 16: Rozdiely vo výdavkovom pravidle</t>
  </si>
  <si>
    <t>Tab 18: Prognóza Výboru pre makroekonomické prognózy</t>
  </si>
  <si>
    <t>Tab 19: Odhad za rok 2018 a odhad vplyvu opatrení na HDP, rozdiel voči VpMP</t>
  </si>
  <si>
    <t>Tab 20: Vyčíslenie fiškálnych scenárov a rozdiel voči VpMP</t>
  </si>
  <si>
    <t>Tab 21: Riziká prognózy rastu základní rozhodujúcich pre rozpočtové príjmy</t>
  </si>
  <si>
    <t>Tab 22: Prehľad rizík a rezerv rozpočtu na rok 2018</t>
  </si>
  <si>
    <t>Tab 23: Dividendy v rokoch 2018 až 2021</t>
  </si>
  <si>
    <t>Tab 25: Odhad rizika z príjmov z emisných kvót v porovnaní s návrhom rozpočtu</t>
  </si>
  <si>
    <t>Tab 26: Vývoj výdavkov na zdravotnú starostlivosť podľa RRZ</t>
  </si>
  <si>
    <t>Tab 27: Hospodárenie nemocníc</t>
  </si>
  <si>
    <t>Tab 28: Vývoj nerozdelených ziskov súkromných zdravotných poisťovní</t>
  </si>
  <si>
    <t>Tab 29: Odhad rizika voči návrhu rozpočtu</t>
  </si>
  <si>
    <t>Tab 30: Odhad rizík v samosprávach</t>
  </si>
  <si>
    <t>Tab 31: Riziká v mzdových výdavkoch štátneho rozpočtu</t>
  </si>
  <si>
    <t>Tab 32: Riziká vo výdavkoch štátneho rozpočtu na tovary a služby</t>
  </si>
  <si>
    <t>Tab 33: Odhad rizika pri kapitálových výdavkoch štátneho rozpočtu</t>
  </si>
  <si>
    <t>Tab 35: Zoznam jednorazových a dočasných vplyvov v NPC scenári</t>
  </si>
  <si>
    <t>Tab 36: Predpoklady čerpania fondov EÚ v NPC scenári RRZ</t>
  </si>
  <si>
    <t>Tab 37: Porovnanie NPC scenára vývoja verejných financií RRZ</t>
  </si>
  <si>
    <t>Tab 38: Príspevky k medziročnej zmene salda v NPC scenári</t>
  </si>
  <si>
    <t>Tab 39: Zmeny v hotovosti bez vplyvu na čisté bohatstvo</t>
  </si>
  <si>
    <t>Tab 40: Prehľad vývoja dlhu do roku 2021</t>
  </si>
  <si>
    <t>Tab 41: Porovnanie skutočného vývoja položiek voči rozpočtu</t>
  </si>
  <si>
    <t>Tab 42: Jednorazové vplyvy v rokoch 2017-2021</t>
  </si>
  <si>
    <t>Tab 43: Bilancia príjmov a výdavkov verejnej správy (ESA2010, v mil. eur)</t>
  </si>
  <si>
    <t>Tab 44: Bilancia príjmov a výdavkov verejnej správy (ESA2010, % HDP)</t>
  </si>
  <si>
    <t>Tab 45: Hospodárenie subjektov verejnej správy</t>
  </si>
  <si>
    <t>Tab 46: Príjmy podľa odhadu RRZ</t>
  </si>
  <si>
    <t>Tab 47: Výdavky podľa odhadu RRZ</t>
  </si>
  <si>
    <t xml:space="preserve">Zoznam tabuliek a grafov použitých v materiáli: </t>
  </si>
  <si>
    <t>Hodnotenie Návrhu rozpočtu verejnej správy na roky 2019 až 2021 (november 2018)</t>
  </si>
  <si>
    <t>NPC</t>
  </si>
  <si>
    <t>Tab 8: Riziká a zdroje krytia pre splnenie rozpočtovaného cieľa v roku 2018 (ESA2010, mil. eur)</t>
  </si>
  <si>
    <t>Odhad rizík v porovnaní s:</t>
  </si>
  <si>
    <t>R 2018</t>
  </si>
  <si>
    <t>OS 2018</t>
  </si>
  <si>
    <t>Vplyvy na saldo VS spolu:</t>
  </si>
  <si>
    <t>1. Daňové a odvodové príjmy</t>
  </si>
  <si>
    <t>2. Nedaňové príjmy</t>
  </si>
  <si>
    <t>3. Vzťahy s rozpočtom EÚ</t>
  </si>
  <si>
    <t xml:space="preserve"> - výdavky na spolufinancovanie</t>
  </si>
  <si>
    <t xml:space="preserve"> - vyvolané investície k realizácii projektov z EÚ fondov</t>
  </si>
  <si>
    <t xml:space="preserve"> - transfer do rozpočtu EÚ</t>
  </si>
  <si>
    <t xml:space="preserve"> - rezerva na odvody do EÚ a prostriedky EÚ</t>
  </si>
  <si>
    <t xml:space="preserve"> - korekcie k čerpaniu EÚ fondov</t>
  </si>
  <si>
    <t>4. Výdavky štátneho rozpočtu:</t>
  </si>
  <si>
    <t xml:space="preserve"> - mzdové výdavky ŠR (vrátane rezerv)</t>
  </si>
  <si>
    <t xml:space="preserve"> - tovary a služby (bez rezerv)</t>
  </si>
  <si>
    <t xml:space="preserve"> - bežné rezervy (okrem miezd a EÚ)</t>
  </si>
  <si>
    <t xml:space="preserve"> - kapitálové výdavky (vrátane rezerv)</t>
  </si>
  <si>
    <t>5. Sociálne dávky a transfery:</t>
  </si>
  <si>
    <t xml:space="preserve"> - sociálne dávky MPSVaR</t>
  </si>
  <si>
    <t xml:space="preserve"> - výdavky Sociálnej poisťovne</t>
  </si>
  <si>
    <t>6. Výdavky v zdravotníctve:</t>
  </si>
  <si>
    <t xml:space="preserve">     - hospodárenie nemocníc</t>
  </si>
  <si>
    <t xml:space="preserve">     - úhrada záväzkov nemocníc voči subjektom mimo VS</t>
  </si>
  <si>
    <t xml:space="preserve"> - splátky záväzkov voči akcionárom súkr. zdravotných poisťovní</t>
  </si>
  <si>
    <t>7. Hospodárenie samospráv (bez daňových príjmov):</t>
  </si>
  <si>
    <t xml:space="preserve"> - obce</t>
  </si>
  <si>
    <t xml:space="preserve"> - VÚC</t>
  </si>
  <si>
    <t>8. Výdavky ostatných subjektov VS:</t>
  </si>
  <si>
    <t xml:space="preserve"> - ŽSR</t>
  </si>
  <si>
    <t>9. Ostatné vplyvy</t>
  </si>
  <si>
    <t>Pozn.: hodnoty vyjadrujú rozdiely medzi odhadom RRZ a rozpočtom (RVS 2018-2020), resp. odhadom MF SR (NRVS 2019-2021).</t>
  </si>
  <si>
    <t>1. Saldo verejnej správy</t>
  </si>
  <si>
    <t>3. Saldo ostatných subjektov VS (1-2)</t>
  </si>
  <si>
    <t>Vybrané nedaňové príjmy</t>
  </si>
  <si>
    <t xml:space="preserve"> - kapitálové príjmy (bez samospráv)</t>
  </si>
  <si>
    <t xml:space="preserve"> - administratívne poplatky štátneho rozpočtu (221)</t>
  </si>
  <si>
    <t xml:space="preserve"> - z odvodu z hazardných hier (štátny rozpočet)</t>
  </si>
  <si>
    <t xml:space="preserve"> - z predaja telekomunikačných licencií</t>
  </si>
  <si>
    <t>Korekcie k čerpaniu EU fondov</t>
  </si>
  <si>
    <t>Vybrané výdavky (vplyv na saldo)</t>
  </si>
  <si>
    <t xml:space="preserve"> - spolufinancovanie zo ŠR</t>
  </si>
  <si>
    <t xml:space="preserve"> - GAP (bez SSC)</t>
  </si>
  <si>
    <t xml:space="preserve"> - odvody do rozpočtu EÚ</t>
  </si>
  <si>
    <t xml:space="preserve"> - úrokové náklady ŠR znížené o emisnú prémiu</t>
  </si>
  <si>
    <t>Hotovostné výdavky ŠR</t>
  </si>
  <si>
    <t xml:space="preserve"> - hrubé mzdy</t>
  </si>
  <si>
    <t xml:space="preserve"> - obstaranie kapitálových aktív</t>
  </si>
  <si>
    <t>Pohľadávky a záväzky ŠR (+ŠFA, MRÚ)</t>
  </si>
  <si>
    <t>Výdavky zdravotníctva</t>
  </si>
  <si>
    <t>Hospodárenie nemocníc</t>
  </si>
  <si>
    <t>Sociálna oblasť</t>
  </si>
  <si>
    <t>Saldo NDS</t>
  </si>
  <si>
    <t>Saldo ŽSR</t>
  </si>
  <si>
    <t>Saldo ŽSSK</t>
  </si>
  <si>
    <t>Vývoj ostatných príjmov a výdavkov</t>
  </si>
  <si>
    <t>Neočakávané vplyvy v rozpočte</t>
  </si>
  <si>
    <t>Ostatné rozpočtované položky</t>
  </si>
  <si>
    <t>Saldo verejnej správy</t>
  </si>
  <si>
    <t>Saldo po zohľadnení neočakávaných vplyvov</t>
  </si>
  <si>
    <t>Skutočné saldo</t>
  </si>
  <si>
    <t>Rozpočtované saldo</t>
  </si>
  <si>
    <t>Tab 22: Prehľad rizík a rezerv rozpočtu na rok 2018 (mil. eur)</t>
  </si>
  <si>
    <t>Riziká rozpočtu s vplyvom na saldo</t>
  </si>
  <si>
    <t>December 2017</t>
  </si>
  <si>
    <t>November 2018</t>
  </si>
  <si>
    <t>Suma rizík:</t>
  </si>
  <si>
    <t xml:space="preserve"> - príjmy z predaja emisných kvót</t>
  </si>
  <si>
    <t xml:space="preserve"> - príjmy Agentúry pre núdzové zásoby ropy</t>
  </si>
  <si>
    <t>- odvod z hazardných hier</t>
  </si>
  <si>
    <t>- príspevky od prevádzkovateľov jadrových zariadení</t>
  </si>
  <si>
    <t>2. Korekcie voči fondom EÚ</t>
  </si>
  <si>
    <t>3. Podhodnotenie výdavkov štátneho rozpočtu</t>
  </si>
  <si>
    <t xml:space="preserve"> - ostatné bežné výdavky (tovary a služby, transfery)</t>
  </si>
  <si>
    <t xml:space="preserve"> - sociálny balíček*</t>
  </si>
  <si>
    <t xml:space="preserve"> - vianočný príspevok</t>
  </si>
  <si>
    <t>4. Podhodnotenie výdavkov v zdravotníctve</t>
  </si>
  <si>
    <t xml:space="preserve"> - výdavky na zdravotnú starostlivosť a hospodárenie nemocníc</t>
  </si>
  <si>
    <t>5. Vplyv vyšších výdavkov samospráv</t>
  </si>
  <si>
    <t>6. Podhodnotenie výdavkov ostatných subjektov VS</t>
  </si>
  <si>
    <t xml:space="preserve"> - výdavky správneho fondu Sociálnej poisťovne</t>
  </si>
  <si>
    <t xml:space="preserve"> - výdavky ŽSSK (tovary a služby)</t>
  </si>
  <si>
    <t xml:space="preserve"> - výdavky Agentúry pre núdzové zásoby ropy</t>
  </si>
  <si>
    <t>7. Daňové príjmy</t>
  </si>
  <si>
    <t>8. Sociálne transfery - výdavky Sociálnej poisťovne</t>
  </si>
  <si>
    <t>9. Vplyv čerpania EÚ fondov na saldo subjektov mimo štátneho rozpočtu</t>
  </si>
  <si>
    <t>10. Výdavky v rezorte obrany podliehajúce utajeniu</t>
  </si>
  <si>
    <t>11. Rekapitalizácia dlhodobo stratových štátnych podnikov</t>
  </si>
  <si>
    <t>12. Úprava stupníc platových taríf</t>
  </si>
  <si>
    <t>Krytie rizík</t>
  </si>
  <si>
    <t>Suma zdrojov krytia rizík:</t>
  </si>
  <si>
    <t>1. Úspora na spolufinancovaní</t>
  </si>
  <si>
    <t>2. Krytie rizík z rezerv</t>
  </si>
  <si>
    <t>3. Úspory na sociálnych dávkach MPSVaR</t>
  </si>
  <si>
    <t>4. Úspory na odvode do rozpočtu EÚ</t>
  </si>
  <si>
    <t>5. Vplyv oddlženia v sektore zdravotníctva</t>
  </si>
  <si>
    <t>6. Ostatné vplyvy</t>
  </si>
  <si>
    <t>* - vplyv opatrení prijatých v rámci sociálneho balíčka je súčasťou zmeny prognózy daňových príjmov. </t>
  </si>
  <si>
    <t>Tab 41: Porovnanie skutočného vývoja položiek voči rozpočtu (ESA2010, mil. eur)</t>
  </si>
  <si>
    <t>2. Saldo samospráv (a+b-c)</t>
  </si>
  <si>
    <t xml:space="preserve"> a) rozpočtované subjekty samospráv (RO, PO obce, RO, PO VÚC)</t>
  </si>
  <si>
    <t xml:space="preserve"> b) nerozpočtované subjekty samospráv (NOO, DP, nemocnice)</t>
  </si>
  <si>
    <t xml:space="preserve"> c) vplyv transferov na prenesený výkon kompetencií zo ŠR</t>
  </si>
  <si>
    <t xml:space="preserve">Daňové príjmy a odvody bez legislatívnych zmien </t>
  </si>
  <si>
    <t>Poskytovanie úverov z fondov EÚ (iba spolufin)</t>
  </si>
  <si>
    <t>4. "Neočakávané vplyvy" v rozpočte</t>
  </si>
  <si>
    <t>5. Ostatné rozpočtované položky (1-4)</t>
  </si>
  <si>
    <t>A. Rozpočtované saldo</t>
  </si>
  <si>
    <t>B. Hypotetické saldo, saldo upravené o "neočakávané vplyvy" (A+4)</t>
  </si>
  <si>
    <t>C. Skutočné saldo</t>
  </si>
  <si>
    <t>* V roku 2019 sa za rozpočtované saldo považuje saldo rozpočtu verejnej správy na roky 2018 až 2020 a za skutočné saldo návrh rozpočtu verejnej správy na roky 2019 až 2021.</t>
  </si>
  <si>
    <t>Zdroj: RRZ, ŠÚSR, MF SR</t>
  </si>
  <si>
    <t xml:space="preserve">Graf 22: Vplyv neočakávaných vplyvov a ostatných položiek na saldo rozpočtu (% HDP, ESA2010) </t>
  </si>
  <si>
    <t xml:space="preserve">Graf 23: Odhadované saldo rozpočtu po zohľadnení nerozpočtovaných vplyvov (% HDP, ESA2010) </t>
  </si>
  <si>
    <t>Tab 1: Ciele v oblasti salda  a dlhu verejnej správy (ESA2010, % HDP)</t>
  </si>
  <si>
    <t>Saldo verejnej správy (NRVS 2019-2021)</t>
  </si>
  <si>
    <t>Hrubý dlh VS (NRVS 2019-2021)</t>
  </si>
  <si>
    <t xml:space="preserve"> Zdroj: MF SR</t>
  </si>
  <si>
    <t>Tab 2: Štrukturálne saldo podľa MF SR (ESA2010, % HDP) </t>
  </si>
  <si>
    <t xml:space="preserve">1. Saldo verejnej správy </t>
  </si>
  <si>
    <r>
      <t xml:space="preserve">2. Cyklická zložka </t>
    </r>
    <r>
      <rPr>
        <sz val="9"/>
        <color rgb="FF13B5EA"/>
        <rFont val="Constantia"/>
        <family val="1"/>
        <charset val="238"/>
      </rPr>
      <t>(MF SR)</t>
    </r>
  </si>
  <si>
    <r>
      <t xml:space="preserve">3. Jednorazové efekty </t>
    </r>
    <r>
      <rPr>
        <sz val="9"/>
        <color rgb="FF13B5EA"/>
        <rFont val="Constantia"/>
        <family val="1"/>
        <charset val="238"/>
      </rPr>
      <t>(MF SR)</t>
    </r>
  </si>
  <si>
    <t>4. Štrukturálne saldo (1-2-3)</t>
  </si>
  <si>
    <t>Zmena štrukturálneho salda (∆4)</t>
  </si>
  <si>
    <t>p.m. požadovaná konsolidácia podľa EK</t>
  </si>
  <si>
    <t>MTO</t>
  </si>
  <si>
    <t>Jednoročná odchýlka</t>
  </si>
  <si>
    <t>MTO*</t>
  </si>
  <si>
    <t xml:space="preserve">Dvojročná odchýlka </t>
  </si>
  <si>
    <t xml:space="preserve">Pozn.: V tabuľke môžu vzniknúť rozdiely z dôvodu zaokrúhľovania. </t>
  </si>
  <si>
    <t>Tab 3: Výdavkové pravidlo podľa MF SR (ESA2010, % HDP) </t>
  </si>
  <si>
    <t>Reálny rast výdavkov upravený o príjmové opatrenia</t>
  </si>
  <si>
    <t xml:space="preserve">Výdavkové pravidlo </t>
  </si>
  <si>
    <t xml:space="preserve">Odchýlka od výdavkového pravidla </t>
  </si>
  <si>
    <t>Jednoročná odchýlka od výdavkového pravidla</t>
  </si>
  <si>
    <t>Dvojročná odchýlka od výdavkového pravidla</t>
  </si>
  <si>
    <t>Tab 4: Potreba opatrení na splnenie cieľa (ESA2010, % HDP)</t>
  </si>
  <si>
    <t>1. Návrh rozpočtu VS na roky 2019-2021</t>
  </si>
  <si>
    <t>2. Saldo VS podľa NPC (MF SR)</t>
  </si>
  <si>
    <t>3. Opatrenie na dosiahnutie NRVS (1-2)</t>
  </si>
  <si>
    <t xml:space="preserve">   (potreba opatrení na dosiahnutie NRVS  v mil. eur)</t>
  </si>
  <si>
    <t>medziročná zmena (3)</t>
  </si>
  <si>
    <t>2. Cyklická zložka</t>
  </si>
  <si>
    <t xml:space="preserve">3. Jednorazové efekty </t>
  </si>
  <si>
    <t>5. Zmena štrukturálneho salda (Δ4)/ Fiškálny kompakt</t>
  </si>
  <si>
    <t>6. Saldo verejnej správy v NPC scenári</t>
  </si>
  <si>
    <t>7. Štrukturálne saldo v NPC scenári</t>
  </si>
  <si>
    <t xml:space="preserve">8. Zmena štrukturálneho salda v NPC scenári </t>
  </si>
  <si>
    <t>9. Veľkosť opatrení (1-6)</t>
  </si>
  <si>
    <t>10. Konsolidačné úsilie vlády (5-8)</t>
  </si>
  <si>
    <t>11. Iné faktory</t>
  </si>
  <si>
    <t xml:space="preserve"> - Opatrenie bez vplyvu na dlhodobú udržateľnosť</t>
  </si>
  <si>
    <t xml:space="preserve"> - PPP projekty</t>
  </si>
  <si>
    <t xml:space="preserve"> - Úrokové náklady</t>
  </si>
  <si>
    <t>12. Opatrenia vlády s vplyvom na iné faktory*</t>
  </si>
  <si>
    <t>13. Zmena štrukturálneho salda po zohľadnení iných faktorov (5-11)</t>
  </si>
  <si>
    <t>14. Konsolidačné úsilie vlády po zohľadnení opatrení s vplyvom na iné faktory (10-12)</t>
  </si>
  <si>
    <t xml:space="preserve">* Zahŕňa vplyv zvýšenia odvodu finančných inštitúcií, posun v termíne dostavby 3. a 4. bloku jadrovej elektrárne Mochovce a zmenu úrokových nákladov vplyvom konsolidácie.                     </t>
  </si>
  <si>
    <t>Zdroj: metodika RRZ</t>
  </si>
  <si>
    <t>Tab 30: Odhad rizík v samosprávach (ESA2010, mil. eur)</t>
  </si>
  <si>
    <t>1. Saldo obcí (NRVS 2019-2021)</t>
  </si>
  <si>
    <t>2. Saldo VÚC (NRVS 2019-2021)</t>
  </si>
  <si>
    <t>3. Saldo obcí (odhad RRZ)</t>
  </si>
  <si>
    <t>4. Saldo VÚC (odhad RRZ)</t>
  </si>
  <si>
    <t>Celkové riziká (3+4-1-2)</t>
  </si>
  <si>
    <t>Tab 42: Jednorazové vplyvy v rokoch 2017-2021  (ESA2010, % HDP)</t>
  </si>
  <si>
    <t>imputácia  DPH z PPP projektu</t>
  </si>
  <si>
    <t>časové rozlíšenie príjmov z DPH</t>
  </si>
  <si>
    <t>správny poplatok pre on-line hazard</t>
  </si>
  <si>
    <t>CELKOVO</t>
  </si>
  <si>
    <t>2018R</t>
  </si>
  <si>
    <t>2018O</t>
  </si>
  <si>
    <t>2019R</t>
  </si>
  <si>
    <t>2020R</t>
  </si>
  <si>
    <t>2021R</t>
  </si>
  <si>
    <t>Dane z produkcie a dovozu</t>
  </si>
  <si>
    <t xml:space="preserve"> - Daň z pridanej hodnoty (spolu so zdrojom EÚ)</t>
  </si>
  <si>
    <t xml:space="preserve"> - Spotrebné dane</t>
  </si>
  <si>
    <t xml:space="preserve"> - Dovozné clo</t>
  </si>
  <si>
    <t xml:space="preserve"> - Dane z majetku a iné</t>
  </si>
  <si>
    <t>Bežné dane z dôchodkov, majetku</t>
  </si>
  <si>
    <t xml:space="preserve"> - Daň z príjmov fyzických osôb</t>
  </si>
  <si>
    <t xml:space="preserve"> - Daň z príjmov právnických osôb</t>
  </si>
  <si>
    <t xml:space="preserve"> - Daň z príjmov vyberaná zrážkou - rozp. klasif.</t>
  </si>
  <si>
    <t xml:space="preserve"> - Daň z príjmov - emisie</t>
  </si>
  <si>
    <t>Dane z kapitálu</t>
  </si>
  <si>
    <t>Príspevky na sociálne zabezpečenie</t>
  </si>
  <si>
    <t>Skutočné príspevky na sociálne zabezpečenie spolu</t>
  </si>
  <si>
    <t>Imputované príspevky na sociálne zabezpečenie</t>
  </si>
  <si>
    <t xml:space="preserve">Nedaňové príjmy </t>
  </si>
  <si>
    <t>Dôchodky z majetku, z ktorých</t>
  </si>
  <si>
    <t xml:space="preserve"> - Dividendy</t>
  </si>
  <si>
    <t xml:space="preserve"> - Úroky</t>
  </si>
  <si>
    <t>Granty a transfery</t>
  </si>
  <si>
    <t>z toho: z EÚ</t>
  </si>
  <si>
    <t>Bežné výdavky</t>
  </si>
  <si>
    <t>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</si>
  <si>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</si>
  <si>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</si>
  <si>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</si>
  <si>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</si>
  <si>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</t>
  </si>
  <si>
    <t xml:space="preserve"> - Dávky v nezamestnanosti</t>
  </si>
  <si>
    <t xml:space="preserve"> - Štátne sociálne dávky a podpora</t>
  </si>
  <si>
    <t xml:space="preserve"> - Platené poistné za skupiny osôb ustanovené zákonom</t>
  </si>
  <si>
    <t xml:space="preserve"> - Naturálne sociálne transfery (zdrav. zariadenia)</t>
  </si>
  <si>
    <t>z toho: Odvody do rozpočtu EÚ</t>
  </si>
  <si>
    <t>R znamená rozpočet, OS znamená očakávaná skutočnosť</t>
  </si>
  <si>
    <t>Tab 45: Hospodárenie subjektov verejnej správy (ESA2010, tis. eur)</t>
  </si>
  <si>
    <t>2018OS</t>
  </si>
  <si>
    <t>A. Štátny rozpočet</t>
  </si>
  <si>
    <t>B. Ostatné subjekty rozpočtu verejnej správy spolu</t>
  </si>
  <si>
    <t xml:space="preserve">    Obce </t>
  </si>
  <si>
    <t xml:space="preserve">    Dopravné podniky miest (BA, BB, ZA, KE)</t>
  </si>
  <si>
    <t xml:space="preserve">    Vyššie územné celky</t>
  </si>
  <si>
    <t xml:space="preserve">    Sociálna poisťovňa </t>
  </si>
  <si>
    <t xml:space="preserve">    Verejné zdravotné poistenie</t>
  </si>
  <si>
    <t>Zdravotnícke zariadnia</t>
  </si>
  <si>
    <t xml:space="preserve">    MH Manažment, a. s.</t>
  </si>
  <si>
    <t xml:space="preserve">    Slovenský pozemkový fond</t>
  </si>
  <si>
    <t xml:space="preserve">    Národný jadrový fond </t>
  </si>
  <si>
    <t xml:space="preserve">    Environmentálny fond </t>
  </si>
  <si>
    <t xml:space="preserve">    Štátny fond rozvoja bývania</t>
  </si>
  <si>
    <t xml:space="preserve">    Audiovizuálny fond </t>
  </si>
  <si>
    <t xml:space="preserve">    Slovenská konsolidačná, a. s.</t>
  </si>
  <si>
    <t xml:space="preserve">    Verejné vysoké školy</t>
  </si>
  <si>
    <t xml:space="preserve">    Úrad pre dohľad nad ZS</t>
  </si>
  <si>
    <t xml:space="preserve">    Úrad pre dohľad nad výkonom auditu</t>
  </si>
  <si>
    <t>Ústav pamäti národa</t>
  </si>
  <si>
    <t>Slovenské národné stredisko pre ľud. práva</t>
  </si>
  <si>
    <t xml:space="preserve">Komisári </t>
  </si>
  <si>
    <t xml:space="preserve">    Rozhlas a televízia Slovenska</t>
  </si>
  <si>
    <t>KRRZ</t>
  </si>
  <si>
    <t xml:space="preserve">    TASR</t>
  </si>
  <si>
    <t>Národná diaľničná spoločnosť</t>
  </si>
  <si>
    <t>EOSA</t>
  </si>
  <si>
    <t>Fond na podporu vzdelávania</t>
  </si>
  <si>
    <t>Recyklačný fond</t>
  </si>
  <si>
    <t>FnPU</t>
  </si>
  <si>
    <t>FnPKNM</t>
  </si>
  <si>
    <t>EXIMBANKA SR</t>
  </si>
  <si>
    <t>Národný rezolučný fond</t>
  </si>
  <si>
    <t>JAVYS</t>
  </si>
  <si>
    <t>MH Invest</t>
  </si>
  <si>
    <t>MH Invest II.</t>
  </si>
  <si>
    <t>Železnice SR</t>
  </si>
  <si>
    <t xml:space="preserve">    Železničná spoločnosť Slovensko</t>
  </si>
  <si>
    <t>Príspevkové organizácie spolu</t>
  </si>
  <si>
    <t xml:space="preserve">Rozpočet verejnej správy spolu </t>
  </si>
  <si>
    <t xml:space="preserve">Podiel rozpočtu verejnej správy v % na HDP </t>
  </si>
  <si>
    <t>HDP v  b. c. v mil. EUR</t>
  </si>
  <si>
    <r>
      <t>Graf 1: Porovnanie NRVS 2019-2021 voči NPC scenáru</t>
    </r>
    <r>
      <rPr>
        <sz val="9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</si>
  <si>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NRVS 2019-2021</t>
  </si>
  <si>
    <t>NPC (MF SR)</t>
  </si>
  <si>
    <t>NPC (príjmové opatrenia)</t>
  </si>
  <si>
    <t>NPC (výdavková opatrenia)</t>
  </si>
  <si>
    <r>
      <t>Graf 2: Opatrenia v NRVS 2019-2021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</si>
  <si>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vplyv príjmových opatrení</t>
  </si>
  <si>
    <t>vplyv výdavkových opatrení</t>
  </si>
  <si>
    <t>celkový vplyv</t>
  </si>
  <si>
    <t>vysvetlené</t>
  </si>
  <si>
    <t>nevysvetlené</t>
  </si>
  <si>
    <t>celkovo</t>
  </si>
  <si>
    <t>Graf 3: Opatrenia na dosiahnutie rozpočtových cieľov - porovnanie voči scenáru nezmenených politík podľa návrhu rozpočtu verejnej správy na roky 2019-2021 (% HDP)</t>
  </si>
  <si>
    <t>Daňové opatrenia</t>
  </si>
  <si>
    <t>Nedaňové a iné príjmy</t>
  </si>
  <si>
    <t>Výdavky na tovary a služby</t>
  </si>
  <si>
    <t>Zmeny v oblasti salda verejnej správy (ESA2010, % HDP)</t>
  </si>
  <si>
    <r>
      <t>Graf 4: Porovnanie rozpočtových cieľov – saldo rozpočtu</t>
    </r>
    <r>
      <rPr>
        <sz val="10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</si>
  <si>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RVS 2017-2019</t>
  </si>
  <si>
    <t>RVS 2018-2020</t>
  </si>
  <si>
    <t>PS 2018-2021</t>
  </si>
  <si>
    <t>Zmeny vdlhu verejnej správy (ESA2010, % HDP)</t>
  </si>
  <si>
    <t>Graf 5: Zmeny v prognóze hrubého dlhu (% HDP)</t>
  </si>
  <si>
    <t>Saldo VS (pr.os)</t>
  </si>
  <si>
    <t>Cyklická zložka</t>
  </si>
  <si>
    <t>Jednorazové efekty</t>
  </si>
  <si>
    <t>Štrukturálne saldo (pr.os)</t>
  </si>
  <si>
    <r>
      <t>Graf 28: Štrukturálne saldo v rokoch 1999 až 2021 podľa RRZ</t>
    </r>
    <r>
      <rPr>
        <sz val="10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 % HDP)</t>
    </r>
  </si>
  <si>
    <t xml:space="preserve">Graf 29: Fiškálny impulz v rokoch 2017-2021 (% HDP) </t>
  </si>
  <si>
    <t xml:space="preserve">Fiškálny impulz </t>
  </si>
  <si>
    <t>p.m. produkčná medzera RRZ</t>
  </si>
  <si>
    <t>EU(NRVS)</t>
  </si>
  <si>
    <t>p.m. produkčná medzera MF SR</t>
  </si>
  <si>
    <t>EU (IFP)</t>
  </si>
  <si>
    <t xml:space="preserve">Graf 30: Predpokladané čerpanie EÚ príjmov v rokoch 2017-2021 (% HDP) </t>
  </si>
  <si>
    <t>Príjmy z rozpočtu EÚ (NRVS 2019-2021)</t>
  </si>
  <si>
    <t>Príjmy z rozpočtu EÚ (VpMP)</t>
  </si>
  <si>
    <t>Príjmy z rozpočtu EÚ (RRZ)</t>
  </si>
  <si>
    <t>Prognóza</t>
  </si>
  <si>
    <t>Graf 17: 2-percentná odchýlka prognózy 2019 až 2021</t>
  </si>
  <si>
    <t xml:space="preserve"> 2-percentná odchýlka prognózy</t>
  </si>
  <si>
    <t>HDP reálny rast v %, Slovensko</t>
  </si>
  <si>
    <t>Skut.</t>
  </si>
  <si>
    <t>Rozdiel oproti minulému roku</t>
  </si>
  <si>
    <t xml:space="preserve">Inštitúcia </t>
  </si>
  <si>
    <t>VpMP (september 2018 v. 2017)</t>
  </si>
  <si>
    <t>medián členov VpMP</t>
  </si>
  <si>
    <t>KRRZ (november 2018)</t>
  </si>
  <si>
    <t>MMF (október 2018 v. 2017)</t>
  </si>
  <si>
    <t>EK (nov. 2018 v. nov. 2017)</t>
  </si>
  <si>
    <t>OECD (jún 2018 v. nov. 2017)</t>
  </si>
  <si>
    <t>HDP reálny rast v %, eurozóna</t>
  </si>
  <si>
    <t>OECD (sept. 2018 v. nov. 2017)</t>
  </si>
  <si>
    <t>Zdroj: MF SR, MMF, OECD, EK (AMECO), KRRZ (Kancelária RRZ)</t>
  </si>
  <si>
    <t>Ukazovateľ (jesenné prognózy na rok t+1)</t>
  </si>
  <si>
    <t>BIAS (vychýlenosť prognózy)</t>
  </si>
  <si>
    <t>SE (štandardná chyba)</t>
  </si>
  <si>
    <t xml:space="preserve"> + optimizmus, - pesimizmus</t>
  </si>
  <si>
    <t>VpMP</t>
  </si>
  <si>
    <t>HDP, reálny rast</t>
  </si>
  <si>
    <t>Spotreba domácností, reálny rast</t>
  </si>
  <si>
    <t>Spotreba verejnej správy, reálny rast</t>
  </si>
  <si>
    <t>Fixné investície, reálny rast</t>
  </si>
  <si>
    <t>Export tovarov a služieb, reálny rast</t>
  </si>
  <si>
    <t>Import tovarov a služieb, reálny rast</t>
  </si>
  <si>
    <t>Zamestnanosť, rast</t>
  </si>
  <si>
    <t>Nominálna mzda, rast</t>
  </si>
  <si>
    <t>Reálna mzda, rast</t>
  </si>
  <si>
    <t>Miera nezamestnanosti, p.b.</t>
  </si>
  <si>
    <t>Index spotrebiteľských cien, rast</t>
  </si>
  <si>
    <t>Tab 18: Prognózy Výboru pre makroekonomické prognózy</t>
  </si>
  <si>
    <t>Ukazovateľ (v %)</t>
  </si>
  <si>
    <t>Revízia*</t>
  </si>
  <si>
    <t>Prognóza (september 2018)</t>
  </si>
  <si>
    <t>Rozdiel (september 2017)</t>
  </si>
  <si>
    <r>
      <t>HDP, reálny rast</t>
    </r>
    <r>
      <rPr>
        <sz val="9"/>
        <color rgb="FF00B0F0"/>
        <rFont val="Constantia"/>
        <family val="1"/>
        <charset val="238"/>
      </rPr>
      <t>*</t>
    </r>
  </si>
  <si>
    <t>Inflácia, priemerná ročná; CPI</t>
  </si>
  <si>
    <t>Zamestnanosť (ESA), rast</t>
  </si>
  <si>
    <t>Miera nezamestnanosti (VZPS)</t>
  </si>
  <si>
    <r>
      <t>Spotreba domácností, reálny rast</t>
    </r>
    <r>
      <rPr>
        <sz val="9"/>
        <color rgb="FF00B0F0"/>
        <rFont val="Constantia"/>
        <family val="1"/>
        <charset val="238"/>
      </rPr>
      <t>*</t>
    </r>
  </si>
  <si>
    <r>
      <t>Investície, reálny rast</t>
    </r>
    <r>
      <rPr>
        <sz val="9"/>
        <color rgb="FF00B0F0"/>
        <rFont val="Constantia"/>
        <family val="1"/>
        <charset val="238"/>
      </rPr>
      <t>*</t>
    </r>
  </si>
  <si>
    <r>
      <t>Export tovarov a služieb, reálny rast</t>
    </r>
    <r>
      <rPr>
        <sz val="9"/>
        <color rgb="FF00B0F0"/>
        <rFont val="Constantia"/>
        <family val="1"/>
        <charset val="238"/>
      </rPr>
      <t>*</t>
    </r>
  </si>
  <si>
    <r>
      <t>Vážené základne pre rozpočtové príjmy</t>
    </r>
    <r>
      <rPr>
        <sz val="9"/>
        <color rgb="FF00B0F0"/>
        <rFont val="Constantia"/>
        <family val="1"/>
        <charset val="238"/>
      </rPr>
      <t>*</t>
    </r>
  </si>
  <si>
    <t xml:space="preserve"> * Revízia údajov ŠÚ SR k 30.9.2018</t>
  </si>
  <si>
    <t>Tab 19: Odhad za rok 2018 a odhad vplyvu opatrení s vplyvom na HDP, rozdiel voči VpMP (% HDP)</t>
  </si>
  <si>
    <t>odhad</t>
  </si>
  <si>
    <t>NPC + riziká</t>
  </si>
  <si>
    <t>NPC + riziká + opatrenia</t>
  </si>
  <si>
    <t>Kumulatívne opatrenia (+/- vplyv na saldo)</t>
  </si>
  <si>
    <t>Vládna spotreba a investície</t>
  </si>
  <si>
    <t>z toho Medzispotreba vlády</t>
  </si>
  <si>
    <t>Vládne investície</t>
  </si>
  <si>
    <t>Súkromná spotreba a investície</t>
  </si>
  <si>
    <t>Kumulatívny vplyv na HDP</t>
  </si>
  <si>
    <t>Ukazovateľ (rast v %)</t>
  </si>
  <si>
    <t>Rozdiel voči VpMP (NPC + riziká +opatrenia)</t>
  </si>
  <si>
    <t>Spotrebiteľská inflácia</t>
  </si>
  <si>
    <t>Zamestnanosť (výkazníctvo)</t>
  </si>
  <si>
    <t>Nominálna mzda</t>
  </si>
  <si>
    <t>Reálna spotreba domácností</t>
  </si>
  <si>
    <t>Vládna spotreba</t>
  </si>
  <si>
    <t>Fixné investície</t>
  </si>
  <si>
    <t>Dovoz</t>
  </si>
  <si>
    <t>Reálne HDP</t>
  </si>
  <si>
    <t>Produkčná medzera</t>
  </si>
  <si>
    <t>Prognóza (september 2018) + intervaly spoľahlivosti v scenároch</t>
  </si>
  <si>
    <t>Vážené základne pre rozpočtové príjmy (VpMp)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</si>
  <si>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Constantia"/>
        <family val="1"/>
        <charset val="238"/>
      </rPr>
      <t>40 % pravdepodobnosť</t>
    </r>
  </si>
  <si>
    <t>6,5-5,9</t>
  </si>
  <si>
    <t>5,9-7,2</t>
  </si>
  <si>
    <t>4,7-7,5</t>
  </si>
  <si>
    <t>3,4-7,3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</si>
  <si>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Constantia"/>
        <family val="1"/>
        <charset val="238"/>
      </rPr>
      <t>60 % pravdepodobnosť</t>
    </r>
  </si>
  <si>
    <t>6,3-7,1</t>
  </si>
  <si>
    <t>5,5-7,6</t>
  </si>
  <si>
    <t>3,9-8,3</t>
  </si>
  <si>
    <t>2,2-8,5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</si>
  <si>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Constantia"/>
        <family val="1"/>
        <charset val="238"/>
      </rPr>
      <t>80 % pravdepodobnosť</t>
    </r>
  </si>
  <si>
    <t>6,1-7,3</t>
  </si>
  <si>
    <t>4,9-8,1</t>
  </si>
  <si>
    <t>2,8-9,4</t>
  </si>
  <si>
    <t>0,6-10,1</t>
  </si>
  <si>
    <t>Graf 8: Rast zahraničného dopytu spomalí (príspevky v p.b.)</t>
  </si>
  <si>
    <t>Zahraničný dopyt spolu</t>
  </si>
  <si>
    <t>Nemecko</t>
  </si>
  <si>
    <t>Susedia</t>
  </si>
  <si>
    <t>Ostatné štáty EÚ</t>
  </si>
  <si>
    <t>Ostatné štáty mimo EÚ</t>
  </si>
  <si>
    <t>2018F</t>
  </si>
  <si>
    <t>2019F</t>
  </si>
  <si>
    <t>2020F</t>
  </si>
  <si>
    <t>2021F</t>
  </si>
  <si>
    <t>Zdroj: prognózy MMF, RRZ</t>
  </si>
  <si>
    <t>Graf 9: Koniec prehrievania v ekonomikách (produkčná medzera v % HDP)</t>
  </si>
  <si>
    <t>Eurozóna</t>
  </si>
  <si>
    <t>USA</t>
  </si>
  <si>
    <t>Slovensko (VpMP)</t>
  </si>
  <si>
    <t>Slovensko (KRRZ)</t>
  </si>
  <si>
    <t>Zdroj: prognózy MMF, MF SR, KRRZ</t>
  </si>
  <si>
    <t>Graf 10: Príspevky k rastu HDP (%) - investície, čistý export - prognóza VpMP</t>
  </si>
  <si>
    <t>rast HDP</t>
  </si>
  <si>
    <t>Čistý export</t>
  </si>
  <si>
    <t>rast HDP (bez JLR, VW)</t>
  </si>
  <si>
    <t>Graf 11: Utlmený rast spotreby domácností (rast v %)</t>
  </si>
  <si>
    <t>rast spotreby domácností</t>
  </si>
  <si>
    <t>Graf 12: Riziká pre ekonomický rast vyplývajúce z nastavenia fiškálnej politiky (rast HDP v %)</t>
  </si>
  <si>
    <t>Oficiálna prognóza VpMP</t>
  </si>
  <si>
    <t>Fiškálne scenáre návrhu rozpočtu (min)</t>
  </si>
  <si>
    <t>Scenár NPC (min) a scenár po zohľadnení rizík RRZ (max)</t>
  </si>
  <si>
    <t>NPC scenár podľa VpMP</t>
  </si>
  <si>
    <t xml:space="preserve">O scenár podľa VpMP </t>
  </si>
  <si>
    <t>Graf 13: Verejné investície (bežné ceny, rast v %)</t>
  </si>
  <si>
    <t>%</t>
  </si>
  <si>
    <t>prognóza VpMP</t>
  </si>
  <si>
    <t>Scenár po zohľadnení rizík a dodatočných opatrení</t>
  </si>
  <si>
    <t>Graf 14: Prognózy rastu spotreby verejnej správy na obdobie t+1 (%)</t>
  </si>
  <si>
    <t>medián členov</t>
  </si>
  <si>
    <t>dol.percentil</t>
  </si>
  <si>
    <t>50% členov</t>
  </si>
  <si>
    <t>skutočnosť</t>
  </si>
  <si>
    <t>Zdroj: MF SR, RRZ</t>
  </si>
  <si>
    <t>Min</t>
  </si>
  <si>
    <t>d80</t>
  </si>
  <si>
    <t>d60</t>
  </si>
  <si>
    <t>d40</t>
  </si>
  <si>
    <t>d20</t>
  </si>
  <si>
    <t>h20</t>
  </si>
  <si>
    <t>h40</t>
  </si>
  <si>
    <t>h60</t>
  </si>
  <si>
    <t>Max</t>
  </si>
  <si>
    <t>Prognóza VpMP (september 2018)</t>
  </si>
  <si>
    <t>Graf 31: Makroekonomické riziko vplývajúce na saldo verejnej správy</t>
  </si>
  <si>
    <t>d40-h40</t>
  </si>
  <si>
    <t>VpDP (sept. 2018)</t>
  </si>
  <si>
    <t>Graf 16: Historické odchýlky prognóz VpDP (%)</t>
  </si>
  <si>
    <t>rok</t>
  </si>
  <si>
    <t>prognóza VpDP (ESA2010, mil. eur)</t>
  </si>
  <si>
    <t>skutočnosť (ESA2010, mil. eur)</t>
  </si>
  <si>
    <t>odchýlka prognózy (%)</t>
  </si>
  <si>
    <t>produkčná medzera (%)</t>
  </si>
  <si>
    <t>Tab 14: Zmena štrukturálneho salda VS v rokoch 2017 až 2021 podľa RRZ (ESA2010, %HDP)</t>
  </si>
  <si>
    <r>
      <t>Tab</t>
    </r>
    <r>
      <rPr>
        <b/>
        <sz val="10"/>
        <color rgb="FF13B5EB"/>
        <rFont val="Constantia"/>
        <family val="1"/>
        <charset val="238"/>
      </rPr>
      <t xml:space="preserve"> 21: Riziká prognózy rastu základní rozhodujúcich pre rozpočtové príjmy</t>
    </r>
  </si>
  <si>
    <t xml:space="preserve"> - príjmy z nešpecifikovaného nového opatrenia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</si>
</sst>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#,##0.0"/>
    <numFmt numFmtId="165" formatCode="0.0"/>
    <numFmt numFmtId="166" formatCode="0.000"/>
    <numFmt numFmtId="167" formatCode="0.00000"/>
    <numFmt numFmtId="168" formatCode="#,##0.000"/>
    <numFmt numFmtId="169" formatCode="#,##0.0000"/>
    <numFmt numFmtId="170" formatCode="[$-409]mmm\-yy;@"/>
    <numFmt numFmtId="171" formatCode="#,##0_ ;[Red]\-#,##0\ "/>
    <numFmt numFmtId="172" formatCode="0_ ;[Red]\-0\ "/>
    <numFmt numFmtId="173" formatCode="#,##0.0_ ;[Red]\-#,##0.0\ "/>
    <numFmt numFmtId="174" formatCode="#,##0.00000"/>
    <numFmt numFmtId="175" formatCode="0.0%"/>
    <numFmt numFmtId="176" formatCode="mm\-yy"/>
  </numFmts>
  <fonts count="1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b/>
      <sz val="9"/>
      <color theme="0"/>
      <name val="Constantia"/>
      <family val="1"/>
      <charset val="238"/>
    </font>
    <font>
      <sz val="9"/>
      <color theme="1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i/>
      <sz val="8"/>
      <color rgb="FF00B0F0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sz val="9"/>
      <color theme="1"/>
      <name val="Constantia"/>
      <family val="1"/>
    </font>
    <font>
      <b/>
      <sz val="9"/>
      <name val="Constantia"/>
      <family val="1"/>
      <charset val="238"/>
    </font>
    <font>
      <i/>
      <sz val="8"/>
      <color theme="1"/>
      <name val="Calibri"/>
      <family val="2"/>
      <charset val="238"/>
      <scheme val="minor"/>
    </font>
    <font>
      <sz val="11"/>
      <color theme="1"/>
      <name val="Constantia"/>
      <family val="1"/>
      <charset val="238"/>
    </font>
    <font>
      <b/>
      <sz val="11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0"/>
      <color theme="1"/>
      <name val="Constantia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FFFFFF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9"/>
      <color rgb="FFFF0000"/>
      <name val="Constantia"/>
      <family val="1"/>
      <charset val="238"/>
    </font>
    <font>
      <b/>
      <sz val="9"/>
      <color theme="1"/>
      <name val="Constantia"/>
      <family val="1"/>
      <charset val="238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rgb="FF13B5EA"/>
      <name val="Constantia"/>
      <family val="1"/>
      <charset val="238"/>
    </font>
    <font>
      <i/>
      <sz val="9"/>
      <color theme="1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b/>
      <sz val="10"/>
      <color rgb="FF13B5EA"/>
      <name val="Constantia"/>
      <family val="1"/>
    </font>
    <font>
      <b/>
      <sz val="9"/>
      <color theme="0"/>
      <name val="Constantia"/>
      <family val="1"/>
    </font>
    <font>
      <b/>
      <sz val="9"/>
      <color theme="1"/>
      <name val="Constantia"/>
      <family val="1"/>
    </font>
    <font>
      <i/>
      <sz val="8"/>
      <color rgb="FF13B5EA"/>
      <name val="Constantia"/>
      <family val="1"/>
    </font>
    <font>
      <sz val="9"/>
      <color theme="0"/>
      <name val="Constantia"/>
      <family val="1"/>
      <charset val="238"/>
    </font>
    <font>
      <b/>
      <sz val="10"/>
      <color theme="0"/>
      <name val="Constantia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onstantia"/>
      <family val="1"/>
      <charset val="238"/>
    </font>
    <font>
      <sz val="10"/>
      <name val="Constantia"/>
      <family val="1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Constantia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Constantia"/>
      <family val="1"/>
      <charset val="238"/>
    </font>
    <font>
      <sz val="11"/>
      <color theme="0"/>
      <name val="Constantia"/>
      <family val="1"/>
      <charset val="238"/>
    </font>
    <font>
      <sz val="10"/>
      <name val="times new roman"/>
      <family val="1"/>
      <charset val="238"/>
    </font>
    <font>
      <sz val="9"/>
      <color indexed="8"/>
      <name val="Constantia"/>
      <family val="1"/>
      <charset val="238"/>
    </font>
    <font>
      <i/>
      <sz val="9"/>
      <name val="Constantia"/>
      <family val="1"/>
      <charset val="238"/>
    </font>
    <font>
      <sz val="11"/>
      <color rgb="FFFF0000"/>
      <name val="Constantia"/>
      <family val="1"/>
      <charset val="238"/>
    </font>
    <font>
      <b/>
      <i/>
      <sz val="9"/>
      <color rgb="FF13B5EA"/>
      <name val="Constantia"/>
      <family val="1"/>
      <charset val="238"/>
    </font>
    <font>
      <sz val="10"/>
      <name val="Arial"/>
      <family val="2"/>
    </font>
    <font>
      <b/>
      <i/>
      <sz val="9"/>
      <color theme="1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b/>
      <i/>
      <sz val="9"/>
      <color rgb="FFFFFFFF"/>
      <name val="Constantia"/>
      <family val="1"/>
      <charset val="238"/>
    </font>
    <font>
      <sz val="9"/>
      <color rgb="FFFFFFFF"/>
      <name val="Constantia"/>
      <family val="1"/>
      <charset val="238"/>
    </font>
    <font>
      <sz val="9"/>
      <color theme="0"/>
      <name val="Constantia"/>
      <family val="1"/>
    </font>
    <font>
      <sz val="8"/>
      <color theme="0"/>
      <name val="Constantia"/>
      <family val="1"/>
    </font>
    <font>
      <sz val="9"/>
      <name val="Constantia"/>
      <family val="1"/>
    </font>
    <font>
      <b/>
      <sz val="9"/>
      <name val="Constantia"/>
      <family val="1"/>
    </font>
    <font>
      <sz val="8"/>
      <color rgb="FF13B5EA"/>
      <name val="Constantia"/>
      <family val="1"/>
      <charset val="238"/>
    </font>
    <font>
      <b/>
      <sz val="11"/>
      <color rgb="FFFFFFFF"/>
      <name val="Calibri"/>
      <family val="2"/>
      <charset val="238"/>
    </font>
    <font>
      <b/>
      <sz val="10"/>
      <color rgb="FF13B5EA"/>
      <name val="Times New Roman"/>
      <family val="1"/>
      <charset val="238"/>
    </font>
    <font>
      <sz val="9"/>
      <color rgb="FF13B5EA"/>
      <name val="Constantia"/>
      <family val="1"/>
    </font>
    <font>
      <b/>
      <sz val="9"/>
      <color rgb="FF13B5EA"/>
      <name val="Constantia"/>
      <family val="1"/>
    </font>
    <font>
      <sz val="6"/>
      <color rgb="FF13B5EA"/>
      <name val="Constantia"/>
      <family val="1"/>
      <charset val="238"/>
    </font>
    <font>
      <b/>
      <sz val="10"/>
      <color rgb="FFFFFFFF"/>
      <name val="Constantia"/>
      <family val="1"/>
    </font>
    <font>
      <b/>
      <sz val="9"/>
      <color rgb="FFFFFFFF"/>
      <name val="Constantia"/>
      <family val="1"/>
    </font>
    <font>
      <b/>
      <sz val="9"/>
      <color rgb="FF000000"/>
      <name val="Constantia"/>
      <family val="1"/>
    </font>
    <font>
      <sz val="9"/>
      <color rgb="FF000000"/>
      <name val="Constantia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b/>
      <sz val="8"/>
      <color rgb="FF13B5EA"/>
      <name val="Constantia"/>
      <family val="1"/>
      <charset val="238"/>
    </font>
    <font>
      <b/>
      <sz val="8"/>
      <color rgb="FFFFFFFF"/>
      <name val="Constantia"/>
      <family val="1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0"/>
      <name val="Constantia"/>
      <family val="1"/>
      <charset val="238"/>
    </font>
    <font>
      <b/>
      <sz val="10"/>
      <color rgb="FF000000"/>
      <name val="Constantia"/>
      <family val="1"/>
      <charset val="238"/>
    </font>
    <font>
      <b/>
      <sz val="10"/>
      <color theme="1"/>
      <name val="Constantia"/>
      <family val="1"/>
    </font>
    <font>
      <b/>
      <sz val="16"/>
      <color rgb="FF13B5EA"/>
      <name val="Constantia"/>
      <family val="1"/>
      <charset val="238"/>
    </font>
    <font>
      <i/>
      <sz val="10"/>
      <color theme="1"/>
      <name val="Constantia"/>
      <family val="1"/>
      <charset val="238"/>
    </font>
    <font>
      <sz val="11"/>
      <name val="Calibri"/>
      <family val="2"/>
      <charset val="238"/>
    </font>
    <font>
      <b/>
      <sz val="10"/>
      <color rgb="FFFF0000"/>
      <name val="Constantia"/>
      <family val="1"/>
      <charset val="238"/>
    </font>
    <font>
      <b/>
      <sz val="10"/>
      <name val="Constantia"/>
      <family val="1"/>
      <charset val="238"/>
    </font>
    <font>
      <b/>
      <sz val="9"/>
      <color rgb="FF00B0F0"/>
      <name val="Constantia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sz val="8"/>
      <name val="Constantia"/>
      <family val="1"/>
      <charset val="238"/>
    </font>
    <font>
      <i/>
      <sz val="8"/>
      <name val="Constantia"/>
      <family val="1"/>
      <charset val="238"/>
    </font>
    <font>
      <sz val="10"/>
      <color rgb="FF13B5EA"/>
      <name val="Constantia"/>
      <family val="1"/>
      <charset val="238"/>
    </font>
    <font>
      <b/>
      <sz val="9"/>
      <color indexed="8"/>
      <name val="Constantia"/>
      <family val="1"/>
      <charset val="238"/>
    </font>
    <font>
      <sz val="10"/>
      <name val="MS Sans Serif"/>
      <family val="2"/>
    </font>
    <font>
      <b/>
      <sz val="14"/>
      <name val="Arial Narrow"/>
      <family val="2"/>
      <charset val="238"/>
    </font>
    <font>
      <i/>
      <sz val="10"/>
      <color rgb="FF13B5EA"/>
      <name val="Constantia"/>
      <family val="1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rgb="FF3366FF"/>
      <name val="Constantia"/>
      <family val="1"/>
      <charset val="238"/>
    </font>
    <font>
      <b/>
      <sz val="10"/>
      <name val="Arial"/>
      <family val="2"/>
      <charset val="238"/>
    </font>
    <font>
      <sz val="11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rgb="FF2C9ADC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9"/>
      <color rgb="FFFF0000"/>
      <name val="Constantia"/>
      <family val="1"/>
      <charset val="238"/>
    </font>
    <font>
      <i/>
      <sz val="9"/>
      <color rgb="FFFF0000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sz val="10"/>
      <color rgb="FF000000"/>
      <name val="Constantia"/>
      <family val="1"/>
      <charset val="238"/>
    </font>
    <font>
      <sz val="11"/>
      <color indexed="8"/>
      <name val="Arial Narrow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onstantia"/>
      <family val="1"/>
      <charset val="238"/>
    </font>
    <font>
      <b/>
      <sz val="11"/>
      <color theme="0"/>
      <name val="Constantia"/>
      <family val="1"/>
      <charset val="238"/>
    </font>
    <font>
      <i/>
      <sz val="8"/>
      <color theme="1"/>
      <name val="Constantia"/>
      <family val="1"/>
      <charset val="238"/>
    </font>
    <font>
      <sz val="9"/>
      <color indexed="10"/>
      <name val="Arial Narrow"/>
      <family val="2"/>
      <charset val="238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rgb="FF00B0F0"/>
      <name val="Constantia"/>
      <family val="1"/>
      <charset val="238"/>
    </font>
    <font>
      <sz val="10"/>
      <name val="Arial"/>
    </font>
    <font>
      <b/>
      <sz val="10"/>
      <color rgb="FF13B5EB"/>
      <name val="Constantia"/>
      <family val="1"/>
      <charset val="238"/>
    </font>
    <font>
      <sz val="10"/>
      <color rgb="FFFFFFFF"/>
      <name val="Constantia"/>
      <family val="1"/>
      <charset val="238"/>
    </font>
    <font>
      <u/>
      <sz val="10"/>
      <name val="Arial"/>
      <family val="2"/>
      <charset val="238"/>
    </font>
    <font>
      <sz val="9"/>
      <color rgb="FF00B0F0"/>
      <name val="Constantia"/>
      <family val="1"/>
      <charset val="238"/>
    </font>
    <font>
      <i/>
      <sz val="9"/>
      <color rgb="FF00B0F0"/>
      <name val="Constantia"/>
      <family val="1"/>
      <charset val="238"/>
    </font>
    <font>
      <sz val="7"/>
      <color rgb="FF000000"/>
      <name val="Times New Roman"/>
      <family val="1"/>
      <charset val="238"/>
    </font>
    <font>
      <i/>
      <sz val="9"/>
      <color rgb="FF66CCFF"/>
      <name val="Constantia"/>
      <family val="1"/>
      <charset val="238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3B5EB"/>
        <bgColor indexed="64"/>
      </patternFill>
    </fill>
    <fill>
      <patternFill patternType="solid">
        <fgColor rgb="FF00B0F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/>
      <right/>
      <top/>
      <bottom style="medium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thin">
        <color rgb="FF13B5EA"/>
      </left>
      <right style="medium">
        <color rgb="FF13B5EA"/>
      </right>
      <top style="thin">
        <color rgb="FF13B5EA"/>
      </top>
      <bottom/>
      <diagonal/>
    </border>
    <border>
      <left/>
      <right style="medium">
        <color rgb="FF13B5EA"/>
      </right>
      <top style="thin">
        <color rgb="FF13B5EA"/>
      </top>
      <bottom/>
      <diagonal/>
    </border>
    <border>
      <left/>
      <right style="thin">
        <color rgb="FF13B5EA"/>
      </right>
      <top style="thin">
        <color rgb="FF13B5EA"/>
      </top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 style="thin">
        <color rgb="FF13B5EA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13B5EA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13B5EA"/>
      </right>
      <top/>
      <bottom style="thin">
        <color theme="0"/>
      </bottom>
      <diagonal/>
    </border>
    <border>
      <left style="thin">
        <color rgb="FF13B5E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rgb="FF13B5EA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13B5EA"/>
      </right>
      <top style="thin">
        <color theme="0"/>
      </top>
      <bottom/>
      <diagonal/>
    </border>
    <border>
      <left style="thin">
        <color rgb="FF13B5EA"/>
      </left>
      <right/>
      <top style="thin">
        <color theme="0"/>
      </top>
      <bottom/>
      <diagonal/>
    </border>
    <border>
      <left style="thin">
        <color rgb="FF13B5EA"/>
      </left>
      <right style="thin">
        <color rgb="FF13B5EA"/>
      </right>
      <top style="thin">
        <color theme="0"/>
      </top>
      <bottom/>
      <diagonal/>
    </border>
    <border>
      <left style="thin">
        <color theme="0"/>
      </left>
      <right style="thin">
        <color rgb="FF13B5EA"/>
      </right>
      <top style="thin">
        <color theme="0"/>
      </top>
      <bottom/>
      <diagonal/>
    </border>
    <border>
      <left style="thin">
        <color theme="0"/>
      </left>
      <right style="thin">
        <color rgb="FF13B5EA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rgb="FF13B5EA"/>
      </bottom>
      <diagonal/>
    </border>
    <border>
      <left/>
      <right style="thin">
        <color theme="0"/>
      </right>
      <top/>
      <bottom style="thin">
        <color rgb="FF13B5EA"/>
      </bottom>
      <diagonal/>
    </border>
    <border>
      <left style="thin">
        <color rgb="FF13B5EA"/>
      </left>
      <right style="thin">
        <color theme="0"/>
      </right>
      <top style="thin">
        <color rgb="FF13B5EA"/>
      </top>
      <bottom/>
      <diagonal/>
    </border>
    <border>
      <left style="thin">
        <color rgb="FF13B5EA"/>
      </left>
      <right style="thin">
        <color theme="0"/>
      </right>
      <top/>
      <bottom style="thin">
        <color rgb="FF13B5EA"/>
      </bottom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/>
      <right style="medium">
        <color rgb="FF13B5EA"/>
      </right>
      <top/>
      <bottom/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/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 style="medium">
        <color rgb="FF13B5EA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rgb="FF13B5EA"/>
      </top>
      <bottom/>
      <diagonal/>
    </border>
    <border>
      <left style="thin">
        <color theme="0"/>
      </left>
      <right/>
      <top style="thin">
        <color rgb="FF13B5EA"/>
      </top>
      <bottom/>
      <diagonal/>
    </border>
    <border>
      <left style="thin">
        <color rgb="FF13B5EA"/>
      </left>
      <right style="thin">
        <color theme="0"/>
      </right>
      <top/>
      <bottom style="medium">
        <color rgb="FF13B5EA"/>
      </bottom>
      <diagonal/>
    </border>
    <border>
      <left style="thin">
        <color theme="0"/>
      </left>
      <right/>
      <top/>
      <bottom style="medium">
        <color rgb="FF13B5EA"/>
      </bottom>
      <diagonal/>
    </border>
    <border>
      <left/>
      <right style="thin">
        <color rgb="FF13B5EA"/>
      </right>
      <top/>
      <bottom style="medium">
        <color rgb="FF13B5EA"/>
      </bottom>
      <diagonal/>
    </border>
    <border>
      <left/>
      <right style="thin">
        <color rgb="FF13B5EA"/>
      </right>
      <top style="medium">
        <color rgb="FF13B5EA"/>
      </top>
      <bottom/>
      <diagonal/>
    </border>
    <border>
      <left style="thin">
        <color rgb="FF13B5EA"/>
      </left>
      <right style="thin">
        <color rgb="FF13B5EA"/>
      </right>
      <top/>
      <bottom style="thin">
        <color rgb="FF13B5EB"/>
      </bottom>
      <diagonal/>
    </border>
    <border>
      <left/>
      <right/>
      <top/>
      <bottom style="thin">
        <color rgb="FF13B5EB"/>
      </bottom>
      <diagonal/>
    </border>
    <border>
      <left/>
      <right style="thin">
        <color rgb="FF13B5EA"/>
      </right>
      <top/>
      <bottom style="thin">
        <color rgb="FF13B5EB"/>
      </bottom>
      <diagonal/>
    </border>
    <border>
      <left/>
      <right/>
      <top style="thin">
        <color rgb="FF13B5EB"/>
      </top>
      <bottom/>
      <diagonal/>
    </border>
    <border>
      <left style="thin">
        <color rgb="FF13B5EB"/>
      </left>
      <right style="thin">
        <color rgb="FF13B5EB"/>
      </right>
      <top/>
      <bottom/>
      <diagonal/>
    </border>
    <border>
      <left/>
      <right style="thin">
        <color rgb="FF13B5EB"/>
      </right>
      <top/>
      <bottom/>
      <diagonal/>
    </border>
    <border>
      <left style="thin">
        <color rgb="FF13B5EB"/>
      </left>
      <right style="thin">
        <color rgb="FF13B5EB"/>
      </right>
      <top/>
      <bottom style="thin">
        <color rgb="FF13B5EB"/>
      </bottom>
      <diagonal/>
    </border>
    <border>
      <left/>
      <right style="thin">
        <color rgb="FF13B5EB"/>
      </right>
      <top/>
      <bottom style="thin">
        <color rgb="FF13B5EB"/>
      </bottom>
      <diagonal/>
    </border>
    <border>
      <left style="thin">
        <color rgb="FF13B5EB"/>
      </left>
      <right/>
      <top/>
      <bottom/>
      <diagonal/>
    </border>
    <border>
      <left style="thin">
        <color rgb="FF13B5EB"/>
      </left>
      <right/>
      <top/>
      <bottom style="thin">
        <color rgb="FF13B5EA"/>
      </bottom>
      <diagonal/>
    </border>
    <border>
      <left/>
      <right style="thin">
        <color rgb="FF13B5EB"/>
      </right>
      <top/>
      <bottom style="thin">
        <color rgb="FF13B5EA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 style="thin">
        <color theme="0"/>
      </right>
      <top style="thin">
        <color rgb="FF00B0F0"/>
      </top>
      <bottom/>
      <diagonal/>
    </border>
    <border>
      <left/>
      <right style="thin">
        <color theme="0"/>
      </right>
      <top style="thin">
        <color rgb="FF00B0F0"/>
      </top>
      <bottom/>
      <diagonal/>
    </border>
    <border>
      <left style="thin">
        <color rgb="FF00B0F0"/>
      </left>
      <right style="thin">
        <color theme="0"/>
      </right>
      <top/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13B5EB"/>
      </left>
      <right style="thin">
        <color rgb="FF13B5EB"/>
      </right>
      <top/>
      <bottom style="thin">
        <color rgb="FF00B0F0"/>
      </bottom>
      <diagonal/>
    </border>
    <border>
      <left/>
      <right/>
      <top/>
      <bottom style="thin">
        <color rgb="FF13B5EE"/>
      </bottom>
      <diagonal/>
    </border>
  </borders>
  <cellStyleXfs count="38">
    <xf numFmtId="0" fontId="0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42" fillId="0" borderId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8" fillId="0" borderId="0"/>
    <xf numFmtId="9" fontId="42" fillId="0" borderId="0" applyFont="0" applyFill="0" applyBorder="0" applyAlignment="0" applyProtection="0"/>
    <xf numFmtId="0" fontId="42" fillId="0" borderId="0"/>
    <xf numFmtId="170" fontId="53" fillId="0" borderId="0"/>
    <xf numFmtId="43" fontId="3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42" fillId="0" borderId="0" applyFont="0" applyFill="0" applyBorder="0" applyAlignment="0" applyProtection="0"/>
    <xf numFmtId="0" fontId="92" fillId="0" borderId="0"/>
    <xf numFmtId="0" fontId="45" fillId="0" borderId="0"/>
    <xf numFmtId="0" fontId="42" fillId="0" borderId="0"/>
    <xf numFmtId="0" fontId="1" fillId="0" borderId="0"/>
    <xf numFmtId="0" fontId="122" fillId="0" borderId="0"/>
    <xf numFmtId="9" fontId="1" fillId="0" borderId="0" applyFont="0" applyFill="0" applyBorder="0" applyAlignment="0" applyProtection="0"/>
    <xf numFmtId="0" fontId="1" fillId="0" borderId="0"/>
    <xf numFmtId="0" fontId="132" fillId="0" borderId="0"/>
    <xf numFmtId="0" fontId="42" fillId="0" borderId="0"/>
    <xf numFmtId="0" fontId="3" fillId="0" borderId="0"/>
    <xf numFmtId="0" fontId="42" fillId="0" borderId="0"/>
    <xf numFmtId="0" fontId="3" fillId="0" borderId="0"/>
    <xf numFmtId="9" fontId="42" fillId="0" borderId="0" applyFon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</cellStyleXfs>
  <cellXfs count="1651">
    <xf numFmtId="0" fontId="0" fillId="0" borderId="0" xfId="0"/>
    <xf numFmtId="0" fontId="6" fillId="0" borderId="0" xfId="1" applyFont="1" applyAlignment="1">
      <alignment vertical="center"/>
    </xf>
    <xf numFmtId="0" fontId="3" fillId="0" borderId="0" xfId="1"/>
    <xf numFmtId="0" fontId="3" fillId="0" borderId="0" xfId="2"/>
    <xf numFmtId="0" fontId="6" fillId="0" borderId="0" xfId="2" applyFont="1"/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1" fontId="3" fillId="0" borderId="0" xfId="2" applyNumberFormat="1"/>
    <xf numFmtId="0" fontId="8" fillId="0" borderId="0" xfId="2" applyFont="1" applyFill="1"/>
    <xf numFmtId="3" fontId="8" fillId="0" borderId="0" xfId="2" applyNumberFormat="1" applyFont="1" applyFill="1"/>
    <xf numFmtId="1" fontId="8" fillId="0" borderId="0" xfId="2" applyNumberFormat="1" applyFont="1" applyFill="1"/>
    <xf numFmtId="0" fontId="8" fillId="0" borderId="1" xfId="2" applyFont="1" applyFill="1" applyBorder="1"/>
    <xf numFmtId="1" fontId="8" fillId="0" borderId="1" xfId="2" applyNumberFormat="1" applyFont="1" applyFill="1" applyBorder="1"/>
    <xf numFmtId="0" fontId="10" fillId="0" borderId="0" xfId="2" applyFont="1" applyAlignment="1">
      <alignment horizontal="right"/>
    </xf>
    <xf numFmtId="0" fontId="3" fillId="3" borderId="0" xfId="1" applyFill="1"/>
    <xf numFmtId="0" fontId="6" fillId="3" borderId="0" xfId="1" applyFont="1" applyFill="1"/>
    <xf numFmtId="0" fontId="3" fillId="4" borderId="0" xfId="1" applyFill="1"/>
    <xf numFmtId="0" fontId="11" fillId="0" borderId="0" xfId="1" applyFont="1" applyFill="1"/>
    <xf numFmtId="3" fontId="11" fillId="0" borderId="0" xfId="1" applyNumberFormat="1" applyFont="1" applyFill="1"/>
    <xf numFmtId="164" fontId="11" fillId="0" borderId="0" xfId="1" applyNumberFormat="1" applyFont="1" applyFill="1"/>
    <xf numFmtId="0" fontId="8" fillId="0" borderId="0" xfId="1" applyFont="1" applyFill="1" applyAlignment="1">
      <alignment horizontal="left" indent="2"/>
    </xf>
    <xf numFmtId="3" fontId="12" fillId="0" borderId="0" xfId="1" applyNumberFormat="1" applyFont="1" applyFill="1"/>
    <xf numFmtId="164" fontId="13" fillId="0" borderId="0" xfId="1" applyNumberFormat="1" applyFont="1" applyFill="1"/>
    <xf numFmtId="0" fontId="8" fillId="3" borderId="0" xfId="1" applyFont="1" applyFill="1"/>
    <xf numFmtId="0" fontId="5" fillId="0" borderId="0" xfId="1" applyFont="1"/>
    <xf numFmtId="0" fontId="0" fillId="0" borderId="0" xfId="1" applyFont="1"/>
    <xf numFmtId="0" fontId="14" fillId="3" borderId="0" xfId="1" applyFont="1" applyFill="1"/>
    <xf numFmtId="0" fontId="14" fillId="0" borderId="0" xfId="1" applyFont="1" applyFill="1"/>
    <xf numFmtId="0" fontId="14" fillId="0" borderId="0" xfId="1" applyFont="1"/>
    <xf numFmtId="0" fontId="8" fillId="0" borderId="0" xfId="1" applyFont="1"/>
    <xf numFmtId="0" fontId="6" fillId="0" borderId="0" xfId="0" applyFont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3" fontId="0" fillId="0" borderId="0" xfId="0" applyNumberFormat="1"/>
    <xf numFmtId="3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indent="1"/>
    </xf>
    <xf numFmtId="0" fontId="19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3" fontId="22" fillId="0" borderId="4" xfId="0" applyNumberFormat="1" applyFont="1" applyBorder="1" applyAlignment="1">
      <alignment horizontal="right" vertical="center"/>
    </xf>
    <xf numFmtId="0" fontId="0" fillId="0" borderId="0" xfId="0" applyFill="1"/>
    <xf numFmtId="0" fontId="20" fillId="2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 indent="1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0" xfId="0" applyFill="1" applyBorder="1"/>
    <xf numFmtId="1" fontId="0" fillId="0" borderId="0" xfId="0" applyNumberFormat="1"/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14" xfId="0" applyFont="1" applyBorder="1" applyAlignment="1">
      <alignment horizontal="left" vertical="center" wrapText="1" indent="1"/>
    </xf>
    <xf numFmtId="1" fontId="8" fillId="0" borderId="10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 indent="1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 inden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" fontId="8" fillId="0" borderId="2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8" fillId="0" borderId="17" xfId="0" applyFont="1" applyBorder="1" applyAlignment="1">
      <alignment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/>
    <xf numFmtId="168" fontId="0" fillId="0" borderId="0" xfId="0" applyNumberFormat="1"/>
    <xf numFmtId="0" fontId="24" fillId="0" borderId="0" xfId="0" applyFont="1"/>
    <xf numFmtId="0" fontId="11" fillId="0" borderId="17" xfId="0" applyFont="1" applyBorder="1" applyAlignment="1">
      <alignment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0" xfId="0" applyFont="1"/>
    <xf numFmtId="3" fontId="8" fillId="0" borderId="0" xfId="0" applyNumberFormat="1" applyFont="1"/>
    <xf numFmtId="0" fontId="13" fillId="0" borderId="1" xfId="0" applyFont="1" applyBorder="1" applyAlignment="1">
      <alignment horizontal="left" indent="2"/>
    </xf>
    <xf numFmtId="164" fontId="13" fillId="0" borderId="1" xfId="0" applyNumberFormat="1" applyFont="1" applyBorder="1"/>
    <xf numFmtId="164" fontId="13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24" fillId="0" borderId="1" xfId="0" applyFont="1" applyBorder="1" applyAlignment="1">
      <alignment horizontal="left" vertical="center" indent="2"/>
    </xf>
    <xf numFmtId="165" fontId="22" fillId="0" borderId="1" xfId="0" applyNumberFormat="1" applyFont="1" applyBorder="1" applyAlignment="1">
      <alignment horizontal="right" vertical="center"/>
    </xf>
    <xf numFmtId="165" fontId="8" fillId="0" borderId="0" xfId="0" applyNumberFormat="1" applyFont="1"/>
    <xf numFmtId="0" fontId="8" fillId="0" borderId="0" xfId="0" applyFont="1" applyBorder="1"/>
    <xf numFmtId="3" fontId="8" fillId="0" borderId="0" xfId="0" applyNumberFormat="1" applyFont="1" applyBorder="1"/>
    <xf numFmtId="4" fontId="13" fillId="0" borderId="0" xfId="0" applyNumberFormat="1" applyFont="1" applyBorder="1"/>
    <xf numFmtId="169" fontId="8" fillId="0" borderId="0" xfId="0" applyNumberFormat="1" applyFont="1"/>
    <xf numFmtId="0" fontId="8" fillId="0" borderId="0" xfId="0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indent="1"/>
    </xf>
    <xf numFmtId="165" fontId="24" fillId="0" borderId="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1"/>
    </xf>
    <xf numFmtId="3" fontId="8" fillId="0" borderId="0" xfId="0" applyNumberFormat="1" applyFont="1" applyFill="1" applyAlignment="1">
      <alignment vertical="center"/>
    </xf>
    <xf numFmtId="0" fontId="12" fillId="0" borderId="0" xfId="0" applyFont="1" applyBorder="1" applyAlignment="1">
      <alignment horizontal="left" vertical="center" indent="1"/>
    </xf>
    <xf numFmtId="165" fontId="24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2" fontId="28" fillId="0" borderId="0" xfId="0" applyNumberFormat="1" applyFont="1" applyBorder="1" applyAlignment="1">
      <alignment vertical="center"/>
    </xf>
    <xf numFmtId="166" fontId="8" fillId="0" borderId="0" xfId="0" applyNumberFormat="1" applyFont="1" applyAlignment="1">
      <alignment vertical="center"/>
    </xf>
    <xf numFmtId="0" fontId="24" fillId="0" borderId="1" xfId="0" applyFont="1" applyBorder="1" applyAlignment="1">
      <alignment horizontal="left" vertical="center"/>
    </xf>
    <xf numFmtId="1" fontId="8" fillId="0" borderId="0" xfId="0" applyNumberFormat="1" applyFont="1" applyAlignment="1">
      <alignment vertical="center"/>
    </xf>
    <xf numFmtId="0" fontId="9" fillId="0" borderId="0" xfId="0" applyFont="1"/>
    <xf numFmtId="0" fontId="29" fillId="0" borderId="0" xfId="0" applyFont="1" applyAlignment="1">
      <alignment horizontal="left" vertical="center"/>
    </xf>
    <xf numFmtId="165" fontId="28" fillId="0" borderId="0" xfId="0" applyNumberFormat="1" applyFont="1" applyBorder="1" applyAlignment="1">
      <alignment vertical="center"/>
    </xf>
    <xf numFmtId="165" fontId="28" fillId="0" borderId="1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0" fontId="30" fillId="0" borderId="0" xfId="0" applyFont="1"/>
    <xf numFmtId="0" fontId="31" fillId="2" borderId="0" xfId="0" applyFont="1" applyFill="1" applyAlignment="1">
      <alignment horizontal="center" vertical="center"/>
    </xf>
    <xf numFmtId="0" fontId="12" fillId="0" borderId="0" xfId="0" applyFont="1"/>
    <xf numFmtId="0" fontId="32" fillId="0" borderId="1" xfId="0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0" fontId="12" fillId="0" borderId="0" xfId="0" applyFont="1" applyFill="1" applyBorder="1"/>
    <xf numFmtId="0" fontId="12" fillId="0" borderId="1" xfId="0" applyFont="1" applyBorder="1"/>
    <xf numFmtId="164" fontId="12" fillId="0" borderId="1" xfId="0" applyNumberFormat="1" applyFont="1" applyBorder="1"/>
    <xf numFmtId="0" fontId="30" fillId="0" borderId="0" xfId="0" applyFont="1" applyBorder="1"/>
    <xf numFmtId="0" fontId="32" fillId="0" borderId="0" xfId="0" applyFont="1"/>
    <xf numFmtId="164" fontId="32" fillId="0" borderId="0" xfId="0" applyNumberFormat="1" applyFont="1"/>
    <xf numFmtId="164" fontId="12" fillId="0" borderId="0" xfId="0" applyNumberFormat="1" applyFont="1"/>
    <xf numFmtId="164" fontId="33" fillId="0" borderId="0" xfId="0" applyNumberFormat="1" applyFont="1" applyAlignment="1">
      <alignment horizontal="right" vertical="center"/>
    </xf>
    <xf numFmtId="169" fontId="12" fillId="0" borderId="0" xfId="0" applyNumberFormat="1" applyFont="1"/>
    <xf numFmtId="164" fontId="12" fillId="0" borderId="0" xfId="0" applyNumberFormat="1" applyFont="1" applyFill="1" applyAlignment="1">
      <alignment vertical="center"/>
    </xf>
    <xf numFmtId="0" fontId="7" fillId="2" borderId="0" xfId="0" applyFont="1" applyFill="1"/>
    <xf numFmtId="4" fontId="24" fillId="0" borderId="0" xfId="0" applyNumberFormat="1" applyFont="1"/>
    <xf numFmtId="2" fontId="8" fillId="0" borderId="0" xfId="0" applyNumberFormat="1" applyFont="1"/>
    <xf numFmtId="4" fontId="8" fillId="0" borderId="0" xfId="0" applyNumberFormat="1" applyFont="1"/>
    <xf numFmtId="4" fontId="0" fillId="0" borderId="0" xfId="0" applyNumberFormat="1"/>
    <xf numFmtId="0" fontId="31" fillId="0" borderId="0" xfId="0" applyFont="1" applyFill="1" applyAlignment="1">
      <alignment horizontal="center" vertical="center"/>
    </xf>
    <xf numFmtId="3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Border="1"/>
    <xf numFmtId="0" fontId="30" fillId="0" borderId="0" xfId="0" applyFont="1" applyFill="1" applyBorder="1"/>
    <xf numFmtId="164" fontId="12" fillId="0" borderId="0" xfId="0" applyNumberFormat="1" applyFont="1" applyFill="1" applyBorder="1"/>
    <xf numFmtId="169" fontId="12" fillId="0" borderId="0" xfId="0" applyNumberFormat="1" applyFont="1" applyFill="1" applyBorder="1"/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164" fontId="32" fillId="0" borderId="0" xfId="0" applyNumberFormat="1" applyFont="1" applyFill="1" applyBorder="1"/>
    <xf numFmtId="0" fontId="33" fillId="0" borderId="0" xfId="0" applyFont="1" applyFill="1" applyBorder="1" applyAlignment="1">
      <alignment horizontal="left" vertical="center" wrapText="1"/>
    </xf>
    <xf numFmtId="2" fontId="24" fillId="0" borderId="0" xfId="0" applyNumberFormat="1" applyFont="1"/>
    <xf numFmtId="0" fontId="8" fillId="0" borderId="1" xfId="0" applyFont="1" applyBorder="1"/>
    <xf numFmtId="4" fontId="8" fillId="0" borderId="1" xfId="0" applyNumberFormat="1" applyFont="1" applyBorder="1"/>
    <xf numFmtId="2" fontId="8" fillId="0" borderId="1" xfId="0" applyNumberFormat="1" applyFont="1" applyBorder="1"/>
    <xf numFmtId="0" fontId="35" fillId="2" borderId="0" xfId="0" applyFont="1" applyFill="1"/>
    <xf numFmtId="0" fontId="17" fillId="0" borderId="0" xfId="0" applyFont="1"/>
    <xf numFmtId="3" fontId="17" fillId="0" borderId="0" xfId="0" applyNumberFormat="1" applyFont="1" applyFill="1"/>
    <xf numFmtId="0" fontId="18" fillId="0" borderId="0" xfId="0" applyFont="1"/>
    <xf numFmtId="3" fontId="18" fillId="0" borderId="0" xfId="0" applyNumberFormat="1" applyFont="1" applyFill="1"/>
    <xf numFmtId="3" fontId="17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 applyFill="1"/>
    <xf numFmtId="164" fontId="17" fillId="0" borderId="0" xfId="0" applyNumberFormat="1" applyFont="1" applyFill="1"/>
    <xf numFmtId="3" fontId="17" fillId="0" borderId="1" xfId="0" applyNumberFormat="1" applyFont="1" applyFill="1" applyBorder="1"/>
    <xf numFmtId="0" fontId="17" fillId="0" borderId="0" xfId="0" applyFont="1" applyFill="1"/>
    <xf numFmtId="168" fontId="17" fillId="0" borderId="0" xfId="0" applyNumberFormat="1" applyFont="1" applyFill="1"/>
    <xf numFmtId="0" fontId="18" fillId="0" borderId="0" xfId="0" applyFont="1" applyFill="1"/>
    <xf numFmtId="0" fontId="17" fillId="2" borderId="0" xfId="0" applyFont="1" applyFill="1"/>
    <xf numFmtId="0" fontId="17" fillId="0" borderId="0" xfId="0" applyFont="1" applyFill="1" applyBorder="1"/>
    <xf numFmtId="3" fontId="17" fillId="0" borderId="0" xfId="0" applyNumberFormat="1" applyFont="1" applyFill="1" applyBorder="1"/>
    <xf numFmtId="0" fontId="17" fillId="0" borderId="0" xfId="0" applyFont="1" applyBorder="1"/>
    <xf numFmtId="164" fontId="17" fillId="0" borderId="0" xfId="0" applyNumberFormat="1" applyFont="1" applyFill="1" applyBorder="1"/>
    <xf numFmtId="164" fontId="8" fillId="0" borderId="0" xfId="0" applyNumberFormat="1" applyFont="1"/>
    <xf numFmtId="165" fontId="17" fillId="0" borderId="0" xfId="0" applyNumberFormat="1" applyFont="1"/>
    <xf numFmtId="0" fontId="18" fillId="0" borderId="0" xfId="0" applyFont="1" applyBorder="1"/>
    <xf numFmtId="0" fontId="17" fillId="0" borderId="0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3" fontId="24" fillId="0" borderId="0" xfId="0" applyNumberFormat="1" applyFont="1" applyFill="1"/>
    <xf numFmtId="0" fontId="24" fillId="0" borderId="1" xfId="0" applyFont="1" applyBorder="1"/>
    <xf numFmtId="164" fontId="24" fillId="0" borderId="1" xfId="0" applyNumberFormat="1" applyFont="1" applyFill="1" applyBorder="1"/>
    <xf numFmtId="3" fontId="8" fillId="0" borderId="0" xfId="0" applyNumberFormat="1" applyFont="1" applyFill="1" applyBorder="1"/>
    <xf numFmtId="164" fontId="8" fillId="0" borderId="1" xfId="0" applyNumberFormat="1" applyFont="1" applyBorder="1"/>
    <xf numFmtId="0" fontId="7" fillId="2" borderId="0" xfId="0" applyFont="1" applyFill="1" applyAlignment="1">
      <alignment horizontal="right"/>
    </xf>
    <xf numFmtId="0" fontId="38" fillId="0" borderId="0" xfId="0" applyFont="1"/>
    <xf numFmtId="0" fontId="6" fillId="0" borderId="0" xfId="4" applyFont="1" applyAlignment="1">
      <alignment horizontal="left"/>
    </xf>
    <xf numFmtId="0" fontId="39" fillId="0" borderId="0" xfId="4"/>
    <xf numFmtId="0" fontId="7" fillId="2" borderId="0" xfId="4" applyFont="1" applyFill="1"/>
    <xf numFmtId="0" fontId="7" fillId="2" borderId="0" xfId="4" applyFont="1" applyFill="1" applyAlignment="1">
      <alignment horizontal="right" vertical="center"/>
    </xf>
    <xf numFmtId="0" fontId="8" fillId="0" borderId="0" xfId="4" applyFont="1"/>
    <xf numFmtId="3" fontId="8" fillId="0" borderId="0" xfId="4" applyNumberFormat="1" applyFont="1" applyAlignment="1">
      <alignment vertical="center"/>
    </xf>
    <xf numFmtId="0" fontId="8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3" fontId="24" fillId="0" borderId="0" xfId="4" applyNumberFormat="1" applyFont="1" applyBorder="1" applyAlignment="1">
      <alignment vertical="center"/>
    </xf>
    <xf numFmtId="0" fontId="8" fillId="0" borderId="0" xfId="4" applyFont="1" applyAlignment="1">
      <alignment horizontal="left" vertical="center" indent="1"/>
    </xf>
    <xf numFmtId="3" fontId="8" fillId="0" borderId="0" xfId="4" applyNumberFormat="1" applyFont="1" applyAlignment="1">
      <alignment horizontal="right" vertical="center"/>
    </xf>
    <xf numFmtId="0" fontId="40" fillId="0" borderId="0" xfId="4" applyFont="1" applyFill="1" applyBorder="1" applyAlignment="1">
      <alignment horizontal="left" vertical="center" indent="1"/>
    </xf>
    <xf numFmtId="3" fontId="8" fillId="0" borderId="0" xfId="4" applyNumberFormat="1" applyFont="1" applyFill="1" applyAlignment="1">
      <alignment horizontal="right" vertical="center"/>
    </xf>
    <xf numFmtId="0" fontId="8" fillId="0" borderId="0" xfId="4" applyFont="1" applyFill="1" applyBorder="1" applyAlignment="1">
      <alignment horizontal="left" vertical="center" indent="1"/>
    </xf>
    <xf numFmtId="0" fontId="40" fillId="0" borderId="0" xfId="4" applyFont="1" applyFill="1" applyBorder="1"/>
    <xf numFmtId="3" fontId="8" fillId="0" borderId="0" xfId="4" applyNumberFormat="1" applyFont="1"/>
    <xf numFmtId="3" fontId="8" fillId="0" borderId="0" xfId="4" applyNumberFormat="1" applyFont="1" applyBorder="1" applyAlignment="1">
      <alignment horizontal="right" vertical="center"/>
    </xf>
    <xf numFmtId="0" fontId="21" fillId="0" borderId="0" xfId="4" applyFont="1"/>
    <xf numFmtId="3" fontId="40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center"/>
    </xf>
    <xf numFmtId="3" fontId="40" fillId="0" borderId="0" xfId="4" applyNumberFormat="1" applyFont="1" applyFill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4" fillId="0" borderId="1" xfId="4" applyFont="1" applyBorder="1" applyAlignment="1">
      <alignment horizontal="left" vertical="center" indent="1"/>
    </xf>
    <xf numFmtId="164" fontId="24" fillId="0" borderId="1" xfId="4" applyNumberFormat="1" applyFont="1" applyBorder="1" applyAlignment="1">
      <alignment vertical="center"/>
    </xf>
    <xf numFmtId="0" fontId="9" fillId="0" borderId="0" xfId="4" applyFont="1"/>
    <xf numFmtId="164" fontId="8" fillId="0" borderId="0" xfId="4" applyNumberFormat="1" applyFont="1"/>
    <xf numFmtId="0" fontId="7" fillId="2" borderId="0" xfId="4" applyFont="1" applyFill="1" applyAlignment="1">
      <alignment horizontal="center" vertical="center"/>
    </xf>
    <xf numFmtId="164" fontId="24" fillId="0" borderId="0" xfId="4" applyNumberFormat="1" applyFont="1" applyAlignment="1">
      <alignment horizontal="center" vertical="center"/>
    </xf>
    <xf numFmtId="164" fontId="24" fillId="0" borderId="0" xfId="4" applyNumberFormat="1" applyFont="1" applyBorder="1" applyAlignment="1">
      <alignment horizontal="center" vertical="center"/>
    </xf>
    <xf numFmtId="164" fontId="8" fillId="0" borderId="0" xfId="4" applyNumberFormat="1" applyFont="1" applyAlignment="1">
      <alignment horizontal="center" vertical="center"/>
    </xf>
    <xf numFmtId="164" fontId="8" fillId="0" borderId="0" xfId="4" applyNumberFormat="1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164" fontId="11" fillId="0" borderId="0" xfId="4" applyNumberFormat="1" applyFont="1" applyAlignment="1">
      <alignment horizontal="center" vertical="center"/>
    </xf>
    <xf numFmtId="164" fontId="11" fillId="0" borderId="0" xfId="4" applyNumberFormat="1" applyFont="1" applyBorder="1" applyAlignment="1">
      <alignment horizontal="center" vertical="center"/>
    </xf>
    <xf numFmtId="164" fontId="39" fillId="0" borderId="0" xfId="4" applyNumberFormat="1"/>
    <xf numFmtId="0" fontId="8" fillId="0" borderId="0" xfId="4" applyFont="1" applyAlignment="1">
      <alignment horizontal="left" vertical="center" indent="2"/>
    </xf>
    <xf numFmtId="0" fontId="8" fillId="0" borderId="1" xfId="4" applyFont="1" applyBorder="1" applyAlignment="1">
      <alignment horizontal="left" vertical="center" indent="2"/>
    </xf>
    <xf numFmtId="164" fontId="8" fillId="0" borderId="1" xfId="4" applyNumberFormat="1" applyFont="1" applyBorder="1" applyAlignment="1">
      <alignment horizontal="center" vertical="center"/>
    </xf>
    <xf numFmtId="169" fontId="39" fillId="0" borderId="0" xfId="4" applyNumberFormat="1"/>
    <xf numFmtId="49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3" fontId="8" fillId="0" borderId="1" xfId="0" applyNumberFormat="1" applyFont="1" applyBorder="1"/>
    <xf numFmtId="0" fontId="17" fillId="0" borderId="0" xfId="5" applyFont="1"/>
    <xf numFmtId="0" fontId="6" fillId="0" borderId="0" xfId="5" applyFont="1"/>
    <xf numFmtId="0" fontId="35" fillId="2" borderId="0" xfId="5" applyFont="1" applyFill="1"/>
    <xf numFmtId="0" fontId="17" fillId="0" borderId="0" xfId="5" applyFont="1" applyFill="1"/>
    <xf numFmtId="165" fontId="17" fillId="0" borderId="0" xfId="5" applyNumberFormat="1" applyFont="1" applyFill="1"/>
    <xf numFmtId="165" fontId="17" fillId="0" borderId="0" xfId="5" applyNumberFormat="1" applyFont="1"/>
    <xf numFmtId="0" fontId="42" fillId="0" borderId="0" xfId="6"/>
    <xf numFmtId="0" fontId="17" fillId="0" borderId="1" xfId="5" applyFont="1" applyFill="1" applyBorder="1"/>
    <xf numFmtId="165" fontId="41" fillId="0" borderId="1" xfId="5" applyNumberFormat="1" applyFont="1" applyFill="1" applyBorder="1" applyAlignment="1">
      <alignment horizontal="right" vertical="center"/>
    </xf>
    <xf numFmtId="0" fontId="18" fillId="2" borderId="0" xfId="5" applyFont="1" applyFill="1" applyAlignment="1">
      <alignment horizontal="left" vertical="center"/>
    </xf>
    <xf numFmtId="0" fontId="17" fillId="2" borderId="0" xfId="5" applyFont="1" applyFill="1"/>
    <xf numFmtId="0" fontId="6" fillId="0" borderId="0" xfId="5" applyFont="1" applyBorder="1" applyAlignment="1">
      <alignment horizontal="left" vertical="center"/>
    </xf>
    <xf numFmtId="0" fontId="6" fillId="0" borderId="0" xfId="5" applyFont="1" applyAlignment="1">
      <alignment horizontal="left" vertical="center"/>
    </xf>
    <xf numFmtId="165" fontId="17" fillId="0" borderId="1" xfId="5" applyNumberFormat="1" applyFont="1" applyFill="1" applyBorder="1" applyAlignment="1">
      <alignment horizontal="right" vertical="center"/>
    </xf>
    <xf numFmtId="165" fontId="17" fillId="0" borderId="1" xfId="5" applyNumberFormat="1" applyFont="1" applyFill="1" applyBorder="1"/>
    <xf numFmtId="165" fontId="17" fillId="0" borderId="1" xfId="5" applyNumberFormat="1" applyFont="1" applyBorder="1"/>
    <xf numFmtId="0" fontId="6" fillId="0" borderId="0" xfId="11" applyFont="1" applyFill="1" applyAlignment="1">
      <alignment vertical="center"/>
    </xf>
    <xf numFmtId="0" fontId="16" fillId="0" borderId="0" xfId="11" applyFont="1" applyFill="1" applyAlignment="1">
      <alignment vertical="center"/>
    </xf>
    <xf numFmtId="0" fontId="15" fillId="0" borderId="0" xfId="11" applyFont="1"/>
    <xf numFmtId="0" fontId="47" fillId="2" borderId="0" xfId="11" applyFont="1" applyFill="1" applyBorder="1" applyAlignment="1">
      <alignment horizontal="center" vertical="center"/>
    </xf>
    <xf numFmtId="0" fontId="7" fillId="2" borderId="0" xfId="11" applyFont="1" applyFill="1" applyBorder="1" applyAlignment="1">
      <alignment horizontal="center" vertical="center"/>
    </xf>
    <xf numFmtId="0" fontId="11" fillId="0" borderId="0" xfId="11" applyFont="1" applyAlignment="1">
      <alignment vertical="center" wrapText="1"/>
    </xf>
    <xf numFmtId="3" fontId="11" fillId="0" borderId="0" xfId="12" applyNumberFormat="1" applyFont="1" applyFill="1" applyBorder="1" applyAlignment="1">
      <alignment horizontal="center" vertical="center"/>
    </xf>
    <xf numFmtId="0" fontId="21" fillId="0" borderId="0" xfId="11" applyFont="1" applyAlignment="1">
      <alignment horizontal="left" vertical="center"/>
    </xf>
    <xf numFmtId="3" fontId="8" fillId="0" borderId="0" xfId="11" applyNumberFormat="1" applyFont="1" applyFill="1" applyBorder="1" applyAlignment="1">
      <alignment horizontal="center" vertical="center"/>
    </xf>
    <xf numFmtId="0" fontId="21" fillId="0" borderId="0" xfId="11" applyFont="1" applyAlignment="1">
      <alignment horizontal="left" vertical="center" indent="1"/>
    </xf>
    <xf numFmtId="0" fontId="21" fillId="0" borderId="0" xfId="11" applyFont="1" applyAlignment="1">
      <alignment horizontal="left" vertical="center" wrapText="1"/>
    </xf>
    <xf numFmtId="0" fontId="21" fillId="0" borderId="0" xfId="11" applyFont="1" applyFill="1" applyAlignment="1">
      <alignment horizontal="left" vertical="center" wrapText="1"/>
    </xf>
    <xf numFmtId="0" fontId="13" fillId="0" borderId="0" xfId="11" applyFont="1" applyFill="1" applyBorder="1" applyAlignment="1">
      <alignment vertical="center" wrapText="1"/>
    </xf>
    <xf numFmtId="3" fontId="13" fillId="0" borderId="0" xfId="11" applyNumberFormat="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vertical="center" wrapText="1"/>
    </xf>
    <xf numFmtId="0" fontId="21" fillId="0" borderId="0" xfId="11" applyFont="1" applyFill="1" applyBorder="1" applyAlignment="1">
      <alignment vertical="center" wrapText="1"/>
    </xf>
    <xf numFmtId="0" fontId="49" fillId="5" borderId="0" xfId="11" applyFont="1" applyFill="1" applyBorder="1" applyAlignment="1">
      <alignment vertical="center" wrapText="1"/>
    </xf>
    <xf numFmtId="165" fontId="8" fillId="0" borderId="0" xfId="11" applyNumberFormat="1" applyFont="1" applyFill="1" applyBorder="1" applyAlignment="1">
      <alignment horizontal="center" vertical="center"/>
    </xf>
    <xf numFmtId="164" fontId="11" fillId="0" borderId="0" xfId="11" applyNumberFormat="1" applyFont="1" applyFill="1" applyBorder="1" applyAlignment="1">
      <alignment horizontal="center" vertical="center"/>
    </xf>
    <xf numFmtId="0" fontId="8" fillId="0" borderId="0" xfId="11" applyFont="1"/>
    <xf numFmtId="164" fontId="50" fillId="0" borderId="0" xfId="13" applyNumberFormat="1" applyFont="1" applyFill="1" applyBorder="1" applyAlignment="1">
      <alignment horizontal="center" vertical="center"/>
    </xf>
    <xf numFmtId="0" fontId="8" fillId="0" borderId="0" xfId="11" applyFont="1" applyFill="1"/>
    <xf numFmtId="0" fontId="11" fillId="5" borderId="0" xfId="11" applyFont="1" applyFill="1" applyBorder="1" applyAlignment="1">
      <alignment vertical="center" wrapText="1"/>
    </xf>
    <xf numFmtId="0" fontId="34" fillId="2" borderId="0" xfId="11" applyFont="1" applyFill="1"/>
    <xf numFmtId="0" fontId="7" fillId="2" borderId="0" xfId="11" applyFont="1" applyFill="1"/>
    <xf numFmtId="165" fontId="15" fillId="0" borderId="0" xfId="11" applyNumberFormat="1" applyFont="1"/>
    <xf numFmtId="0" fontId="11" fillId="0" borderId="0" xfId="11" applyFont="1" applyFill="1"/>
    <xf numFmtId="3" fontId="23" fillId="0" borderId="0" xfId="11" applyNumberFormat="1" applyFont="1"/>
    <xf numFmtId="164" fontId="8" fillId="0" borderId="0" xfId="11" applyNumberFormat="1" applyFont="1"/>
    <xf numFmtId="0" fontId="8" fillId="0" borderId="1" xfId="11" applyFont="1" applyFill="1" applyBorder="1"/>
    <xf numFmtId="164" fontId="8" fillId="0" borderId="1" xfId="11" applyNumberFormat="1" applyFont="1" applyBorder="1"/>
    <xf numFmtId="3" fontId="51" fillId="0" borderId="0" xfId="11" applyNumberFormat="1" applyFont="1"/>
    <xf numFmtId="0" fontId="52" fillId="0" borderId="0" xfId="11" applyFont="1" applyBorder="1" applyAlignment="1">
      <alignment vertical="center"/>
    </xf>
    <xf numFmtId="4" fontId="11" fillId="0" borderId="0" xfId="11" applyNumberFormat="1" applyFont="1" applyFill="1" applyBorder="1" applyAlignment="1">
      <alignment horizontal="center" vertical="center"/>
    </xf>
    <xf numFmtId="0" fontId="11" fillId="0" borderId="0" xfId="11" applyFont="1" applyFill="1" applyBorder="1"/>
    <xf numFmtId="0" fontId="11" fillId="0" borderId="4" xfId="11" applyFont="1" applyFill="1" applyBorder="1"/>
    <xf numFmtId="165" fontId="11" fillId="0" borderId="4" xfId="11" applyNumberFormat="1" applyFont="1" applyBorder="1"/>
    <xf numFmtId="0" fontId="9" fillId="0" borderId="0" xfId="11" applyFont="1" applyFill="1" applyBorder="1" applyAlignment="1">
      <alignment vertical="center"/>
    </xf>
    <xf numFmtId="0" fontId="9" fillId="0" borderId="0" xfId="6" applyFont="1" applyAlignment="1">
      <alignment horizontal="right" vertical="center"/>
    </xf>
    <xf numFmtId="4" fontId="24" fillId="0" borderId="1" xfId="11" applyNumberFormat="1" applyFont="1" applyFill="1" applyBorder="1" applyAlignment="1">
      <alignment horizontal="center" vertical="center"/>
    </xf>
    <xf numFmtId="0" fontId="54" fillId="0" borderId="1" xfId="11" applyFont="1" applyBorder="1" applyAlignment="1">
      <alignment vertical="center"/>
    </xf>
    <xf numFmtId="0" fontId="11" fillId="0" borderId="1" xfId="11" applyFont="1" applyFill="1" applyBorder="1"/>
    <xf numFmtId="164" fontId="11" fillId="0" borderId="1" xfId="11" applyNumberFormat="1" applyFont="1" applyFill="1" applyBorder="1" applyAlignment="1">
      <alignment horizontal="center" vertical="center"/>
    </xf>
    <xf numFmtId="0" fontId="55" fillId="0" borderId="4" xfId="0" applyFont="1" applyBorder="1"/>
    <xf numFmtId="3" fontId="27" fillId="0" borderId="4" xfId="1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2" fillId="2" borderId="0" xfId="0" applyFont="1" applyFill="1" applyAlignment="1">
      <alignment horizontal="justify" vertical="center"/>
    </xf>
    <xf numFmtId="0" fontId="56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57" fillId="2" borderId="20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0" fontId="4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1" fontId="58" fillId="2" borderId="29" xfId="0" applyNumberFormat="1" applyFont="1" applyFill="1" applyBorder="1" applyAlignment="1">
      <alignment horizontal="center" vertical="center" wrapText="1"/>
    </xf>
    <xf numFmtId="171" fontId="58" fillId="2" borderId="27" xfId="0" applyNumberFormat="1" applyFont="1" applyFill="1" applyBorder="1" applyAlignment="1">
      <alignment horizontal="center" vertical="center" wrapText="1"/>
    </xf>
    <xf numFmtId="171" fontId="58" fillId="2" borderId="30" xfId="0" applyNumberFormat="1" applyFont="1" applyFill="1" applyBorder="1" applyAlignment="1">
      <alignment horizontal="center" vertical="center" wrapText="1"/>
    </xf>
    <xf numFmtId="171" fontId="59" fillId="2" borderId="31" xfId="0" applyNumberFormat="1" applyFont="1" applyFill="1" applyBorder="1" applyAlignment="1">
      <alignment horizontal="center"/>
    </xf>
    <xf numFmtId="171" fontId="59" fillId="2" borderId="32" xfId="0" applyNumberFormat="1" applyFont="1" applyFill="1" applyBorder="1" applyAlignment="1">
      <alignment horizontal="center"/>
    </xf>
    <xf numFmtId="171" fontId="59" fillId="2" borderId="33" xfId="0" applyNumberFormat="1" applyFont="1" applyFill="1" applyBorder="1" applyAlignment="1">
      <alignment horizontal="center"/>
    </xf>
    <xf numFmtId="171" fontId="59" fillId="2" borderId="34" xfId="0" applyNumberFormat="1" applyFont="1" applyFill="1" applyBorder="1" applyAlignment="1">
      <alignment horizontal="center"/>
    </xf>
    <xf numFmtId="171" fontId="59" fillId="2" borderId="21" xfId="0" applyNumberFormat="1" applyFont="1" applyFill="1" applyBorder="1" applyAlignment="1">
      <alignment horizontal="center" vertical="center" wrapText="1"/>
    </xf>
    <xf numFmtId="171" fontId="59" fillId="2" borderId="0" xfId="0" applyNumberFormat="1" applyFont="1" applyFill="1" applyBorder="1" applyAlignment="1">
      <alignment horizontal="center" vertical="center"/>
    </xf>
    <xf numFmtId="171" fontId="59" fillId="2" borderId="23" xfId="0" applyNumberFormat="1" applyFont="1" applyFill="1" applyBorder="1" applyAlignment="1">
      <alignment horizontal="center" vertical="center"/>
    </xf>
    <xf numFmtId="171" fontId="59" fillId="2" borderId="0" xfId="0" applyNumberFormat="1" applyFont="1" applyFill="1" applyBorder="1" applyAlignment="1">
      <alignment horizontal="center" vertical="center" wrapText="1"/>
    </xf>
    <xf numFmtId="171" fontId="59" fillId="2" borderId="23" xfId="0" applyNumberFormat="1" applyFont="1" applyFill="1" applyBorder="1" applyAlignment="1">
      <alignment horizontal="center" vertical="center" wrapText="1"/>
    </xf>
    <xf numFmtId="171" fontId="59" fillId="2" borderId="24" xfId="0" applyNumberFormat="1" applyFont="1" applyFill="1" applyBorder="1" applyAlignment="1">
      <alignment horizontal="center" vertical="center" wrapText="1"/>
    </xf>
    <xf numFmtId="171" fontId="59" fillId="2" borderId="0" xfId="0" quotePrefix="1" applyNumberFormat="1" applyFont="1" applyFill="1" applyBorder="1" applyAlignment="1">
      <alignment horizontal="center" vertical="center" wrapText="1"/>
    </xf>
    <xf numFmtId="172" fontId="60" fillId="0" borderId="9" xfId="0" applyNumberFormat="1" applyFont="1" applyFill="1" applyBorder="1"/>
    <xf numFmtId="173" fontId="60" fillId="0" borderId="13" xfId="0" applyNumberFormat="1" applyFont="1" applyFill="1" applyBorder="1"/>
    <xf numFmtId="173" fontId="60" fillId="0" borderId="8" xfId="0" applyNumberFormat="1" applyFont="1" applyFill="1" applyBorder="1"/>
    <xf numFmtId="173" fontId="60" fillId="0" borderId="9" xfId="0" applyNumberFormat="1" applyFont="1" applyFill="1" applyBorder="1"/>
    <xf numFmtId="173" fontId="61" fillId="0" borderId="9" xfId="0" applyNumberFormat="1" applyFont="1" applyFill="1" applyBorder="1"/>
    <xf numFmtId="173" fontId="12" fillId="0" borderId="13" xfId="0" applyNumberFormat="1" applyFont="1" applyFill="1" applyBorder="1"/>
    <xf numFmtId="173" fontId="12" fillId="0" borderId="8" xfId="0" applyNumberFormat="1" applyFont="1" applyFill="1" applyBorder="1"/>
    <xf numFmtId="172" fontId="60" fillId="0" borderId="14" xfId="0" applyNumberFormat="1" applyFont="1" applyFill="1" applyBorder="1"/>
    <xf numFmtId="173" fontId="60" fillId="0" borderId="15" xfId="0" applyNumberFormat="1" applyFont="1" applyFill="1" applyBorder="1"/>
    <xf numFmtId="173" fontId="60" fillId="0" borderId="10" xfId="0" applyNumberFormat="1" applyFont="1" applyFill="1" applyBorder="1"/>
    <xf numFmtId="173" fontId="60" fillId="0" borderId="14" xfId="0" applyNumberFormat="1" applyFont="1" applyFill="1" applyBorder="1"/>
    <xf numFmtId="173" fontId="61" fillId="0" borderId="14" xfId="0" applyNumberFormat="1" applyFont="1" applyFill="1" applyBorder="1"/>
    <xf numFmtId="173" fontId="12" fillId="0" borderId="15" xfId="0" applyNumberFormat="1" applyFont="1" applyFill="1" applyBorder="1"/>
    <xf numFmtId="173" fontId="12" fillId="0" borderId="10" xfId="0" applyNumberFormat="1" applyFont="1" applyFill="1" applyBorder="1"/>
    <xf numFmtId="0" fontId="0" fillId="0" borderId="13" xfId="0" applyBorder="1"/>
    <xf numFmtId="0" fontId="31" fillId="2" borderId="0" xfId="0" applyFont="1" applyFill="1"/>
    <xf numFmtId="3" fontId="12" fillId="0" borderId="0" xfId="0" applyNumberFormat="1" applyFont="1"/>
    <xf numFmtId="1" fontId="12" fillId="0" borderId="0" xfId="0" applyNumberFormat="1" applyFont="1"/>
    <xf numFmtId="1" fontId="12" fillId="0" borderId="0" xfId="0" applyNumberFormat="1" applyFont="1" applyAlignment="1">
      <alignment horizontal="right"/>
    </xf>
    <xf numFmtId="1" fontId="32" fillId="0" borderId="1" xfId="0" applyNumberFormat="1" applyFont="1" applyBorder="1"/>
    <xf numFmtId="1" fontId="32" fillId="0" borderId="1" xfId="0" applyNumberFormat="1" applyFont="1" applyBorder="1" applyAlignment="1">
      <alignment horizontal="right"/>
    </xf>
    <xf numFmtId="0" fontId="3" fillId="0" borderId="0" xfId="3"/>
    <xf numFmtId="0" fontId="20" fillId="2" borderId="0" xfId="3" applyFont="1" applyFill="1" applyAlignment="1">
      <alignment horizontal="center" vertical="center"/>
    </xf>
    <xf numFmtId="0" fontId="8" fillId="0" borderId="0" xfId="3" applyFont="1"/>
    <xf numFmtId="0" fontId="8" fillId="0" borderId="0" xfId="3" applyFont="1" applyAlignment="1">
      <alignment vertical="center"/>
    </xf>
    <xf numFmtId="3" fontId="8" fillId="0" borderId="0" xfId="3" applyNumberFormat="1" applyFont="1" applyAlignment="1">
      <alignment vertical="center"/>
    </xf>
    <xf numFmtId="3" fontId="8" fillId="0" borderId="0" xfId="3" applyNumberFormat="1" applyFont="1" applyBorder="1" applyAlignment="1">
      <alignment vertical="center"/>
    </xf>
    <xf numFmtId="3" fontId="8" fillId="0" borderId="0" xfId="3" applyNumberFormat="1" applyFont="1" applyFill="1" applyBorder="1" applyAlignment="1">
      <alignment vertical="center"/>
    </xf>
    <xf numFmtId="3" fontId="8" fillId="0" borderId="0" xfId="3" applyNumberFormat="1" applyFont="1"/>
    <xf numFmtId="0" fontId="8" fillId="0" borderId="0" xfId="3" applyFont="1" applyBorder="1" applyAlignment="1">
      <alignment vertical="center"/>
    </xf>
    <xf numFmtId="3" fontId="3" fillId="0" borderId="0" xfId="3" applyNumberFormat="1"/>
    <xf numFmtId="3" fontId="8" fillId="0" borderId="0" xfId="3" applyNumberFormat="1" applyFont="1" applyFill="1" applyAlignment="1">
      <alignment vertical="center"/>
    </xf>
    <xf numFmtId="169" fontId="3" fillId="0" borderId="0" xfId="3" applyNumberFormat="1"/>
    <xf numFmtId="0" fontId="8" fillId="0" borderId="1" xfId="3" applyFont="1" applyBorder="1" applyAlignment="1">
      <alignment vertical="center"/>
    </xf>
    <xf numFmtId="3" fontId="8" fillId="0" borderId="1" xfId="3" applyNumberFormat="1" applyFont="1" applyFill="1" applyBorder="1" applyAlignment="1">
      <alignment vertical="center"/>
    </xf>
    <xf numFmtId="0" fontId="24" fillId="0" borderId="0" xfId="3" applyFont="1"/>
    <xf numFmtId="3" fontId="24" fillId="0" borderId="0" xfId="3" applyNumberFormat="1" applyFont="1" applyAlignment="1">
      <alignment vertical="center"/>
    </xf>
    <xf numFmtId="3" fontId="8" fillId="0" borderId="1" xfId="3" applyNumberFormat="1" applyFont="1" applyBorder="1" applyAlignment="1">
      <alignment vertical="center"/>
    </xf>
    <xf numFmtId="0" fontId="24" fillId="0" borderId="1" xfId="3" applyFont="1" applyBorder="1" applyAlignment="1">
      <alignment vertical="center"/>
    </xf>
    <xf numFmtId="3" fontId="24" fillId="0" borderId="1" xfId="3" applyNumberFormat="1" applyFont="1" applyBorder="1" applyAlignment="1">
      <alignment vertical="center"/>
    </xf>
    <xf numFmtId="168" fontId="8" fillId="0" borderId="0" xfId="3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24" fillId="0" borderId="0" xfId="0" applyNumberFormat="1" applyFont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3" fontId="24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horizontal="left" indent="1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left" indent="1"/>
    </xf>
    <xf numFmtId="3" fontId="8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horizontal="left"/>
    </xf>
    <xf numFmtId="0" fontId="33" fillId="0" borderId="0" xfId="0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/>
    <xf numFmtId="3" fontId="24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0" fillId="0" borderId="1" xfId="0" applyBorder="1"/>
    <xf numFmtId="0" fontId="8" fillId="0" borderId="1" xfId="0" applyFont="1" applyFill="1" applyBorder="1"/>
    <xf numFmtId="0" fontId="8" fillId="0" borderId="1" xfId="0" applyFont="1" applyBorder="1" applyAlignment="1">
      <alignment vertical="center"/>
    </xf>
    <xf numFmtId="0" fontId="63" fillId="2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2" fillId="0" borderId="1" xfId="0" applyFont="1" applyBorder="1" applyAlignment="1">
      <alignment horizontal="left" vertical="center"/>
    </xf>
    <xf numFmtId="1" fontId="21" fillId="0" borderId="0" xfId="0" applyNumberFormat="1" applyFont="1" applyAlignment="1">
      <alignment horizontal="right" vertical="center"/>
    </xf>
    <xf numFmtId="1" fontId="22" fillId="0" borderId="1" xfId="0" applyNumberFormat="1" applyFont="1" applyBorder="1" applyAlignment="1">
      <alignment horizontal="right" vertical="center"/>
    </xf>
    <xf numFmtId="1" fontId="19" fillId="0" borderId="0" xfId="0" applyNumberFormat="1" applyFont="1" applyAlignment="1">
      <alignment vertical="center"/>
    </xf>
    <xf numFmtId="1" fontId="22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" fontId="22" fillId="0" borderId="0" xfId="0" applyNumberFormat="1" applyFont="1" applyAlignment="1">
      <alignment horizontal="right" vertical="center"/>
    </xf>
    <xf numFmtId="0" fontId="20" fillId="2" borderId="12" xfId="3" applyFont="1" applyFill="1" applyBorder="1" applyAlignment="1">
      <alignment vertical="center"/>
    </xf>
    <xf numFmtId="49" fontId="20" fillId="2" borderId="12" xfId="3" applyNumberFormat="1" applyFont="1" applyFill="1" applyBorder="1" applyAlignment="1">
      <alignment horizontal="center" vertical="center" wrapText="1"/>
    </xf>
    <xf numFmtId="49" fontId="20" fillId="2" borderId="2" xfId="3" applyNumberFormat="1" applyFont="1" applyFill="1" applyBorder="1" applyAlignment="1">
      <alignment horizontal="center" vertical="center" wrapText="1"/>
    </xf>
    <xf numFmtId="49" fontId="20" fillId="2" borderId="7" xfId="3" applyNumberFormat="1" applyFont="1" applyFill="1" applyBorder="1" applyAlignment="1">
      <alignment horizontal="center" vertical="center" wrapText="1"/>
    </xf>
    <xf numFmtId="49" fontId="20" fillId="2" borderId="0" xfId="3" applyNumberFormat="1" applyFont="1" applyFill="1" applyBorder="1" applyAlignment="1">
      <alignment horizontal="center" vertical="center" wrapText="1"/>
    </xf>
    <xf numFmtId="0" fontId="11" fillId="0" borderId="0" xfId="3" applyFont="1"/>
    <xf numFmtId="3" fontId="24" fillId="0" borderId="0" xfId="3" applyNumberFormat="1" applyFont="1"/>
    <xf numFmtId="0" fontId="24" fillId="0" borderId="1" xfId="3" applyFont="1" applyBorder="1"/>
    <xf numFmtId="3" fontId="24" fillId="0" borderId="1" xfId="3" applyNumberFormat="1" applyFont="1" applyBorder="1"/>
    <xf numFmtId="0" fontId="8" fillId="0" borderId="4" xfId="3" applyFont="1" applyBorder="1"/>
    <xf numFmtId="3" fontId="8" fillId="0" borderId="4" xfId="3" applyNumberFormat="1" applyFont="1" applyBorder="1"/>
    <xf numFmtId="3" fontId="8" fillId="0" borderId="0" xfId="3" applyNumberFormat="1" applyFont="1" applyFill="1" applyBorder="1"/>
    <xf numFmtId="3" fontId="8" fillId="0" borderId="0" xfId="3" applyNumberFormat="1" applyFont="1" applyFill="1"/>
    <xf numFmtId="0" fontId="9" fillId="0" borderId="0" xfId="3" applyFont="1" applyBorder="1"/>
    <xf numFmtId="3" fontId="24" fillId="0" borderId="0" xfId="3" applyNumberFormat="1" applyFont="1" applyFill="1"/>
    <xf numFmtId="3" fontId="24" fillId="0" borderId="1" xfId="3" applyNumberFormat="1" applyFont="1" applyFill="1" applyBorder="1"/>
    <xf numFmtId="0" fontId="55" fillId="0" borderId="0" xfId="0" applyFont="1" applyAlignment="1">
      <alignment horizontal="justify" vertical="center"/>
    </xf>
    <xf numFmtId="0" fontId="55" fillId="0" borderId="0" xfId="0" applyFont="1" applyAlignment="1">
      <alignment horizontal="right" vertical="center"/>
    </xf>
    <xf numFmtId="3" fontId="55" fillId="0" borderId="0" xfId="0" applyNumberFormat="1" applyFont="1" applyAlignment="1">
      <alignment horizontal="right" vertical="center"/>
    </xf>
    <xf numFmtId="0" fontId="55" fillId="0" borderId="1" xfId="0" applyFont="1" applyBorder="1" applyAlignment="1">
      <alignment horizontal="justify" vertical="center"/>
    </xf>
    <xf numFmtId="0" fontId="55" fillId="0" borderId="1" xfId="0" applyFont="1" applyBorder="1" applyAlignment="1">
      <alignment horizontal="right" vertical="center"/>
    </xf>
    <xf numFmtId="0" fontId="4" fillId="2" borderId="0" xfId="0" applyFont="1" applyFill="1"/>
    <xf numFmtId="0" fontId="7" fillId="2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vertical="center"/>
    </xf>
    <xf numFmtId="3" fontId="9" fillId="0" borderId="0" xfId="0" applyNumberFormat="1" applyFont="1"/>
    <xf numFmtId="3" fontId="9" fillId="0" borderId="0" xfId="0" applyNumberFormat="1" applyFont="1" applyBorder="1" applyAlignment="1">
      <alignment horizontal="right" vertical="center"/>
    </xf>
    <xf numFmtId="0" fontId="8" fillId="0" borderId="4" xfId="0" applyFont="1" applyBorder="1"/>
    <xf numFmtId="164" fontId="8" fillId="0" borderId="4" xfId="0" applyNumberFormat="1" applyFont="1" applyBorder="1" applyAlignment="1">
      <alignment vertical="center"/>
    </xf>
    <xf numFmtId="0" fontId="8" fillId="0" borderId="0" xfId="0" applyFont="1" applyFill="1" applyBorder="1"/>
    <xf numFmtId="0" fontId="24" fillId="0" borderId="0" xfId="0" applyFont="1" applyFill="1" applyBorder="1"/>
    <xf numFmtId="164" fontId="8" fillId="0" borderId="0" xfId="0" applyNumberFormat="1" applyFont="1" applyBorder="1"/>
    <xf numFmtId="164" fontId="8" fillId="0" borderId="0" xfId="0" applyNumberFormat="1" applyFont="1" applyFill="1" applyBorder="1"/>
    <xf numFmtId="0" fontId="7" fillId="2" borderId="0" xfId="0" applyFont="1" applyFill="1" applyAlignment="1">
      <alignment horizontal="left" vertical="center"/>
    </xf>
    <xf numFmtId="168" fontId="8" fillId="0" borderId="0" xfId="0" applyNumberFormat="1" applyFont="1"/>
    <xf numFmtId="174" fontId="8" fillId="0" borderId="0" xfId="0" applyNumberFormat="1" applyFont="1"/>
    <xf numFmtId="0" fontId="0" fillId="2" borderId="0" xfId="0" applyFill="1" applyAlignment="1">
      <alignment vertical="center"/>
    </xf>
    <xf numFmtId="0" fontId="32" fillId="0" borderId="1" xfId="0" applyFont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5" fillId="2" borderId="0" xfId="17" applyFont="1" applyFill="1" applyBorder="1" applyAlignment="1">
      <alignment horizontal="left" vertical="center"/>
    </xf>
    <xf numFmtId="0" fontId="35" fillId="2" borderId="0" xfId="17" applyFont="1" applyFill="1" applyBorder="1" applyAlignment="1">
      <alignment horizontal="center" vertical="center"/>
    </xf>
    <xf numFmtId="0" fontId="35" fillId="2" borderId="35" xfId="17" applyFont="1" applyFill="1" applyBorder="1" applyAlignment="1">
      <alignment horizontal="center" vertical="center"/>
    </xf>
    <xf numFmtId="0" fontId="7" fillId="2" borderId="0" xfId="17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24" fillId="0" borderId="1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164" fontId="24" fillId="0" borderId="0" xfId="0" applyNumberFormat="1" applyFont="1" applyBorder="1" applyAlignment="1">
      <alignment vertical="center"/>
    </xf>
    <xf numFmtId="164" fontId="24" fillId="0" borderId="13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4" fontId="24" fillId="0" borderId="1" xfId="0" applyNumberFormat="1" applyFont="1" applyBorder="1" applyAlignment="1">
      <alignment vertical="center"/>
    </xf>
    <xf numFmtId="164" fontId="24" fillId="0" borderId="15" xfId="0" applyNumberFormat="1" applyFont="1" applyBorder="1" applyAlignment="1">
      <alignment vertical="center"/>
    </xf>
    <xf numFmtId="164" fontId="24" fillId="0" borderId="15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68" fillId="2" borderId="0" xfId="0" applyFont="1" applyFill="1" applyAlignment="1">
      <alignment horizontal="right" vertical="center"/>
    </xf>
    <xf numFmtId="0" fontId="69" fillId="2" borderId="0" xfId="0" applyFont="1" applyFill="1" applyAlignment="1">
      <alignment horizontal="center" vertical="center"/>
    </xf>
    <xf numFmtId="0" fontId="70" fillId="0" borderId="0" xfId="0" applyFont="1" applyAlignment="1">
      <alignment horizontal="justify" vertical="center"/>
    </xf>
    <xf numFmtId="4" fontId="70" fillId="0" borderId="0" xfId="0" applyNumberFormat="1" applyFont="1" applyFill="1" applyAlignment="1">
      <alignment horizontal="center" vertical="center"/>
    </xf>
    <xf numFmtId="0" fontId="71" fillId="0" borderId="0" xfId="0" applyFont="1" applyAlignment="1">
      <alignment horizontal="justify" vertical="center"/>
    </xf>
    <xf numFmtId="2" fontId="71" fillId="0" borderId="0" xfId="0" applyNumberFormat="1" applyFont="1" applyFill="1" applyAlignment="1">
      <alignment horizontal="center" vertical="center"/>
    </xf>
    <xf numFmtId="4" fontId="71" fillId="0" borderId="0" xfId="0" applyNumberFormat="1" applyFont="1" applyFill="1" applyAlignment="1">
      <alignment horizontal="center" vertical="center"/>
    </xf>
    <xf numFmtId="0" fontId="71" fillId="0" borderId="1" xfId="0" applyFont="1" applyBorder="1" applyAlignment="1">
      <alignment horizontal="justify" vertical="center"/>
    </xf>
    <xf numFmtId="4" fontId="71" fillId="0" borderId="1" xfId="0" applyNumberFormat="1" applyFont="1" applyFill="1" applyBorder="1" applyAlignment="1">
      <alignment horizontal="center" vertical="center"/>
    </xf>
    <xf numFmtId="0" fontId="70" fillId="0" borderId="4" xfId="0" applyFont="1" applyBorder="1" applyAlignment="1">
      <alignment horizontal="justify" vertical="center"/>
    </xf>
    <xf numFmtId="4" fontId="70" fillId="0" borderId="4" xfId="0" applyNumberFormat="1" applyFont="1" applyFill="1" applyBorder="1" applyAlignment="1">
      <alignment horizontal="center" vertical="center"/>
    </xf>
    <xf numFmtId="0" fontId="72" fillId="0" borderId="0" xfId="0" applyFont="1"/>
    <xf numFmtId="0" fontId="72" fillId="0" borderId="0" xfId="0" applyFont="1" applyAlignment="1">
      <alignment vertical="center"/>
    </xf>
    <xf numFmtId="0" fontId="40" fillId="0" borderId="0" xfId="0" applyFont="1" applyFill="1" applyBorder="1"/>
    <xf numFmtId="2" fontId="24" fillId="0" borderId="0" xfId="0" applyNumberFormat="1" applyFont="1" applyFill="1"/>
    <xf numFmtId="0" fontId="35" fillId="2" borderId="0" xfId="17" applyFont="1" applyFill="1" applyBorder="1" applyAlignment="1">
      <alignment horizontal="right" vertical="center"/>
    </xf>
    <xf numFmtId="0" fontId="7" fillId="2" borderId="0" xfId="17" applyFont="1" applyFill="1" applyBorder="1" applyAlignment="1">
      <alignment horizontal="right" vertical="center"/>
    </xf>
    <xf numFmtId="2" fontId="8" fillId="0" borderId="0" xfId="0" applyNumberFormat="1" applyFont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73" fillId="0" borderId="1" xfId="0" applyFont="1" applyFill="1" applyBorder="1" applyAlignment="1">
      <alignment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24" fillId="0" borderId="8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/>
    </xf>
    <xf numFmtId="3" fontId="24" fillId="0" borderId="10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horizontal="right" vertical="center"/>
    </xf>
    <xf numFmtId="164" fontId="3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5" fillId="2" borderId="0" xfId="0" applyFont="1" applyFill="1" applyAlignment="1">
      <alignment horizontal="left" vertical="center"/>
    </xf>
    <xf numFmtId="0" fontId="75" fillId="2" borderId="0" xfId="0" applyFont="1" applyFill="1" applyAlignment="1">
      <alignment horizontal="right" vertical="center" wrapText="1" indent="1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Fill="1" applyAlignment="1">
      <alignment horizontal="right" vertical="center" indent="1"/>
    </xf>
    <xf numFmtId="3" fontId="11" fillId="0" borderId="0" xfId="0" applyNumberFormat="1" applyFont="1" applyAlignment="1">
      <alignment horizontal="right" vertical="center" indent="1"/>
    </xf>
    <xf numFmtId="3" fontId="21" fillId="0" borderId="0" xfId="18" applyNumberFormat="1" applyFont="1" applyAlignment="1">
      <alignment horizontal="right" vertical="center" wrapText="1" indent="1"/>
    </xf>
    <xf numFmtId="3" fontId="21" fillId="0" borderId="0" xfId="0" applyNumberFormat="1" applyFont="1" applyAlignment="1">
      <alignment horizontal="right" vertical="center" wrapText="1" indent="1"/>
    </xf>
    <xf numFmtId="0" fontId="11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 indent="1"/>
    </xf>
    <xf numFmtId="3" fontId="22" fillId="0" borderId="0" xfId="0" applyNumberFormat="1" applyFont="1" applyFill="1" applyBorder="1" applyAlignment="1">
      <alignment horizontal="right" vertical="center" wrapText="1" indent="1"/>
    </xf>
    <xf numFmtId="3" fontId="22" fillId="0" borderId="0" xfId="0" applyNumberFormat="1" applyFont="1" applyBorder="1" applyAlignment="1">
      <alignment horizontal="right" vertical="center" wrapText="1" indent="1"/>
    </xf>
    <xf numFmtId="3" fontId="21" fillId="0" borderId="0" xfId="0" applyNumberFormat="1" applyFont="1" applyFill="1" applyAlignment="1">
      <alignment horizontal="right" vertical="center" wrapText="1" indent="1"/>
    </xf>
    <xf numFmtId="0" fontId="22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indent="1"/>
    </xf>
    <xf numFmtId="1" fontId="21" fillId="0" borderId="1" xfId="0" applyNumberFormat="1" applyFont="1" applyFill="1" applyBorder="1" applyAlignment="1">
      <alignment horizontal="right" vertical="center" wrapText="1" indent="1"/>
    </xf>
    <xf numFmtId="3" fontId="21" fillId="0" borderId="1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indent="2"/>
    </xf>
    <xf numFmtId="0" fontId="21" fillId="0" borderId="0" xfId="0" applyFont="1" applyAlignment="1">
      <alignment horizontal="right" vertical="center" wrapText="1" indent="1"/>
    </xf>
    <xf numFmtId="1" fontId="21" fillId="0" borderId="0" xfId="0" applyNumberFormat="1" applyFont="1" applyAlignment="1">
      <alignment horizontal="right" vertical="center" wrapText="1" indent="1"/>
    </xf>
    <xf numFmtId="1" fontId="21" fillId="0" borderId="0" xfId="0" applyNumberFormat="1" applyFont="1" applyFill="1" applyAlignment="1">
      <alignment horizontal="right" vertical="center" wrapText="1" indent="1"/>
    </xf>
    <xf numFmtId="0" fontId="21" fillId="0" borderId="0" xfId="0" applyFont="1" applyFill="1" applyAlignment="1">
      <alignment horizontal="right" vertical="center" wrapText="1" indent="1"/>
    </xf>
    <xf numFmtId="3" fontId="22" fillId="0" borderId="0" xfId="0" applyNumberFormat="1" applyFont="1" applyFill="1" applyAlignment="1">
      <alignment horizontal="right" vertical="center" wrapText="1" indent="1"/>
    </xf>
    <xf numFmtId="3" fontId="22" fillId="0" borderId="0" xfId="0" applyNumberFormat="1" applyFont="1" applyAlignment="1">
      <alignment horizontal="right" vertical="center" wrapText="1" indent="1"/>
    </xf>
    <xf numFmtId="0" fontId="22" fillId="0" borderId="0" xfId="0" applyFont="1" applyFill="1" applyAlignment="1">
      <alignment horizontal="right" vertical="center" wrapText="1" indent="1"/>
    </xf>
    <xf numFmtId="3" fontId="21" fillId="0" borderId="1" xfId="0" applyNumberFormat="1" applyFont="1" applyFill="1" applyBorder="1" applyAlignment="1">
      <alignment horizontal="right" vertical="center" wrapText="1" indent="1"/>
    </xf>
    <xf numFmtId="1" fontId="22" fillId="0" borderId="0" xfId="0" applyNumberFormat="1" applyFont="1" applyFill="1" applyAlignment="1">
      <alignment horizontal="right" vertical="center" wrapText="1" indent="1"/>
    </xf>
    <xf numFmtId="0" fontId="11" fillId="0" borderId="4" xfId="0" applyFont="1" applyBorder="1" applyAlignment="1">
      <alignment horizontal="lef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76" fillId="0" borderId="0" xfId="0" applyFont="1"/>
    <xf numFmtId="168" fontId="76" fillId="0" borderId="0" xfId="0" applyNumberFormat="1" applyFont="1"/>
    <xf numFmtId="1" fontId="22" fillId="0" borderId="1" xfId="0" applyNumberFormat="1" applyFont="1" applyFill="1" applyBorder="1" applyAlignment="1">
      <alignment horizontal="right" vertical="center" wrapText="1" indent="1"/>
    </xf>
    <xf numFmtId="3" fontId="22" fillId="0" borderId="1" xfId="0" applyNumberFormat="1" applyFont="1" applyBorder="1" applyAlignment="1">
      <alignment horizontal="right" vertical="center" wrapText="1" indent="1"/>
    </xf>
    <xf numFmtId="0" fontId="77" fillId="2" borderId="0" xfId="0" applyFont="1" applyFill="1" applyBorder="1"/>
    <xf numFmtId="0" fontId="35" fillId="2" borderId="0" xfId="0" applyFont="1" applyFill="1" applyBorder="1" applyAlignment="1">
      <alignment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37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right" vertical="center"/>
    </xf>
    <xf numFmtId="3" fontId="11" fillId="4" borderId="13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3" fontId="11" fillId="4" borderId="8" xfId="0" applyNumberFormat="1" applyFont="1" applyFill="1" applyBorder="1" applyAlignment="1">
      <alignment horizontal="right" vertical="center"/>
    </xf>
    <xf numFmtId="174" fontId="8" fillId="0" borderId="0" xfId="0" applyNumberFormat="1" applyFont="1" applyFill="1" applyBorder="1"/>
    <xf numFmtId="3" fontId="11" fillId="4" borderId="40" xfId="0" applyNumberFormat="1" applyFont="1" applyFill="1" applyBorder="1" applyAlignment="1">
      <alignment horizontal="right" vertical="center"/>
    </xf>
    <xf numFmtId="3" fontId="11" fillId="4" borderId="41" xfId="0" applyNumberFormat="1" applyFont="1" applyFill="1" applyBorder="1" applyAlignment="1">
      <alignment horizontal="right" vertical="center"/>
    </xf>
    <xf numFmtId="164" fontId="11" fillId="4" borderId="8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3" fontId="22" fillId="0" borderId="9" xfId="0" applyNumberFormat="1" applyFont="1" applyFill="1" applyBorder="1" applyAlignment="1">
      <alignment horizontal="right" vertical="center"/>
    </xf>
    <xf numFmtId="3" fontId="22" fillId="0" borderId="13" xfId="0" applyNumberFormat="1" applyFont="1" applyFill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8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22" fillId="0" borderId="9" xfId="0" applyNumberFormat="1" applyFont="1" applyBorder="1" applyAlignment="1">
      <alignment horizontal="right" vertical="center"/>
    </xf>
    <xf numFmtId="164" fontId="22" fillId="0" borderId="8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3" fontId="21" fillId="0" borderId="8" xfId="0" applyNumberFormat="1" applyFont="1" applyFill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3" fontId="40" fillId="0" borderId="8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4" fontId="21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40" fillId="0" borderId="8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 wrapText="1"/>
    </xf>
    <xf numFmtId="3" fontId="21" fillId="0" borderId="13" xfId="0" applyNumberFormat="1" applyFont="1" applyFill="1" applyBorder="1" applyAlignment="1">
      <alignment horizontal="right" vertical="center" wrapText="1"/>
    </xf>
    <xf numFmtId="168" fontId="8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 vertical="center" wrapText="1"/>
    </xf>
    <xf numFmtId="3" fontId="21" fillId="0" borderId="8" xfId="0" applyNumberFormat="1" applyFont="1" applyFill="1" applyBorder="1" applyAlignment="1">
      <alignment horizontal="right" vertical="center" wrapText="1"/>
    </xf>
    <xf numFmtId="3" fontId="21" fillId="0" borderId="9" xfId="0" applyNumberFormat="1" applyFont="1" applyFill="1" applyBorder="1" applyAlignment="1">
      <alignment horizontal="right" vertical="center" wrapText="1"/>
    </xf>
    <xf numFmtId="3" fontId="13" fillId="0" borderId="8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/>
    </xf>
    <xf numFmtId="164" fontId="22" fillId="0" borderId="8" xfId="0" applyNumberFormat="1" applyFont="1" applyFill="1" applyBorder="1" applyAlignment="1">
      <alignment horizontal="right" vertical="center"/>
    </xf>
    <xf numFmtId="0" fontId="17" fillId="0" borderId="9" xfId="0" applyFont="1" applyBorder="1"/>
    <xf numFmtId="3" fontId="22" fillId="0" borderId="8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right" vertical="center"/>
    </xf>
    <xf numFmtId="3" fontId="21" fillId="0" borderId="15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/>
    </xf>
    <xf numFmtId="3" fontId="21" fillId="0" borderId="10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horizontal="right" vertical="center"/>
    </xf>
    <xf numFmtId="3" fontId="40" fillId="0" borderId="10" xfId="0" applyNumberFormat="1" applyFont="1" applyFill="1" applyBorder="1" applyAlignment="1">
      <alignment horizontal="right" vertical="center"/>
    </xf>
    <xf numFmtId="164" fontId="21" fillId="0" borderId="10" xfId="0" applyNumberFormat="1" applyFont="1" applyFill="1" applyBorder="1" applyAlignment="1">
      <alignment horizontal="right" vertical="center"/>
    </xf>
    <xf numFmtId="3" fontId="13" fillId="0" borderId="9" xfId="0" applyNumberFormat="1" applyFont="1" applyFill="1" applyBorder="1" applyAlignment="1"/>
    <xf numFmtId="168" fontId="18" fillId="0" borderId="0" xfId="0" applyNumberFormat="1" applyFont="1" applyFill="1"/>
    <xf numFmtId="3" fontId="22" fillId="0" borderId="13" xfId="0" applyNumberFormat="1" applyFont="1" applyFill="1" applyBorder="1" applyAlignment="1">
      <alignment horizontal="right" vertical="center" wrapText="1"/>
    </xf>
    <xf numFmtId="168" fontId="21" fillId="0" borderId="13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0" fontId="24" fillId="0" borderId="13" xfId="0" applyFont="1" applyFill="1" applyBorder="1"/>
    <xf numFmtId="0" fontId="8" fillId="0" borderId="13" xfId="0" applyFont="1" applyFill="1" applyBorder="1"/>
    <xf numFmtId="3" fontId="22" fillId="0" borderId="0" xfId="0" applyNumberFormat="1" applyFont="1" applyFill="1" applyBorder="1" applyAlignment="1">
      <alignment horizontal="right" vertical="center" wrapText="1"/>
    </xf>
    <xf numFmtId="3" fontId="22" fillId="0" borderId="8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3" fillId="0" borderId="8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Fill="1" applyBorder="1"/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5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center"/>
    </xf>
    <xf numFmtId="4" fontId="11" fillId="4" borderId="10" xfId="0" applyNumberFormat="1" applyFont="1" applyFill="1" applyBorder="1" applyAlignment="1">
      <alignment horizontal="right" vertical="center"/>
    </xf>
    <xf numFmtId="4" fontId="8" fillId="0" borderId="0" xfId="0" applyNumberFormat="1" applyFont="1" applyBorder="1"/>
    <xf numFmtId="0" fontId="11" fillId="4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3" fontId="11" fillId="4" borderId="17" xfId="0" applyNumberFormat="1" applyFont="1" applyFill="1" applyBorder="1" applyAlignment="1">
      <alignment horizontal="right" vertical="center"/>
    </xf>
    <xf numFmtId="3" fontId="11" fillId="4" borderId="18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1" fillId="4" borderId="16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11" fillId="4" borderId="10" xfId="0" applyNumberFormat="1" applyFont="1" applyFill="1" applyBorder="1" applyAlignment="1">
      <alignment horizontal="right" vertical="center"/>
    </xf>
    <xf numFmtId="164" fontId="11" fillId="4" borderId="16" xfId="0" applyNumberFormat="1" applyFont="1" applyFill="1" applyBorder="1" applyAlignment="1">
      <alignment horizontal="right" vertical="center"/>
    </xf>
    <xf numFmtId="0" fontId="40" fillId="4" borderId="4" xfId="0" applyFont="1" applyFill="1" applyBorder="1" applyAlignment="1">
      <alignment vertical="center"/>
    </xf>
    <xf numFmtId="0" fontId="40" fillId="4" borderId="4" xfId="0" applyFont="1" applyFill="1" applyBorder="1" applyAlignment="1">
      <alignment horizontal="center" vertical="center"/>
    </xf>
    <xf numFmtId="3" fontId="40" fillId="4" borderId="17" xfId="0" applyNumberFormat="1" applyFont="1" applyFill="1" applyBorder="1" applyAlignment="1">
      <alignment horizontal="right" vertical="center"/>
    </xf>
    <xf numFmtId="3" fontId="40" fillId="4" borderId="18" xfId="0" applyNumberFormat="1" applyFont="1" applyFill="1" applyBorder="1" applyAlignment="1">
      <alignment horizontal="right" vertical="center"/>
    </xf>
    <xf numFmtId="3" fontId="40" fillId="4" borderId="4" xfId="0" applyNumberFormat="1" applyFont="1" applyFill="1" applyBorder="1" applyAlignment="1">
      <alignment horizontal="right" vertical="center"/>
    </xf>
    <xf numFmtId="3" fontId="40" fillId="4" borderId="16" xfId="0" applyNumberFormat="1" applyFont="1" applyFill="1" applyBorder="1" applyAlignment="1">
      <alignment horizontal="right" vertical="center"/>
    </xf>
    <xf numFmtId="3" fontId="40" fillId="4" borderId="1" xfId="0" applyNumberFormat="1" applyFont="1" applyFill="1" applyBorder="1" applyAlignment="1">
      <alignment horizontal="right" vertical="center"/>
    </xf>
    <xf numFmtId="3" fontId="40" fillId="4" borderId="10" xfId="0" applyNumberFormat="1" applyFont="1" applyFill="1" applyBorder="1" applyAlignment="1">
      <alignment horizontal="right" vertical="center"/>
    </xf>
    <xf numFmtId="3" fontId="40" fillId="0" borderId="0" xfId="0" applyNumberFormat="1" applyFont="1" applyBorder="1"/>
    <xf numFmtId="3" fontId="21" fillId="0" borderId="18" xfId="0" applyNumberFormat="1" applyFont="1" applyFill="1" applyBorder="1" applyAlignment="1">
      <alignment horizontal="right" vertical="center"/>
    </xf>
    <xf numFmtId="3" fontId="40" fillId="0" borderId="0" xfId="0" applyNumberFormat="1" applyFont="1" applyFill="1" applyBorder="1"/>
    <xf numFmtId="4" fontId="17" fillId="0" borderId="0" xfId="0" applyNumberFormat="1" applyFont="1"/>
    <xf numFmtId="3" fontId="17" fillId="0" borderId="0" xfId="0" applyNumberFormat="1" applyFont="1" applyBorder="1"/>
    <xf numFmtId="168" fontId="17" fillId="0" borderId="0" xfId="0" applyNumberFormat="1" applyFont="1"/>
    <xf numFmtId="169" fontId="17" fillId="0" borderId="0" xfId="0" applyNumberFormat="1" applyFont="1"/>
    <xf numFmtId="0" fontId="35" fillId="2" borderId="0" xfId="0" applyFont="1" applyFill="1" applyBorder="1" applyAlignment="1">
      <alignment horizontal="center" vertical="center"/>
    </xf>
    <xf numFmtId="3" fontId="30" fillId="0" borderId="8" xfId="0" applyNumberFormat="1" applyFont="1" applyBorder="1"/>
    <xf numFmtId="3" fontId="30" fillId="0" borderId="0" xfId="0" applyNumberFormat="1" applyFont="1" applyBorder="1"/>
    <xf numFmtId="3" fontId="30" fillId="0" borderId="0" xfId="0" applyNumberFormat="1" applyFont="1"/>
    <xf numFmtId="4" fontId="30" fillId="0" borderId="9" xfId="0" applyNumberFormat="1" applyFont="1" applyBorder="1"/>
    <xf numFmtId="3" fontId="30" fillId="0" borderId="9" xfId="0" applyNumberFormat="1" applyFont="1" applyBorder="1"/>
    <xf numFmtId="3" fontId="30" fillId="0" borderId="39" xfId="0" applyNumberFormat="1" applyFont="1" applyBorder="1"/>
    <xf numFmtId="3" fontId="17" fillId="0" borderId="8" xfId="0" applyNumberFormat="1" applyFont="1" applyBorder="1"/>
    <xf numFmtId="3" fontId="17" fillId="0" borderId="9" xfId="0" applyNumberFormat="1" applyFont="1" applyBorder="1"/>
    <xf numFmtId="0" fontId="30" fillId="0" borderId="1" xfId="0" applyFont="1" applyBorder="1"/>
    <xf numFmtId="3" fontId="30" fillId="0" borderId="10" xfId="0" applyNumberFormat="1" applyFont="1" applyBorder="1"/>
    <xf numFmtId="3" fontId="30" fillId="0" borderId="1" xfId="0" applyNumberFormat="1" applyFont="1" applyBorder="1"/>
    <xf numFmtId="3" fontId="30" fillId="0" borderId="14" xfId="0" applyNumberFormat="1" applyFont="1" applyBorder="1"/>
    <xf numFmtId="3" fontId="30" fillId="0" borderId="15" xfId="0" applyNumberFormat="1" applyFont="1" applyBorder="1"/>
    <xf numFmtId="0" fontId="17" fillId="0" borderId="12" xfId="0" applyFont="1" applyBorder="1"/>
    <xf numFmtId="0" fontId="17" fillId="0" borderId="2" xfId="0" applyFont="1" applyBorder="1"/>
    <xf numFmtId="3" fontId="17" fillId="0" borderId="13" xfId="0" applyNumberFormat="1" applyFont="1" applyBorder="1"/>
    <xf numFmtId="3" fontId="17" fillId="0" borderId="12" xfId="0" applyNumberFormat="1" applyFont="1" applyBorder="1"/>
    <xf numFmtId="3" fontId="17" fillId="0" borderId="2" xfId="0" applyNumberFormat="1" applyFont="1" applyBorder="1"/>
    <xf numFmtId="3" fontId="17" fillId="0" borderId="7" xfId="0" applyNumberFormat="1" applyFont="1" applyBorder="1"/>
    <xf numFmtId="4" fontId="17" fillId="0" borderId="12" xfId="0" applyNumberFormat="1" applyFont="1" applyBorder="1"/>
    <xf numFmtId="3" fontId="17" fillId="0" borderId="11" xfId="0" applyNumberFormat="1" applyFont="1" applyBorder="1"/>
    <xf numFmtId="2" fontId="17" fillId="0" borderId="0" xfId="0" applyNumberFormat="1" applyFont="1"/>
    <xf numFmtId="0" fontId="17" fillId="0" borderId="13" xfId="0" applyFont="1" applyBorder="1"/>
    <xf numFmtId="3" fontId="17" fillId="0" borderId="9" xfId="0" applyNumberFormat="1" applyFont="1" applyFill="1" applyBorder="1"/>
    <xf numFmtId="3" fontId="17" fillId="0" borderId="13" xfId="0" applyNumberFormat="1" applyFont="1" applyFill="1" applyBorder="1"/>
    <xf numFmtId="3" fontId="17" fillId="0" borderId="8" xfId="0" applyNumberFormat="1" applyFont="1" applyFill="1" applyBorder="1"/>
    <xf numFmtId="2" fontId="17" fillId="0" borderId="13" xfId="0" applyNumberFormat="1" applyFont="1" applyBorder="1"/>
    <xf numFmtId="0" fontId="17" fillId="0" borderId="15" xfId="0" applyFont="1" applyBorder="1"/>
    <xf numFmtId="0" fontId="17" fillId="0" borderId="1" xfId="0" applyFont="1" applyBorder="1"/>
    <xf numFmtId="3" fontId="17" fillId="0" borderId="14" xfId="0" applyNumberFormat="1" applyFont="1" applyBorder="1"/>
    <xf numFmtId="3" fontId="17" fillId="0" borderId="15" xfId="0" applyNumberFormat="1" applyFont="1" applyBorder="1"/>
    <xf numFmtId="3" fontId="17" fillId="0" borderId="1" xfId="0" applyNumberFormat="1" applyFont="1" applyBorder="1"/>
    <xf numFmtId="3" fontId="17" fillId="0" borderId="10" xfId="0" applyNumberFormat="1" applyFont="1" applyBorder="1"/>
    <xf numFmtId="4" fontId="17" fillId="0" borderId="15" xfId="0" applyNumberFormat="1" applyFont="1" applyBorder="1"/>
    <xf numFmtId="2" fontId="17" fillId="0" borderId="0" xfId="0" applyNumberFormat="1" applyFont="1" applyBorder="1"/>
    <xf numFmtId="2" fontId="17" fillId="0" borderId="8" xfId="0" applyNumberFormat="1" applyFont="1" applyFill="1" applyBorder="1"/>
    <xf numFmtId="2" fontId="17" fillId="0" borderId="0" xfId="0" applyNumberFormat="1" applyFont="1" applyFill="1" applyBorder="1"/>
    <xf numFmtId="4" fontId="17" fillId="0" borderId="13" xfId="0" applyNumberFormat="1" applyFont="1" applyBorder="1"/>
    <xf numFmtId="4" fontId="17" fillId="0" borderId="0" xfId="0" applyNumberFormat="1" applyFont="1" applyBorder="1"/>
    <xf numFmtId="4" fontId="17" fillId="0" borderId="8" xfId="0" applyNumberFormat="1" applyFont="1" applyBorder="1"/>
    <xf numFmtId="0" fontId="18" fillId="0" borderId="13" xfId="0" applyFont="1" applyBorder="1"/>
    <xf numFmtId="0" fontId="18" fillId="0" borderId="9" xfId="0" applyFont="1" applyBorder="1"/>
    <xf numFmtId="2" fontId="18" fillId="0" borderId="13" xfId="0" applyNumberFormat="1" applyFont="1" applyBorder="1"/>
    <xf numFmtId="2" fontId="18" fillId="0" borderId="0" xfId="0" applyNumberFormat="1" applyFont="1" applyBorder="1"/>
    <xf numFmtId="2" fontId="18" fillId="0" borderId="8" xfId="0" applyNumberFormat="1" applyFont="1" applyFill="1" applyBorder="1"/>
    <xf numFmtId="2" fontId="18" fillId="0" borderId="0" xfId="0" applyNumberFormat="1" applyFont="1" applyFill="1" applyBorder="1"/>
    <xf numFmtId="4" fontId="18" fillId="0" borderId="13" xfId="0" applyNumberFormat="1" applyFont="1" applyBorder="1"/>
    <xf numFmtId="4" fontId="18" fillId="0" borderId="0" xfId="0" applyNumberFormat="1" applyFont="1" applyBorder="1"/>
    <xf numFmtId="4" fontId="18" fillId="0" borderId="8" xfId="0" applyNumberFormat="1" applyFont="1" applyBorder="1"/>
    <xf numFmtId="4" fontId="18" fillId="0" borderId="0" xfId="0" applyNumberFormat="1" applyFont="1"/>
    <xf numFmtId="2" fontId="17" fillId="0" borderId="9" xfId="0" applyNumberFormat="1" applyFont="1" applyBorder="1"/>
    <xf numFmtId="0" fontId="17" fillId="0" borderId="8" xfId="0" applyFont="1" applyBorder="1"/>
    <xf numFmtId="1" fontId="17" fillId="0" borderId="9" xfId="0" applyNumberFormat="1" applyFont="1" applyBorder="1"/>
    <xf numFmtId="2" fontId="17" fillId="0" borderId="14" xfId="0" applyNumberFormat="1" applyFont="1" applyBorder="1"/>
    <xf numFmtId="2" fontId="17" fillId="0" borderId="15" xfId="0" applyNumberFormat="1" applyFont="1" applyBorder="1"/>
    <xf numFmtId="2" fontId="17" fillId="0" borderId="1" xfId="0" applyNumberFormat="1" applyFont="1" applyBorder="1"/>
    <xf numFmtId="0" fontId="17" fillId="0" borderId="10" xfId="0" applyFont="1" applyBorder="1"/>
    <xf numFmtId="1" fontId="17" fillId="0" borderId="14" xfId="0" applyNumberFormat="1" applyFont="1" applyBorder="1"/>
    <xf numFmtId="0" fontId="18" fillId="0" borderId="12" xfId="0" applyFont="1" applyBorder="1"/>
    <xf numFmtId="0" fontId="18" fillId="0" borderId="7" xfId="0" applyFont="1" applyBorder="1"/>
    <xf numFmtId="3" fontId="18" fillId="0" borderId="11" xfId="0" applyNumberFormat="1" applyFont="1" applyBorder="1"/>
    <xf numFmtId="3" fontId="18" fillId="0" borderId="12" xfId="0" applyNumberFormat="1" applyFont="1" applyBorder="1"/>
    <xf numFmtId="3" fontId="18" fillId="0" borderId="2" xfId="0" applyNumberFormat="1" applyFont="1" applyBorder="1"/>
    <xf numFmtId="3" fontId="18" fillId="0" borderId="7" xfId="0" applyNumberFormat="1" applyFont="1" applyBorder="1"/>
    <xf numFmtId="3" fontId="18" fillId="0" borderId="0" xfId="0" applyNumberFormat="1" applyFont="1" applyBorder="1"/>
    <xf numFmtId="3" fontId="18" fillId="0" borderId="8" xfId="0" applyNumberFormat="1" applyFont="1" applyBorder="1"/>
    <xf numFmtId="0" fontId="18" fillId="0" borderId="8" xfId="0" applyFont="1" applyBorder="1"/>
    <xf numFmtId="3" fontId="18" fillId="0" borderId="9" xfId="0" applyNumberFormat="1" applyFont="1" applyBorder="1"/>
    <xf numFmtId="3" fontId="18" fillId="0" borderId="13" xfId="0" applyNumberFormat="1" applyFont="1" applyBorder="1"/>
    <xf numFmtId="0" fontId="18" fillId="0" borderId="0" xfId="0" applyFont="1" applyFill="1" applyBorder="1"/>
    <xf numFmtId="1" fontId="17" fillId="0" borderId="13" xfId="0" applyNumberFormat="1" applyFont="1" applyBorder="1"/>
    <xf numFmtId="1" fontId="17" fillId="0" borderId="0" xfId="0" applyNumberFormat="1" applyFont="1" applyBorder="1"/>
    <xf numFmtId="1" fontId="17" fillId="0" borderId="8" xfId="0" applyNumberFormat="1" applyFont="1" applyBorder="1"/>
    <xf numFmtId="0" fontId="17" fillId="0" borderId="9" xfId="0" applyFont="1" applyFill="1" applyBorder="1"/>
    <xf numFmtId="3" fontId="18" fillId="0" borderId="9" xfId="0" applyNumberFormat="1" applyFont="1" applyFill="1" applyBorder="1"/>
    <xf numFmtId="3" fontId="17" fillId="0" borderId="14" xfId="0" applyNumberFormat="1" applyFont="1" applyFill="1" applyBorder="1"/>
    <xf numFmtId="3" fontId="17" fillId="0" borderId="15" xfId="0" applyNumberFormat="1" applyFont="1" applyFill="1" applyBorder="1"/>
    <xf numFmtId="3" fontId="17" fillId="0" borderId="10" xfId="0" applyNumberFormat="1" applyFont="1" applyFill="1" applyBorder="1"/>
    <xf numFmtId="164" fontId="11" fillId="4" borderId="9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right" vertical="center"/>
    </xf>
    <xf numFmtId="164" fontId="11" fillId="4" borderId="41" xfId="0" applyNumberFormat="1" applyFont="1" applyFill="1" applyBorder="1" applyAlignment="1">
      <alignment horizontal="right" vertical="center"/>
    </xf>
    <xf numFmtId="164" fontId="11" fillId="4" borderId="13" xfId="0" applyNumberFormat="1" applyFont="1" applyFill="1" applyBorder="1" applyAlignment="1">
      <alignment horizontal="right" vertical="center"/>
    </xf>
    <xf numFmtId="165" fontId="24" fillId="0" borderId="8" xfId="0" applyNumberFormat="1" applyFont="1" applyBorder="1" applyAlignment="1">
      <alignment vertical="center"/>
    </xf>
    <xf numFmtId="165" fontId="24" fillId="0" borderId="9" xfId="0" applyNumberFormat="1" applyFont="1" applyBorder="1" applyAlignment="1">
      <alignment vertical="center"/>
    </xf>
    <xf numFmtId="165" fontId="24" fillId="0" borderId="13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165" fontId="8" fillId="0" borderId="9" xfId="0" applyNumberFormat="1" applyFont="1" applyBorder="1" applyAlignment="1">
      <alignment vertical="center"/>
    </xf>
    <xf numFmtId="165" fontId="8" fillId="0" borderId="13" xfId="0" applyNumberFormat="1" applyFont="1" applyBorder="1" applyAlignment="1">
      <alignment vertical="center"/>
    </xf>
    <xf numFmtId="165" fontId="8" fillId="0" borderId="8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13" xfId="0" applyNumberFormat="1" applyFont="1" applyFill="1" applyBorder="1" applyAlignment="1">
      <alignment vertical="center"/>
    </xf>
    <xf numFmtId="165" fontId="8" fillId="0" borderId="10" xfId="0" applyNumberFormat="1" applyFont="1" applyBorder="1" applyAlignment="1">
      <alignment vertical="center"/>
    </xf>
    <xf numFmtId="165" fontId="8" fillId="0" borderId="14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165" fontId="11" fillId="4" borderId="8" xfId="0" applyNumberFormat="1" applyFont="1" applyFill="1" applyBorder="1" applyAlignment="1">
      <alignment vertical="center"/>
    </xf>
    <xf numFmtId="165" fontId="11" fillId="4" borderId="9" xfId="0" applyNumberFormat="1" applyFont="1" applyFill="1" applyBorder="1" applyAlignment="1">
      <alignment vertical="center"/>
    </xf>
    <xf numFmtId="165" fontId="11" fillId="4" borderId="0" xfId="0" applyNumberFormat="1" applyFont="1" applyFill="1" applyBorder="1" applyAlignment="1">
      <alignment vertical="center"/>
    </xf>
    <xf numFmtId="165" fontId="11" fillId="4" borderId="13" xfId="0" applyNumberFormat="1" applyFont="1" applyFill="1" applyBorder="1" applyAlignment="1">
      <alignment vertical="center"/>
    </xf>
    <xf numFmtId="165" fontId="11" fillId="4" borderId="10" xfId="0" applyNumberFormat="1" applyFont="1" applyFill="1" applyBorder="1" applyAlignment="1">
      <alignment vertical="center"/>
    </xf>
    <xf numFmtId="165" fontId="11" fillId="4" borderId="14" xfId="0" applyNumberFormat="1" applyFont="1" applyFill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165" fontId="11" fillId="4" borderId="15" xfId="0" applyNumberFormat="1" applyFont="1" applyFill="1" applyBorder="1" applyAlignment="1">
      <alignment vertical="center"/>
    </xf>
    <xf numFmtId="165" fontId="11" fillId="4" borderId="16" xfId="0" applyNumberFormat="1" applyFont="1" applyFill="1" applyBorder="1" applyAlignment="1">
      <alignment vertical="center"/>
    </xf>
    <xf numFmtId="165" fontId="11" fillId="4" borderId="17" xfId="0" applyNumberFormat="1" applyFont="1" applyFill="1" applyBorder="1" applyAlignment="1">
      <alignment vertical="center"/>
    </xf>
    <xf numFmtId="165" fontId="11" fillId="4" borderId="4" xfId="0" applyNumberFormat="1" applyFont="1" applyFill="1" applyBorder="1" applyAlignment="1">
      <alignment vertical="center"/>
    </xf>
    <xf numFmtId="165" fontId="11" fillId="4" borderId="18" xfId="0" applyNumberFormat="1" applyFont="1" applyFill="1" applyBorder="1" applyAlignment="1">
      <alignment vertical="center"/>
    </xf>
    <xf numFmtId="4" fontId="18" fillId="0" borderId="11" xfId="0" applyNumberFormat="1" applyFont="1" applyBorder="1"/>
    <xf numFmtId="4" fontId="18" fillId="0" borderId="12" xfId="0" applyNumberFormat="1" applyFont="1" applyBorder="1"/>
    <xf numFmtId="4" fontId="18" fillId="0" borderId="2" xfId="0" applyNumberFormat="1" applyFont="1" applyBorder="1"/>
    <xf numFmtId="4" fontId="18" fillId="0" borderId="7" xfId="0" applyNumberFormat="1" applyFont="1" applyBorder="1"/>
    <xf numFmtId="4" fontId="17" fillId="0" borderId="9" xfId="0" applyNumberFormat="1" applyFont="1" applyBorder="1"/>
    <xf numFmtId="4" fontId="18" fillId="0" borderId="9" xfId="0" applyNumberFormat="1" applyFont="1" applyBorder="1"/>
    <xf numFmtId="4" fontId="17" fillId="0" borderId="14" xfId="0" applyNumberFormat="1" applyFont="1" applyBorder="1"/>
    <xf numFmtId="4" fontId="17" fillId="0" borderId="1" xfId="0" applyNumberFormat="1" applyFont="1" applyBorder="1"/>
    <xf numFmtId="4" fontId="17" fillId="0" borderId="10" xfId="0" applyNumberFormat="1" applyFont="1" applyBorder="1"/>
    <xf numFmtId="3" fontId="40" fillId="0" borderId="13" xfId="0" applyNumberFormat="1" applyFont="1" applyFill="1" applyBorder="1" applyAlignment="1">
      <alignment horizontal="right" vertical="center"/>
    </xf>
    <xf numFmtId="3" fontId="40" fillId="0" borderId="9" xfId="0" applyNumberFormat="1" applyFont="1" applyFill="1" applyBorder="1" applyAlignment="1">
      <alignment horizontal="right" vertical="center"/>
    </xf>
    <xf numFmtId="0" fontId="30" fillId="0" borderId="0" xfId="0" applyFont="1" applyFill="1"/>
    <xf numFmtId="4" fontId="17" fillId="0" borderId="0" xfId="0" applyNumberFormat="1" applyFont="1" applyFill="1"/>
    <xf numFmtId="3" fontId="40" fillId="0" borderId="0" xfId="0" applyNumberFormat="1" applyFont="1" applyFill="1" applyBorder="1" applyAlignment="1">
      <alignment horizontal="right" vertical="center" wrapText="1"/>
    </xf>
    <xf numFmtId="3" fontId="40" fillId="0" borderId="8" xfId="0" applyNumberFormat="1" applyFont="1" applyFill="1" applyBorder="1" applyAlignment="1">
      <alignment horizontal="right" vertical="center" wrapText="1"/>
    </xf>
    <xf numFmtId="164" fontId="40" fillId="0" borderId="8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center"/>
    </xf>
    <xf numFmtId="164" fontId="11" fillId="0" borderId="8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8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68" fontId="22" fillId="0" borderId="13" xfId="0" applyNumberFormat="1" applyFont="1" applyFill="1" applyBorder="1" applyAlignment="1">
      <alignment horizontal="right" vertical="center"/>
    </xf>
    <xf numFmtId="168" fontId="21" fillId="0" borderId="13" xfId="0" applyNumberFormat="1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vertical="center"/>
    </xf>
    <xf numFmtId="0" fontId="8" fillId="0" borderId="8" xfId="0" applyFont="1" applyFill="1" applyBorder="1"/>
    <xf numFmtId="3" fontId="40" fillId="0" borderId="13" xfId="0" applyNumberFormat="1" applyFont="1" applyFill="1" applyBorder="1" applyAlignment="1">
      <alignment horizontal="right" vertical="center" wrapText="1"/>
    </xf>
    <xf numFmtId="164" fontId="21" fillId="0" borderId="13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/>
    </xf>
    <xf numFmtId="3" fontId="79" fillId="0" borderId="13" xfId="0" applyNumberFormat="1" applyFont="1" applyBorder="1"/>
    <xf numFmtId="3" fontId="79" fillId="0" borderId="0" xfId="0" applyNumberFormat="1" applyFont="1" applyBorder="1"/>
    <xf numFmtId="3" fontId="79" fillId="0" borderId="8" xfId="0" applyNumberFormat="1" applyFont="1" applyBorder="1"/>
    <xf numFmtId="3" fontId="79" fillId="0" borderId="9" xfId="0" applyNumberFormat="1" applyFont="1" applyBorder="1"/>
    <xf numFmtId="4" fontId="17" fillId="0" borderId="11" xfId="0" applyNumberFormat="1" applyFont="1" applyBorder="1"/>
    <xf numFmtId="165" fontId="24" fillId="0" borderId="9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0" borderId="8" xfId="0" applyNumberFormat="1" applyFont="1" applyFill="1" applyBorder="1" applyAlignment="1">
      <alignment vertical="center"/>
    </xf>
    <xf numFmtId="165" fontId="24" fillId="0" borderId="13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4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vertical="center"/>
    </xf>
    <xf numFmtId="165" fontId="8" fillId="0" borderId="15" xfId="0" applyNumberFormat="1" applyFont="1" applyFill="1" applyBorder="1" applyAlignment="1">
      <alignment vertical="center"/>
    </xf>
    <xf numFmtId="165" fontId="11" fillId="0" borderId="9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8" xfId="0" applyNumberFormat="1" applyFont="1" applyFill="1" applyBorder="1" applyAlignment="1">
      <alignment vertical="center"/>
    </xf>
    <xf numFmtId="165" fontId="11" fillId="0" borderId="13" xfId="0" applyNumberFormat="1" applyFont="1" applyFill="1" applyBorder="1" applyAlignment="1">
      <alignment vertical="center"/>
    </xf>
    <xf numFmtId="165" fontId="40" fillId="0" borderId="9" xfId="0" applyNumberFormat="1" applyFont="1" applyFill="1" applyBorder="1" applyAlignment="1">
      <alignment vertical="center"/>
    </xf>
    <xf numFmtId="165" fontId="40" fillId="0" borderId="0" xfId="0" applyNumberFormat="1" applyFont="1" applyFill="1" applyBorder="1" applyAlignment="1">
      <alignment vertical="center"/>
    </xf>
    <xf numFmtId="165" fontId="40" fillId="0" borderId="8" xfId="0" applyNumberFormat="1" applyFont="1" applyFill="1" applyBorder="1" applyAlignment="1">
      <alignment vertical="center"/>
    </xf>
    <xf numFmtId="165" fontId="40" fillId="0" borderId="13" xfId="0" applyNumberFormat="1" applyFont="1" applyFill="1" applyBorder="1" applyAlignment="1">
      <alignment vertical="center"/>
    </xf>
    <xf numFmtId="168" fontId="17" fillId="0" borderId="0" xfId="0" applyNumberFormat="1" applyFont="1" applyBorder="1"/>
    <xf numFmtId="0" fontId="35" fillId="2" borderId="45" xfId="0" applyFont="1" applyFill="1" applyBorder="1" applyAlignment="1">
      <alignment horizontal="center" vertical="center" wrapText="1"/>
    </xf>
    <xf numFmtId="164" fontId="11" fillId="4" borderId="40" xfId="0" applyNumberFormat="1" applyFont="1" applyFill="1" applyBorder="1" applyAlignment="1">
      <alignment horizontal="right" vertical="center"/>
    </xf>
    <xf numFmtId="164" fontId="22" fillId="0" borderId="13" xfId="0" applyNumberFormat="1" applyFont="1" applyBorder="1" applyAlignment="1">
      <alignment horizontal="right" vertical="center"/>
    </xf>
    <xf numFmtId="164" fontId="22" fillId="0" borderId="0" xfId="0" applyNumberFormat="1" applyFont="1" applyBorder="1" applyAlignment="1">
      <alignment horizontal="right" vertical="center"/>
    </xf>
    <xf numFmtId="164" fontId="22" fillId="0" borderId="13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vertical="center"/>
    </xf>
    <xf numFmtId="164" fontId="21" fillId="0" borderId="13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64" fontId="21" fillId="0" borderId="15" xfId="0" applyNumberFormat="1" applyFont="1" applyFill="1" applyBorder="1" applyAlignment="1">
      <alignment horizontal="right" vertical="center"/>
    </xf>
    <xf numFmtId="164" fontId="21" fillId="0" borderId="1" xfId="0" applyNumberFormat="1" applyFont="1" applyFill="1" applyBorder="1" applyAlignment="1">
      <alignment horizontal="right" vertical="center"/>
    </xf>
    <xf numFmtId="164" fontId="11" fillId="0" borderId="13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wrapText="1"/>
    </xf>
    <xf numFmtId="0" fontId="20" fillId="2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right" vertical="top"/>
    </xf>
    <xf numFmtId="0" fontId="2" fillId="0" borderId="0" xfId="19"/>
    <xf numFmtId="0" fontId="20" fillId="2" borderId="20" xfId="19" applyFont="1" applyFill="1" applyBorder="1" applyAlignment="1">
      <alignment horizontal="left" vertical="center"/>
    </xf>
    <xf numFmtId="0" fontId="20" fillId="2" borderId="0" xfId="19" applyFont="1" applyFill="1" applyAlignment="1">
      <alignment horizontal="center" vertical="center"/>
    </xf>
    <xf numFmtId="0" fontId="20" fillId="2" borderId="20" xfId="19" applyFont="1" applyFill="1" applyBorder="1" applyAlignment="1">
      <alignment horizontal="center" vertical="center"/>
    </xf>
    <xf numFmtId="0" fontId="11" fillId="0" borderId="20" xfId="19" applyFont="1" applyBorder="1" applyAlignment="1">
      <alignment horizontal="left" vertical="center" wrapText="1"/>
    </xf>
    <xf numFmtId="1" fontId="11" fillId="0" borderId="50" xfId="19" applyNumberFormat="1" applyFont="1" applyBorder="1" applyAlignment="1">
      <alignment horizontal="center" vertical="center" wrapText="1"/>
    </xf>
    <xf numFmtId="2" fontId="11" fillId="0" borderId="51" xfId="19" applyNumberFormat="1" applyFont="1" applyBorder="1" applyAlignment="1">
      <alignment horizontal="center" vertical="center" wrapText="1"/>
    </xf>
    <xf numFmtId="0" fontId="22" fillId="0" borderId="52" xfId="19" applyFont="1" applyBorder="1" applyAlignment="1">
      <alignment horizontal="left" vertical="center" wrapText="1"/>
    </xf>
    <xf numFmtId="1" fontId="22" fillId="0" borderId="50" xfId="19" applyNumberFormat="1" applyFont="1" applyBorder="1" applyAlignment="1">
      <alignment horizontal="center" vertical="center" wrapText="1"/>
    </xf>
    <xf numFmtId="1" fontId="22" fillId="0" borderId="49" xfId="19" applyNumberFormat="1" applyFont="1" applyBorder="1" applyAlignment="1">
      <alignment horizontal="center" vertical="center" wrapText="1"/>
    </xf>
    <xf numFmtId="0" fontId="21" fillId="0" borderId="20" xfId="19" applyFont="1" applyBorder="1" applyAlignment="1">
      <alignment horizontal="left" vertical="center" wrapText="1" indent="1"/>
    </xf>
    <xf numFmtId="1" fontId="21" fillId="0" borderId="50" xfId="19" applyNumberFormat="1" applyFont="1" applyBorder="1" applyAlignment="1">
      <alignment horizontal="center" vertical="center"/>
    </xf>
    <xf numFmtId="1" fontId="21" fillId="0" borderId="50" xfId="19" applyNumberFormat="1" applyFont="1" applyBorder="1" applyAlignment="1">
      <alignment horizontal="center" vertical="center" wrapText="1"/>
    </xf>
    <xf numFmtId="0" fontId="21" fillId="0" borderId="53" xfId="19" applyFont="1" applyBorder="1" applyAlignment="1">
      <alignment horizontal="left" vertical="center" wrapText="1" indent="1"/>
    </xf>
    <xf numFmtId="1" fontId="21" fillId="0" borderId="51" xfId="19" applyNumberFormat="1" applyFont="1" applyBorder="1" applyAlignment="1">
      <alignment horizontal="center" vertical="center" wrapText="1"/>
    </xf>
    <xf numFmtId="0" fontId="22" fillId="0" borderId="20" xfId="19" applyFont="1" applyBorder="1" applyAlignment="1">
      <alignment horizontal="left" vertical="center" wrapText="1"/>
    </xf>
    <xf numFmtId="1" fontId="21" fillId="0" borderId="51" xfId="19" applyNumberFormat="1" applyFont="1" applyBorder="1" applyAlignment="1">
      <alignment horizontal="center" vertical="center"/>
    </xf>
    <xf numFmtId="0" fontId="21" fillId="0" borderId="20" xfId="19" applyFont="1" applyBorder="1" applyAlignment="1">
      <alignment horizontal="left" vertical="center" wrapText="1"/>
    </xf>
    <xf numFmtId="0" fontId="22" fillId="0" borderId="54" xfId="19" applyFont="1" applyBorder="1" applyAlignment="1">
      <alignment horizontal="left" vertical="center" wrapText="1"/>
    </xf>
    <xf numFmtId="1" fontId="22" fillId="0" borderId="51" xfId="19" applyNumberFormat="1" applyFont="1" applyBorder="1" applyAlignment="1">
      <alignment horizontal="center" vertical="center" wrapText="1"/>
    </xf>
    <xf numFmtId="0" fontId="9" fillId="0" borderId="0" xfId="19" applyFont="1" applyAlignment="1">
      <alignment horizontal="right" vertical="top" wrapText="1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21" fillId="0" borderId="0" xfId="0" applyNumberFormat="1" applyFont="1" applyAlignment="1">
      <alignment horizontal="right" vertical="center"/>
    </xf>
    <xf numFmtId="0" fontId="6" fillId="0" borderId="3" xfId="19" applyFont="1" applyBorder="1" applyAlignment="1">
      <alignment vertical="center"/>
    </xf>
    <xf numFmtId="0" fontId="6" fillId="0" borderId="3" xfId="19" applyFont="1" applyBorder="1" applyAlignment="1">
      <alignment horizontal="center" vertical="center" wrapText="1"/>
    </xf>
    <xf numFmtId="0" fontId="20" fillId="2" borderId="50" xfId="19" applyFont="1" applyFill="1" applyBorder="1" applyAlignment="1">
      <alignment horizontal="left" vertical="center"/>
    </xf>
    <xf numFmtId="49" fontId="20" fillId="2" borderId="50" xfId="19" applyNumberFormat="1" applyFont="1" applyFill="1" applyBorder="1" applyAlignment="1">
      <alignment horizontal="center" vertical="center"/>
    </xf>
    <xf numFmtId="49" fontId="20" fillId="2" borderId="56" xfId="19" applyNumberFormat="1" applyFont="1" applyFill="1" applyBorder="1" applyAlignment="1">
      <alignment horizontal="center" vertical="center"/>
    </xf>
    <xf numFmtId="0" fontId="11" fillId="0" borderId="50" xfId="19" applyFont="1" applyBorder="1" applyAlignment="1">
      <alignment horizontal="left" vertical="center" wrapText="1"/>
    </xf>
    <xf numFmtId="3" fontId="11" fillId="0" borderId="57" xfId="19" applyNumberFormat="1" applyFont="1" applyBorder="1" applyAlignment="1">
      <alignment horizontal="center" vertical="center" wrapText="1"/>
    </xf>
    <xf numFmtId="1" fontId="11" fillId="0" borderId="58" xfId="19" applyNumberFormat="1" applyFont="1" applyBorder="1" applyAlignment="1">
      <alignment horizontal="center" vertical="center" wrapText="1"/>
    </xf>
    <xf numFmtId="0" fontId="21" fillId="0" borderId="49" xfId="19" applyFont="1" applyBorder="1" applyAlignment="1">
      <alignment horizontal="left" vertical="center" wrapText="1"/>
    </xf>
    <xf numFmtId="0" fontId="21" fillId="0" borderId="50" xfId="19" applyFont="1" applyBorder="1" applyAlignment="1">
      <alignment horizontal="center" vertical="center" wrapText="1"/>
    </xf>
    <xf numFmtId="1" fontId="21" fillId="0" borderId="48" xfId="19" applyNumberFormat="1" applyFont="1" applyBorder="1" applyAlignment="1">
      <alignment horizontal="center" vertical="center" wrapText="1"/>
    </xf>
    <xf numFmtId="0" fontId="21" fillId="0" borderId="50" xfId="19" applyFont="1" applyBorder="1" applyAlignment="1">
      <alignment horizontal="left" vertical="center" wrapText="1" indent="1"/>
    </xf>
    <xf numFmtId="1" fontId="21" fillId="0" borderId="19" xfId="19" applyNumberFormat="1" applyFont="1" applyBorder="1" applyAlignment="1">
      <alignment horizontal="center" vertical="center" wrapText="1"/>
    </xf>
    <xf numFmtId="1" fontId="21" fillId="0" borderId="56" xfId="19" applyNumberFormat="1" applyFont="1" applyBorder="1" applyAlignment="1">
      <alignment horizontal="center" vertical="center" wrapText="1"/>
    </xf>
    <xf numFmtId="0" fontId="21" fillId="0" borderId="57" xfId="19" applyFont="1" applyBorder="1" applyAlignment="1">
      <alignment horizontal="left" vertical="center" wrapText="1"/>
    </xf>
    <xf numFmtId="0" fontId="21" fillId="0" borderId="57" xfId="19" applyFont="1" applyBorder="1" applyAlignment="1">
      <alignment horizontal="center" vertical="center" wrapText="1"/>
    </xf>
    <xf numFmtId="1" fontId="21" fillId="0" borderId="58" xfId="19" applyNumberFormat="1" applyFont="1" applyBorder="1" applyAlignment="1">
      <alignment horizontal="center" vertical="center" wrapText="1"/>
    </xf>
    <xf numFmtId="0" fontId="21" fillId="0" borderId="50" xfId="19" applyFont="1" applyBorder="1" applyAlignment="1">
      <alignment horizontal="left" vertical="center" wrapText="1"/>
    </xf>
    <xf numFmtId="0" fontId="21" fillId="0" borderId="49" xfId="19" applyFont="1" applyBorder="1" applyAlignment="1">
      <alignment horizontal="center" vertical="center" wrapText="1"/>
    </xf>
    <xf numFmtId="0" fontId="21" fillId="0" borderId="51" xfId="19" applyFont="1" applyBorder="1" applyAlignment="1">
      <alignment horizontal="left" vertical="center" wrapText="1"/>
    </xf>
    <xf numFmtId="0" fontId="21" fillId="0" borderId="51" xfId="19" applyFont="1" applyBorder="1" applyAlignment="1">
      <alignment horizontal="center" vertical="center" wrapText="1"/>
    </xf>
    <xf numFmtId="0" fontId="21" fillId="0" borderId="51" xfId="19" applyFont="1" applyBorder="1" applyAlignment="1">
      <alignment horizontal="center" vertical="center"/>
    </xf>
    <xf numFmtId="1" fontId="21" fillId="0" borderId="58" xfId="19" applyNumberFormat="1" applyFont="1" applyBorder="1" applyAlignment="1">
      <alignment horizontal="center" vertical="center"/>
    </xf>
    <xf numFmtId="0" fontId="21" fillId="0" borderId="57" xfId="19" applyFont="1" applyBorder="1" applyAlignment="1">
      <alignment horizontal="center" vertical="center"/>
    </xf>
    <xf numFmtId="0" fontId="21" fillId="0" borderId="58" xfId="19" applyFont="1" applyBorder="1" applyAlignment="1">
      <alignment horizontal="center" vertical="center" wrapText="1"/>
    </xf>
    <xf numFmtId="0" fontId="20" fillId="2" borderId="50" xfId="19" applyFont="1" applyFill="1" applyBorder="1" applyAlignment="1">
      <alignment horizontal="left" vertical="center" wrapText="1"/>
    </xf>
    <xf numFmtId="0" fontId="20" fillId="2" borderId="50" xfId="19" applyFont="1" applyFill="1" applyBorder="1" applyAlignment="1">
      <alignment horizontal="center" vertical="center" wrapText="1"/>
    </xf>
    <xf numFmtId="0" fontId="20" fillId="2" borderId="58" xfId="19" applyFont="1" applyFill="1" applyBorder="1" applyAlignment="1">
      <alignment horizontal="center" vertical="center" wrapText="1"/>
    </xf>
    <xf numFmtId="0" fontId="11" fillId="0" borderId="57" xfId="19" applyFont="1" applyBorder="1" applyAlignment="1">
      <alignment horizontal="center" vertical="center" wrapText="1"/>
    </xf>
    <xf numFmtId="0" fontId="9" fillId="0" borderId="55" xfId="19" applyFont="1" applyBorder="1" applyAlignment="1">
      <alignment horizontal="center" vertical="center"/>
    </xf>
    <xf numFmtId="0" fontId="2" fillId="0" borderId="0" xfId="19" applyAlignment="1">
      <alignment horizontal="center"/>
    </xf>
    <xf numFmtId="0" fontId="6" fillId="0" borderId="0" xfId="0" applyFont="1" applyAlignment="1">
      <alignment horizontal="center" vertical="center"/>
    </xf>
    <xf numFmtId="0" fontId="20" fillId="2" borderId="0" xfId="0" applyFont="1" applyFill="1" applyAlignment="1">
      <alignment horizontal="justify" vertical="center"/>
    </xf>
    <xf numFmtId="0" fontId="20" fillId="2" borderId="0" xfId="0" applyFont="1" applyFill="1" applyAlignment="1">
      <alignment horizontal="center" vertical="center"/>
    </xf>
    <xf numFmtId="0" fontId="15" fillId="0" borderId="0" xfId="0" applyFont="1" applyAlignment="1">
      <alignment horizontal="justify" vertical="center" wrapText="1"/>
    </xf>
    <xf numFmtId="3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wrapText="1"/>
    </xf>
    <xf numFmtId="3" fontId="21" fillId="0" borderId="55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9" fillId="0" borderId="55" xfId="0" applyFont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/>
    </xf>
    <xf numFmtId="4" fontId="8" fillId="0" borderId="1" xfId="0" applyNumberFormat="1" applyFont="1" applyFill="1" applyBorder="1" applyAlignment="1">
      <alignment vertical="center"/>
    </xf>
    <xf numFmtId="0" fontId="82" fillId="0" borderId="0" xfId="6" applyFont="1" applyFill="1" applyBorder="1"/>
    <xf numFmtId="0" fontId="42" fillId="0" borderId="0" xfId="6" applyFill="1" applyBorder="1"/>
    <xf numFmtId="0" fontId="57" fillId="2" borderId="0" xfId="6" applyFont="1" applyFill="1" applyAlignment="1">
      <alignment vertical="center" wrapText="1"/>
    </xf>
    <xf numFmtId="0" fontId="20" fillId="2" borderId="0" xfId="6" applyFont="1" applyFill="1" applyAlignment="1">
      <alignment horizontal="center" vertical="center" wrapText="1"/>
    </xf>
    <xf numFmtId="0" fontId="57" fillId="0" borderId="0" xfId="6" applyFont="1" applyFill="1" applyBorder="1" applyAlignment="1">
      <alignment vertical="center" wrapText="1"/>
    </xf>
    <xf numFmtId="0" fontId="20" fillId="0" borderId="0" xfId="6" applyFont="1" applyFill="1" applyBorder="1" applyAlignment="1">
      <alignment horizontal="center" vertical="center" wrapText="1"/>
    </xf>
    <xf numFmtId="0" fontId="40" fillId="0" borderId="0" xfId="6" applyFont="1" applyAlignment="1">
      <alignment vertical="center" wrapText="1"/>
    </xf>
    <xf numFmtId="2" fontId="40" fillId="0" borderId="0" xfId="6" applyNumberFormat="1" applyFont="1" applyFill="1" applyAlignment="1">
      <alignment horizontal="center" vertical="center"/>
    </xf>
    <xf numFmtId="0" fontId="40" fillId="0" borderId="0" xfId="6" applyFont="1" applyFill="1" applyBorder="1" applyAlignment="1">
      <alignment vertical="center" wrapText="1"/>
    </xf>
    <xf numFmtId="0" fontId="40" fillId="0" borderId="0" xfId="6" applyFont="1" applyFill="1" applyBorder="1" applyAlignment="1">
      <alignment horizontal="center" vertical="center"/>
    </xf>
    <xf numFmtId="0" fontId="40" fillId="0" borderId="1" xfId="6" applyFont="1" applyBorder="1" applyAlignment="1">
      <alignment vertical="center" wrapText="1"/>
    </xf>
    <xf numFmtId="165" fontId="40" fillId="0" borderId="1" xfId="6" applyNumberFormat="1" applyFont="1" applyFill="1" applyBorder="1" applyAlignment="1">
      <alignment horizontal="center" vertical="center"/>
    </xf>
    <xf numFmtId="2" fontId="42" fillId="0" borderId="0" xfId="6" applyNumberFormat="1"/>
    <xf numFmtId="0" fontId="9" fillId="0" borderId="0" xfId="6" applyFont="1" applyBorder="1" applyAlignment="1">
      <alignment vertical="center"/>
    </xf>
    <xf numFmtId="0" fontId="13" fillId="0" borderId="0" xfId="6" applyFont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horizontal="center" vertical="center"/>
    </xf>
    <xf numFmtId="0" fontId="55" fillId="0" borderId="0" xfId="6" applyFont="1" applyAlignment="1">
      <alignment vertical="center" wrapText="1"/>
    </xf>
    <xf numFmtId="2" fontId="55" fillId="0" borderId="0" xfId="6" applyNumberFormat="1" applyFont="1" applyFill="1" applyBorder="1" applyAlignment="1">
      <alignment horizontal="center" vertical="center"/>
    </xf>
    <xf numFmtId="0" fontId="55" fillId="0" borderId="0" xfId="6" applyFont="1" applyFill="1" applyBorder="1" applyAlignment="1">
      <alignment vertical="center" wrapText="1"/>
    </xf>
    <xf numFmtId="0" fontId="55" fillId="0" borderId="0" xfId="6" applyFont="1" applyFill="1" applyBorder="1" applyAlignment="1">
      <alignment horizontal="center" vertical="center"/>
    </xf>
    <xf numFmtId="0" fontId="82" fillId="0" borderId="0" xfId="6" applyFont="1" applyFill="1" applyBorder="1" applyAlignment="1">
      <alignment vertical="center"/>
    </xf>
    <xf numFmtId="2" fontId="50" fillId="0" borderId="0" xfId="6" applyNumberFormat="1" applyFont="1" applyFill="1" applyBorder="1" applyAlignment="1">
      <alignment horizontal="center" vertical="center"/>
    </xf>
    <xf numFmtId="0" fontId="40" fillId="0" borderId="0" xfId="6" applyFont="1" applyBorder="1" applyAlignment="1">
      <alignment vertical="center" wrapText="1"/>
    </xf>
    <xf numFmtId="165" fontId="40" fillId="0" borderId="0" xfId="6" applyNumberFormat="1" applyFont="1" applyFill="1" applyBorder="1" applyAlignment="1">
      <alignment horizontal="center" vertical="center"/>
    </xf>
    <xf numFmtId="0" fontId="13" fillId="0" borderId="0" xfId="6" applyFont="1" applyBorder="1" applyAlignment="1">
      <alignment vertical="center" wrapText="1"/>
    </xf>
    <xf numFmtId="165" fontId="13" fillId="0" borderId="0" xfId="6" applyNumberFormat="1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center" wrapText="1"/>
    </xf>
    <xf numFmtId="165" fontId="11" fillId="0" borderId="0" xfId="6" applyNumberFormat="1" applyFont="1" applyFill="1" applyBorder="1" applyAlignment="1">
      <alignment horizontal="center"/>
    </xf>
    <xf numFmtId="2" fontId="40" fillId="0" borderId="0" xfId="6" applyNumberFormat="1" applyFont="1" applyFill="1" applyBorder="1" applyAlignment="1">
      <alignment horizontal="center" vertical="center"/>
    </xf>
    <xf numFmtId="0" fontId="50" fillId="0" borderId="2" xfId="6" applyFont="1" applyFill="1" applyBorder="1" applyAlignment="1">
      <alignment horizontal="left" vertical="center" wrapText="1"/>
    </xf>
    <xf numFmtId="165" fontId="50" fillId="0" borderId="2" xfId="6" applyNumberFormat="1" applyFont="1" applyFill="1" applyBorder="1" applyAlignment="1">
      <alignment horizontal="center" vertical="center"/>
    </xf>
    <xf numFmtId="2" fontId="50" fillId="0" borderId="2" xfId="6" applyNumberFormat="1" applyFont="1" applyFill="1" applyBorder="1" applyAlignment="1">
      <alignment horizontal="center" vertical="center"/>
    </xf>
    <xf numFmtId="0" fontId="50" fillId="0" borderId="1" xfId="6" applyFont="1" applyFill="1" applyBorder="1" applyAlignment="1">
      <alignment horizontal="left" vertical="center" wrapText="1"/>
    </xf>
    <xf numFmtId="165" fontId="50" fillId="0" borderId="1" xfId="6" applyNumberFormat="1" applyFont="1" applyFill="1" applyBorder="1" applyAlignment="1">
      <alignment horizontal="center" vertical="center"/>
    </xf>
    <xf numFmtId="2" fontId="50" fillId="0" borderId="1" xfId="6" applyNumberFormat="1" applyFont="1" applyFill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9" fillId="0" borderId="0" xfId="6" applyFont="1" applyFill="1" applyBorder="1" applyAlignment="1">
      <alignment vertical="center"/>
    </xf>
    <xf numFmtId="0" fontId="35" fillId="2" borderId="0" xfId="6" applyFont="1" applyFill="1" applyBorder="1"/>
    <xf numFmtId="0" fontId="41" fillId="0" borderId="0" xfId="6" applyFont="1"/>
    <xf numFmtId="0" fontId="21" fillId="0" borderId="0" xfId="6" applyFont="1" applyBorder="1" applyAlignment="1">
      <alignment vertical="center"/>
    </xf>
    <xf numFmtId="165" fontId="21" fillId="0" borderId="0" xfId="6" applyNumberFormat="1" applyFont="1" applyFill="1" applyBorder="1" applyAlignment="1">
      <alignment horizontal="right"/>
    </xf>
    <xf numFmtId="0" fontId="41" fillId="0" borderId="0" xfId="6" applyFont="1" applyFill="1"/>
    <xf numFmtId="0" fontId="42" fillId="0" borderId="0" xfId="6" applyFill="1"/>
    <xf numFmtId="165" fontId="13" fillId="0" borderId="0" xfId="6" applyNumberFormat="1" applyFont="1" applyFill="1" applyBorder="1" applyAlignment="1">
      <alignment horizontal="right" wrapText="1"/>
    </xf>
    <xf numFmtId="0" fontId="50" fillId="0" borderId="2" xfId="6" applyFont="1" applyFill="1" applyBorder="1" applyAlignment="1">
      <alignment vertical="center" wrapText="1"/>
    </xf>
    <xf numFmtId="165" fontId="29" fillId="0" borderId="2" xfId="6" applyNumberFormat="1" applyFont="1" applyFill="1" applyBorder="1" applyAlignment="1">
      <alignment horizontal="right"/>
    </xf>
    <xf numFmtId="0" fontId="50" fillId="0" borderId="1" xfId="6" applyFont="1" applyBorder="1" applyAlignment="1">
      <alignment vertical="center" wrapText="1"/>
    </xf>
    <xf numFmtId="165" fontId="29" fillId="0" borderId="1" xfId="6" applyNumberFormat="1" applyFont="1" applyFill="1" applyBorder="1" applyAlignment="1">
      <alignment horizontal="right"/>
    </xf>
    <xf numFmtId="0" fontId="55" fillId="0" borderId="0" xfId="6" applyFont="1"/>
    <xf numFmtId="166" fontId="42" fillId="0" borderId="0" xfId="6" applyNumberFormat="1"/>
    <xf numFmtId="0" fontId="11" fillId="0" borderId="0" xfId="6" applyFont="1" applyAlignment="1">
      <alignment vertical="center" wrapText="1"/>
    </xf>
    <xf numFmtId="2" fontId="13" fillId="0" borderId="0" xfId="6" applyNumberFormat="1" applyFont="1" applyFill="1" applyBorder="1" applyAlignment="1">
      <alignment horizontal="center" vertical="center"/>
    </xf>
    <xf numFmtId="1" fontId="40" fillId="0" borderId="0" xfId="6" applyNumberFormat="1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vertical="center" wrapText="1"/>
    </xf>
    <xf numFmtId="2" fontId="55" fillId="0" borderId="1" xfId="6" applyNumberFormat="1" applyFont="1" applyFill="1" applyBorder="1" applyAlignment="1">
      <alignment horizontal="center" vertical="center"/>
    </xf>
    <xf numFmtId="0" fontId="9" fillId="0" borderId="0" xfId="6" applyFont="1" applyBorder="1" applyAlignment="1">
      <alignment vertical="top"/>
    </xf>
    <xf numFmtId="3" fontId="40" fillId="0" borderId="0" xfId="6" applyNumberFormat="1" applyFont="1" applyFill="1" applyAlignment="1">
      <alignment horizontal="center" vertical="center"/>
    </xf>
    <xf numFmtId="0" fontId="20" fillId="2" borderId="0" xfId="6" applyFont="1" applyFill="1" applyAlignment="1">
      <alignment vertical="center"/>
    </xf>
    <xf numFmtId="0" fontId="41" fillId="0" borderId="0" xfId="6" applyFont="1" applyAlignment="1">
      <alignment horizontal="center" vertical="center"/>
    </xf>
    <xf numFmtId="0" fontId="22" fillId="0" borderId="0" xfId="6" applyFont="1" applyAlignment="1">
      <alignment vertical="center"/>
    </xf>
    <xf numFmtId="165" fontId="22" fillId="0" borderId="0" xfId="6" applyNumberFormat="1" applyFont="1" applyAlignment="1">
      <alignment horizontal="center" vertical="center"/>
    </xf>
    <xf numFmtId="165" fontId="22" fillId="0" borderId="0" xfId="6" applyNumberFormat="1" applyFont="1" applyFill="1" applyAlignment="1">
      <alignment horizontal="center" vertical="center"/>
    </xf>
    <xf numFmtId="0" fontId="83" fillId="0" borderId="0" xfId="6" applyFont="1"/>
    <xf numFmtId="0" fontId="21" fillId="0" borderId="0" xfId="6" applyFont="1" applyAlignment="1">
      <alignment vertical="center"/>
    </xf>
    <xf numFmtId="165" fontId="21" fillId="0" borderId="0" xfId="6" applyNumberFormat="1" applyFont="1" applyAlignment="1">
      <alignment horizontal="center" vertical="center"/>
    </xf>
    <xf numFmtId="165" fontId="21" fillId="0" borderId="0" xfId="6" applyNumberFormat="1" applyFont="1" applyFill="1" applyAlignment="1">
      <alignment horizontal="center" vertical="center"/>
    </xf>
    <xf numFmtId="0" fontId="13" fillId="0" borderId="0" xfId="6" applyFont="1" applyAlignment="1">
      <alignment vertical="center"/>
    </xf>
    <xf numFmtId="165" fontId="13" fillId="0" borderId="0" xfId="6" applyNumberFormat="1" applyFont="1" applyAlignment="1">
      <alignment horizontal="center" vertical="center" wrapText="1"/>
    </xf>
    <xf numFmtId="165" fontId="13" fillId="0" borderId="0" xfId="6" applyNumberFormat="1" applyFont="1" applyFill="1" applyAlignment="1">
      <alignment horizontal="center" vertical="center" wrapText="1"/>
    </xf>
    <xf numFmtId="0" fontId="11" fillId="0" borderId="0" xfId="6" applyFont="1" applyFill="1" applyAlignment="1">
      <alignment vertical="center"/>
    </xf>
    <xf numFmtId="165" fontId="11" fillId="0" borderId="0" xfId="6" applyNumberFormat="1" applyFont="1" applyAlignment="1">
      <alignment horizontal="center" vertical="center"/>
    </xf>
    <xf numFmtId="165" fontId="11" fillId="0" borderId="0" xfId="6" applyNumberFormat="1" applyFont="1" applyFill="1" applyAlignment="1">
      <alignment horizontal="center" vertical="center"/>
    </xf>
    <xf numFmtId="165" fontId="84" fillId="0" borderId="0" xfId="6" applyNumberFormat="1" applyFont="1"/>
    <xf numFmtId="0" fontId="13" fillId="0" borderId="2" xfId="6" applyFont="1" applyBorder="1" applyAlignment="1">
      <alignment vertical="center"/>
    </xf>
    <xf numFmtId="165" fontId="13" fillId="0" borderId="2" xfId="6" applyNumberFormat="1" applyFont="1" applyFill="1" applyBorder="1" applyAlignment="1">
      <alignment horizontal="center" vertical="center"/>
    </xf>
    <xf numFmtId="0" fontId="84" fillId="0" borderId="0" xfId="6" applyFont="1"/>
    <xf numFmtId="0" fontId="40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165" fontId="13" fillId="0" borderId="0" xfId="6" applyNumberFormat="1" applyFont="1" applyFill="1" applyAlignment="1">
      <alignment horizontal="center" vertical="center"/>
    </xf>
    <xf numFmtId="165" fontId="85" fillId="0" borderId="0" xfId="6" applyNumberFormat="1" applyFont="1" applyFill="1" applyAlignment="1">
      <alignment horizontal="center" vertical="center"/>
    </xf>
    <xf numFmtId="0" fontId="11" fillId="0" borderId="1" xfId="6" applyFont="1" applyBorder="1" applyAlignment="1">
      <alignment vertical="center"/>
    </xf>
    <xf numFmtId="165" fontId="13" fillId="0" borderId="1" xfId="6" applyNumberFormat="1" applyFont="1" applyFill="1" applyBorder="1" applyAlignment="1">
      <alignment horizontal="center" vertical="center"/>
    </xf>
    <xf numFmtId="165" fontId="85" fillId="0" borderId="1" xfId="6" applyNumberFormat="1" applyFont="1" applyFill="1" applyBorder="1" applyAlignment="1">
      <alignment horizontal="center" vertical="center"/>
    </xf>
    <xf numFmtId="165" fontId="85" fillId="0" borderId="0" xfId="6" applyNumberFormat="1" applyFont="1" applyFill="1" applyBorder="1" applyAlignment="1">
      <alignment horizontal="center" vertical="center"/>
    </xf>
    <xf numFmtId="0" fontId="50" fillId="0" borderId="0" xfId="6" applyFont="1" applyAlignment="1">
      <alignment vertical="center"/>
    </xf>
    <xf numFmtId="165" fontId="40" fillId="0" borderId="0" xfId="6" applyNumberFormat="1" applyFont="1" applyFill="1" applyAlignment="1">
      <alignment horizontal="center" vertical="center"/>
    </xf>
    <xf numFmtId="0" fontId="50" fillId="0" borderId="0" xfId="6" applyFont="1" applyFill="1" applyBorder="1" applyAlignment="1">
      <alignment vertical="center"/>
    </xf>
    <xf numFmtId="165" fontId="21" fillId="0" borderId="0" xfId="6" applyNumberFormat="1" applyFont="1" applyFill="1" applyBorder="1" applyAlignment="1">
      <alignment horizontal="center" vertical="center"/>
    </xf>
    <xf numFmtId="0" fontId="40" fillId="0" borderId="0" xfId="6" applyFont="1" applyFill="1" applyBorder="1" applyAlignment="1">
      <alignment horizontal="left" vertical="center"/>
    </xf>
    <xf numFmtId="165" fontId="85" fillId="0" borderId="2" xfId="6" applyNumberFormat="1" applyFont="1" applyFill="1" applyBorder="1" applyAlignment="1">
      <alignment horizontal="left" vertical="center" wrapText="1"/>
    </xf>
    <xf numFmtId="0" fontId="86" fillId="0" borderId="2" xfId="6" applyFont="1" applyFill="1" applyBorder="1"/>
    <xf numFmtId="165" fontId="85" fillId="0" borderId="2" xfId="6" applyNumberFormat="1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left" vertical="center" wrapText="1"/>
    </xf>
    <xf numFmtId="165" fontId="11" fillId="0" borderId="1" xfId="6" applyNumberFormat="1" applyFont="1" applyFill="1" applyBorder="1" applyAlignment="1">
      <alignment vertical="center"/>
    </xf>
    <xf numFmtId="165" fontId="11" fillId="0" borderId="1" xfId="6" applyNumberFormat="1" applyFont="1" applyFill="1" applyBorder="1" applyAlignment="1">
      <alignment horizontal="center" vertical="center"/>
    </xf>
    <xf numFmtId="165" fontId="11" fillId="0" borderId="0" xfId="6" applyNumberFormat="1" applyFont="1" applyFill="1" applyBorder="1" applyAlignment="1">
      <alignment horizontal="center" vertical="center"/>
    </xf>
    <xf numFmtId="0" fontId="84" fillId="0" borderId="0" xfId="6" applyFont="1" applyFill="1" applyBorder="1"/>
    <xf numFmtId="0" fontId="11" fillId="0" borderId="0" xfId="6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left" vertical="center"/>
    </xf>
    <xf numFmtId="0" fontId="6" fillId="0" borderId="0" xfId="6" applyFont="1" applyAlignment="1">
      <alignment vertical="center"/>
    </xf>
    <xf numFmtId="0" fontId="20" fillId="2" borderId="0" xfId="6" applyFont="1" applyFill="1" applyAlignment="1">
      <alignment horizontal="justify" vertical="center"/>
    </xf>
    <xf numFmtId="0" fontId="20" fillId="2" borderId="0" xfId="6" applyFont="1" applyFill="1" applyAlignment="1">
      <alignment horizontal="right" vertical="center"/>
    </xf>
    <xf numFmtId="0" fontId="21" fillId="0" borderId="0" xfId="6" applyFont="1" applyAlignment="1">
      <alignment horizontal="left" vertical="center"/>
    </xf>
    <xf numFmtId="3" fontId="21" fillId="0" borderId="0" xfId="6" applyNumberFormat="1" applyFont="1" applyBorder="1" applyAlignment="1">
      <alignment horizontal="right" vertical="center"/>
    </xf>
    <xf numFmtId="0" fontId="21" fillId="0" borderId="1" xfId="6" applyFont="1" applyBorder="1" applyAlignment="1">
      <alignment horizontal="left" vertical="top"/>
    </xf>
    <xf numFmtId="3" fontId="21" fillId="0" borderId="1" xfId="6" applyNumberFormat="1" applyFont="1" applyBorder="1" applyAlignment="1">
      <alignment horizontal="right" vertical="center"/>
    </xf>
    <xf numFmtId="0" fontId="22" fillId="0" borderId="4" xfId="6" applyFont="1" applyBorder="1" applyAlignment="1">
      <alignment horizontal="justify" vertical="center"/>
    </xf>
    <xf numFmtId="3" fontId="22" fillId="0" borderId="4" xfId="6" applyNumberFormat="1" applyFont="1" applyBorder="1" applyAlignment="1">
      <alignment horizontal="right" vertical="center"/>
    </xf>
    <xf numFmtId="3" fontId="18" fillId="0" borderId="0" xfId="20" applyNumberFormat="1" applyFont="1" applyFill="1" applyBorder="1" applyAlignment="1">
      <alignment horizontal="right"/>
    </xf>
    <xf numFmtId="3" fontId="18" fillId="0" borderId="0" xfId="21" applyNumberFormat="1" applyFont="1" applyFill="1" applyBorder="1" applyAlignment="1">
      <alignment horizontal="right"/>
    </xf>
    <xf numFmtId="0" fontId="6" fillId="0" borderId="0" xfId="6" applyFont="1" applyFill="1" applyAlignment="1">
      <alignment horizontal="left" vertical="center"/>
    </xf>
    <xf numFmtId="0" fontId="6" fillId="0" borderId="0" xfId="6" applyFont="1" applyFill="1" applyAlignment="1">
      <alignment vertical="center"/>
    </xf>
    <xf numFmtId="2" fontId="40" fillId="0" borderId="0" xfId="6" applyNumberFormat="1" applyFont="1" applyAlignment="1">
      <alignment horizontal="center" vertical="center"/>
    </xf>
    <xf numFmtId="0" fontId="40" fillId="0" borderId="0" xfId="6" applyFont="1"/>
    <xf numFmtId="2" fontId="11" fillId="0" borderId="1" xfId="6" applyNumberFormat="1" applyFont="1" applyBorder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2" fontId="22" fillId="0" borderId="0" xfId="6" applyNumberFormat="1" applyFont="1" applyAlignment="1">
      <alignment horizontal="center" vertical="center"/>
    </xf>
    <xf numFmtId="0" fontId="40" fillId="0" borderId="0" xfId="6" applyFont="1" applyFill="1" applyBorder="1"/>
    <xf numFmtId="0" fontId="40" fillId="0" borderId="0" xfId="6" applyFont="1" applyFill="1" applyBorder="1" applyAlignment="1">
      <alignment horizontal="center" vertical="center" wrapText="1"/>
    </xf>
    <xf numFmtId="0" fontId="41" fillId="0" borderId="0" xfId="6" applyFont="1" applyFill="1" applyBorder="1"/>
    <xf numFmtId="0" fontId="21" fillId="0" borderId="0" xfId="6" applyFont="1" applyFill="1" applyBorder="1" applyAlignment="1">
      <alignment vertical="center"/>
    </xf>
    <xf numFmtId="4" fontId="40" fillId="0" borderId="0" xfId="6" applyNumberFormat="1" applyFont="1" applyFill="1" applyBorder="1" applyAlignment="1">
      <alignment horizontal="center" vertical="center" wrapText="1"/>
    </xf>
    <xf numFmtId="4" fontId="40" fillId="0" borderId="0" xfId="6" applyNumberFormat="1" applyFont="1" applyFill="1" applyBorder="1" applyAlignment="1">
      <alignment horizontal="center" vertical="center"/>
    </xf>
    <xf numFmtId="4" fontId="87" fillId="0" borderId="0" xfId="6" applyNumberFormat="1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vertical="center"/>
    </xf>
    <xf numFmtId="4" fontId="88" fillId="0" borderId="0" xfId="6" applyNumberFormat="1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vertical="center"/>
    </xf>
    <xf numFmtId="4" fontId="6" fillId="0" borderId="0" xfId="6" applyNumberFormat="1" applyFont="1" applyFill="1" applyBorder="1" applyAlignment="1">
      <alignment horizontal="center" vertical="center"/>
    </xf>
    <xf numFmtId="0" fontId="50" fillId="0" borderId="0" xfId="6" applyFont="1" applyFill="1" applyBorder="1" applyAlignment="1">
      <alignment horizontal="justify" vertical="center" wrapText="1"/>
    </xf>
    <xf numFmtId="0" fontId="89" fillId="0" borderId="0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13" fillId="0" borderId="0" xfId="6" applyFont="1" applyFill="1" applyBorder="1"/>
    <xf numFmtId="3" fontId="13" fillId="0" borderId="0" xfId="6" applyNumberFormat="1" applyFont="1" applyFill="1" applyBorder="1" applyAlignment="1">
      <alignment horizontal="center" vertical="center"/>
    </xf>
    <xf numFmtId="0" fontId="50" fillId="0" borderId="0" xfId="6" applyFont="1" applyFill="1" applyBorder="1" applyAlignment="1">
      <alignment horizontal="left"/>
    </xf>
    <xf numFmtId="3" fontId="50" fillId="0" borderId="0" xfId="6" applyNumberFormat="1" applyFont="1" applyFill="1" applyBorder="1" applyAlignment="1">
      <alignment horizontal="center" vertical="center"/>
    </xf>
    <xf numFmtId="3" fontId="40" fillId="0" borderId="0" xfId="6" applyNumberFormat="1" applyFont="1" applyFill="1" applyBorder="1" applyAlignment="1">
      <alignment horizontal="center" vertical="center"/>
    </xf>
    <xf numFmtId="0" fontId="11" fillId="0" borderId="0" xfId="6" applyFont="1" applyFill="1" applyBorder="1"/>
    <xf numFmtId="3" fontId="11" fillId="0" borderId="0" xfId="6" applyNumberFormat="1" applyFont="1" applyFill="1" applyBorder="1" applyAlignment="1">
      <alignment horizontal="center" vertical="center"/>
    </xf>
    <xf numFmtId="0" fontId="55" fillId="0" borderId="0" xfId="6" applyFont="1" applyFill="1" applyBorder="1"/>
    <xf numFmtId="4" fontId="55" fillId="0" borderId="0" xfId="6" applyNumberFormat="1" applyFont="1" applyFill="1" applyBorder="1" applyAlignment="1">
      <alignment horizontal="center" vertical="center"/>
    </xf>
    <xf numFmtId="3" fontId="41" fillId="0" borderId="0" xfId="6" applyNumberFormat="1" applyFont="1" applyFill="1" applyBorder="1"/>
    <xf numFmtId="0" fontId="20" fillId="0" borderId="0" xfId="6" applyFont="1" applyFill="1" applyBorder="1" applyAlignment="1">
      <alignment vertical="center"/>
    </xf>
    <xf numFmtId="1" fontId="40" fillId="0" borderId="0" xfId="6" applyNumberFormat="1" applyFont="1" applyFill="1" applyBorder="1" applyAlignment="1">
      <alignment horizontal="center" vertical="center" wrapText="1"/>
    </xf>
    <xf numFmtId="3" fontId="41" fillId="0" borderId="0" xfId="6" applyNumberFormat="1" applyFont="1"/>
    <xf numFmtId="0" fontId="6" fillId="0" borderId="0" xfId="6" applyFont="1" applyFill="1" applyBorder="1" applyAlignment="1"/>
    <xf numFmtId="168" fontId="6" fillId="0" borderId="0" xfId="22" applyNumberFormat="1" applyFont="1" applyFill="1" applyBorder="1" applyAlignment="1">
      <alignment horizontal="center"/>
    </xf>
    <xf numFmtId="0" fontId="7" fillId="2" borderId="0" xfId="6" applyFont="1" applyFill="1" applyBorder="1"/>
    <xf numFmtId="164" fontId="11" fillId="0" borderId="0" xfId="6" applyNumberFormat="1" applyFont="1" applyFill="1" applyBorder="1" applyAlignment="1">
      <alignment horizontal="right"/>
    </xf>
    <xf numFmtId="0" fontId="91" fillId="0" borderId="0" xfId="6" applyFont="1" applyFill="1" applyBorder="1" applyAlignment="1">
      <alignment horizontal="left" indent="1"/>
    </xf>
    <xf numFmtId="164" fontId="13" fillId="0" borderId="0" xfId="23" applyNumberFormat="1" applyFont="1" applyFill="1" applyBorder="1" applyAlignment="1">
      <alignment horizontal="right"/>
    </xf>
    <xf numFmtId="0" fontId="49" fillId="0" borderId="0" xfId="6" applyFont="1" applyFill="1" applyBorder="1" applyAlignment="1">
      <alignment horizontal="left" indent="2"/>
    </xf>
    <xf numFmtId="164" fontId="49" fillId="0" borderId="0" xfId="22" applyNumberFormat="1" applyFont="1" applyFill="1" applyBorder="1" applyAlignment="1">
      <alignment horizontal="right" wrapText="1"/>
    </xf>
    <xf numFmtId="0" fontId="49" fillId="0" borderId="0" xfId="6" applyFont="1" applyFill="1" applyBorder="1" applyAlignment="1">
      <alignment horizontal="left" wrapText="1" indent="3"/>
    </xf>
    <xf numFmtId="0" fontId="49" fillId="0" borderId="0" xfId="6" applyFont="1" applyFill="1" applyBorder="1" applyAlignment="1">
      <alignment horizontal="left" wrapText="1" indent="2"/>
    </xf>
    <xf numFmtId="0" fontId="49" fillId="0" borderId="0" xfId="6" applyFont="1" applyFill="1" applyBorder="1" applyAlignment="1">
      <alignment horizontal="left" indent="3"/>
    </xf>
    <xf numFmtId="164" fontId="40" fillId="0" borderId="0" xfId="23" applyNumberFormat="1" applyFont="1" applyFill="1" applyBorder="1" applyAlignment="1">
      <alignment horizontal="right"/>
    </xf>
    <xf numFmtId="164" fontId="91" fillId="0" borderId="0" xfId="22" applyNumberFormat="1" applyFont="1" applyFill="1" applyBorder="1" applyAlignment="1">
      <alignment horizontal="right" wrapText="1"/>
    </xf>
    <xf numFmtId="0" fontId="49" fillId="0" borderId="0" xfId="6" applyFont="1" applyFill="1" applyBorder="1" applyAlignment="1">
      <alignment horizontal="left" indent="5"/>
    </xf>
    <xf numFmtId="0" fontId="11" fillId="0" borderId="1" xfId="6" applyFont="1" applyFill="1" applyBorder="1"/>
    <xf numFmtId="164" fontId="11" fillId="0" borderId="1" xfId="6" applyNumberFormat="1" applyFont="1" applyFill="1" applyBorder="1" applyAlignment="1">
      <alignment horizontal="right"/>
    </xf>
    <xf numFmtId="0" fontId="9" fillId="0" borderId="0" xfId="6" applyFont="1"/>
    <xf numFmtId="164" fontId="40" fillId="0" borderId="0" xfId="6" applyNumberFormat="1" applyFont="1" applyFill="1" applyBorder="1"/>
    <xf numFmtId="164" fontId="9" fillId="0" borderId="0" xfId="6" applyNumberFormat="1" applyFont="1" applyFill="1" applyBorder="1"/>
    <xf numFmtId="0" fontId="49" fillId="0" borderId="0" xfId="6" applyFont="1" applyFill="1" applyBorder="1"/>
    <xf numFmtId="0" fontId="23" fillId="0" borderId="0" xfId="6" applyFont="1" applyFill="1" applyBorder="1"/>
    <xf numFmtId="0" fontId="6" fillId="0" borderId="0" xfId="6" applyFont="1" applyFill="1" applyBorder="1" applyAlignment="1">
      <alignment vertical="center"/>
    </xf>
    <xf numFmtId="4" fontId="11" fillId="0" borderId="0" xfId="6" applyNumberFormat="1" applyFont="1" applyFill="1" applyBorder="1" applyAlignment="1">
      <alignment horizontal="right"/>
    </xf>
    <xf numFmtId="4" fontId="13" fillId="0" borderId="0" xfId="23" applyNumberFormat="1" applyFont="1" applyFill="1" applyBorder="1" applyAlignment="1">
      <alignment horizontal="right"/>
    </xf>
    <xf numFmtId="4" fontId="49" fillId="0" borderId="0" xfId="22" applyNumberFormat="1" applyFont="1" applyFill="1" applyBorder="1" applyAlignment="1">
      <alignment horizontal="right" wrapText="1"/>
    </xf>
    <xf numFmtId="4" fontId="40" fillId="0" borderId="0" xfId="23" applyNumberFormat="1" applyFont="1" applyFill="1" applyBorder="1" applyAlignment="1">
      <alignment horizontal="right"/>
    </xf>
    <xf numFmtId="4" fontId="91" fillId="0" borderId="0" xfId="22" applyNumberFormat="1" applyFont="1" applyFill="1" applyBorder="1" applyAlignment="1">
      <alignment horizontal="right" wrapText="1"/>
    </xf>
    <xf numFmtId="4" fontId="11" fillId="0" borderId="1" xfId="6" applyNumberFormat="1" applyFont="1" applyFill="1" applyBorder="1" applyAlignment="1">
      <alignment horizontal="right"/>
    </xf>
    <xf numFmtId="0" fontId="6" fillId="0" borderId="0" xfId="24" applyFont="1" applyFill="1" applyAlignment="1">
      <alignment vertical="center"/>
    </xf>
    <xf numFmtId="0" fontId="41" fillId="0" borderId="0" xfId="6" applyFont="1" applyBorder="1"/>
    <xf numFmtId="0" fontId="35" fillId="2" borderId="0" xfId="6" applyFont="1" applyFill="1" applyBorder="1" applyAlignment="1">
      <alignment vertical="center"/>
    </xf>
    <xf numFmtId="0" fontId="11" fillId="0" borderId="0" xfId="25" applyFont="1" applyFill="1" applyBorder="1" applyAlignment="1">
      <alignment vertical="center"/>
    </xf>
    <xf numFmtId="0" fontId="6" fillId="0" borderId="0" xfId="24" applyFont="1" applyFill="1" applyBorder="1" applyAlignment="1">
      <alignment vertical="center"/>
    </xf>
    <xf numFmtId="3" fontId="6" fillId="0" borderId="0" xfId="6" applyNumberFormat="1" applyFont="1" applyFill="1"/>
    <xf numFmtId="0" fontId="40" fillId="0" borderId="0" xfId="25" applyFont="1" applyFill="1" applyBorder="1" applyAlignment="1">
      <alignment horizontal="left" vertical="center" indent="1"/>
    </xf>
    <xf numFmtId="0" fontId="41" fillId="0" borderId="0" xfId="24" applyFont="1" applyFill="1" applyBorder="1" applyAlignment="1">
      <alignment vertical="center"/>
    </xf>
    <xf numFmtId="3" fontId="41" fillId="0" borderId="0" xfId="6" applyNumberFormat="1" applyFont="1" applyFill="1"/>
    <xf numFmtId="0" fontId="41" fillId="0" borderId="0" xfId="24" applyFont="1" applyFill="1" applyBorder="1" applyAlignment="1">
      <alignment horizontal="left" vertical="center" indent="1"/>
    </xf>
    <xf numFmtId="0" fontId="41" fillId="0" borderId="0" xfId="24" applyFont="1" applyFill="1" applyBorder="1" applyAlignment="1">
      <alignment horizontal="left" vertical="center"/>
    </xf>
    <xf numFmtId="0" fontId="41" fillId="0" borderId="0" xfId="6" applyFont="1" applyFill="1" applyAlignment="1">
      <alignment horizontal="left" indent="1"/>
    </xf>
    <xf numFmtId="0" fontId="55" fillId="0" borderId="0" xfId="6" applyFont="1" applyFill="1" applyBorder="1" applyAlignment="1">
      <alignment vertical="center"/>
    </xf>
    <xf numFmtId="0" fontId="41" fillId="0" borderId="0" xfId="6" applyFont="1" applyAlignment="1">
      <alignment horizontal="left" indent="1"/>
    </xf>
    <xf numFmtId="0" fontId="41" fillId="0" borderId="0" xfId="24" applyFont="1" applyFill="1" applyAlignment="1">
      <alignment horizontal="left" indent="1"/>
    </xf>
    <xf numFmtId="0" fontId="41" fillId="0" borderId="0" xfId="24" applyFont="1" applyFill="1"/>
    <xf numFmtId="0" fontId="6" fillId="0" borderId="2" xfId="6" applyFont="1" applyFill="1" applyBorder="1" applyAlignment="1">
      <alignment horizontal="left" vertical="center"/>
    </xf>
    <xf numFmtId="3" fontId="6" fillId="0" borderId="2" xfId="6" applyNumberFormat="1" applyFont="1" applyFill="1" applyBorder="1" applyAlignment="1">
      <alignment vertical="center"/>
    </xf>
    <xf numFmtId="0" fontId="93" fillId="0" borderId="0" xfId="6" applyFont="1" applyFill="1" applyAlignment="1">
      <alignment vertical="center" wrapText="1"/>
    </xf>
    <xf numFmtId="0" fontId="55" fillId="0" borderId="1" xfId="6" applyFont="1" applyFill="1" applyBorder="1" applyAlignment="1">
      <alignment vertical="center"/>
    </xf>
    <xf numFmtId="2" fontId="94" fillId="0" borderId="1" xfId="6" applyNumberFormat="1" applyFont="1" applyFill="1" applyBorder="1" applyAlignment="1">
      <alignment vertical="center"/>
    </xf>
    <xf numFmtId="0" fontId="95" fillId="0" borderId="0" xfId="6" applyFont="1" applyFill="1" applyAlignment="1">
      <alignment vertical="center"/>
    </xf>
    <xf numFmtId="164" fontId="55" fillId="0" borderId="0" xfId="6" applyNumberFormat="1" applyFont="1" applyFill="1" applyBorder="1" applyAlignment="1">
      <alignment horizontal="right" vertical="center"/>
    </xf>
    <xf numFmtId="3" fontId="40" fillId="0" borderId="0" xfId="6" applyNumberFormat="1" applyFont="1"/>
    <xf numFmtId="0" fontId="96" fillId="0" borderId="0" xfId="6" applyFont="1" applyFill="1" applyBorder="1" applyAlignment="1">
      <alignment vertical="center" wrapText="1"/>
    </xf>
    <xf numFmtId="0" fontId="41" fillId="0" borderId="0" xfId="6" applyFont="1" applyFill="1" applyBorder="1" applyAlignment="1">
      <alignment horizontal="left" vertical="center"/>
    </xf>
    <xf numFmtId="3" fontId="41" fillId="0" borderId="0" xfId="6" applyNumberFormat="1" applyFont="1" applyFill="1" applyBorder="1" applyAlignment="1">
      <alignment vertical="center"/>
    </xf>
    <xf numFmtId="0" fontId="96" fillId="0" borderId="0" xfId="6" applyFont="1" applyFill="1" applyBorder="1" applyAlignment="1">
      <alignment horizontal="center" vertical="center"/>
    </xf>
    <xf numFmtId="0" fontId="42" fillId="0" borderId="0" xfId="6" applyFill="1" applyBorder="1" applyAlignment="1">
      <alignment vertical="center"/>
    </xf>
    <xf numFmtId="0" fontId="97" fillId="0" borderId="0" xfId="6" applyFont="1" applyFill="1" applyBorder="1" applyAlignment="1">
      <alignment horizontal="center" vertical="center"/>
    </xf>
    <xf numFmtId="3" fontId="96" fillId="0" borderId="0" xfId="6" applyNumberFormat="1" applyFont="1" applyFill="1" applyBorder="1" applyAlignment="1">
      <alignment horizontal="center" vertical="center"/>
    </xf>
    <xf numFmtId="3" fontId="96" fillId="0" borderId="0" xfId="6" applyNumberFormat="1" applyFont="1" applyFill="1" applyBorder="1" applyAlignment="1">
      <alignment vertical="center"/>
    </xf>
    <xf numFmtId="0" fontId="96" fillId="0" borderId="0" xfId="6" applyFont="1" applyFill="1" applyBorder="1" applyAlignment="1">
      <alignment vertical="center"/>
    </xf>
    <xf numFmtId="0" fontId="95" fillId="0" borderId="0" xfId="6" applyFont="1" applyFill="1" applyBorder="1" applyAlignment="1">
      <alignment vertical="center"/>
    </xf>
    <xf numFmtId="3" fontId="95" fillId="0" borderId="0" xfId="6" applyNumberFormat="1" applyFont="1" applyFill="1" applyBorder="1" applyAlignment="1">
      <alignment vertical="center"/>
    </xf>
    <xf numFmtId="0" fontId="95" fillId="0" borderId="0" xfId="6" applyFont="1" applyFill="1" applyBorder="1" applyAlignment="1">
      <alignment horizontal="left" vertical="center"/>
    </xf>
    <xf numFmtId="0" fontId="95" fillId="0" borderId="0" xfId="6" applyFont="1" applyFill="1" applyBorder="1" applyAlignment="1">
      <alignment horizontal="left" vertical="center" indent="1"/>
    </xf>
    <xf numFmtId="3" fontId="95" fillId="0" borderId="0" xfId="6" applyNumberFormat="1" applyFont="1" applyFill="1" applyBorder="1" applyAlignment="1">
      <alignment horizontal="right" vertical="center"/>
    </xf>
    <xf numFmtId="0" fontId="96" fillId="0" borderId="0" xfId="6" applyFont="1" applyFill="1" applyBorder="1" applyAlignment="1">
      <alignment horizontal="left" vertical="center"/>
    </xf>
    <xf numFmtId="0" fontId="98" fillId="0" borderId="0" xfId="6" applyFont="1" applyFill="1" applyBorder="1" applyAlignment="1">
      <alignment vertical="center"/>
    </xf>
    <xf numFmtId="2" fontId="96" fillId="0" borderId="0" xfId="6" applyNumberFormat="1" applyFont="1" applyFill="1" applyBorder="1" applyAlignment="1">
      <alignment vertical="center"/>
    </xf>
    <xf numFmtId="164" fontId="96" fillId="0" borderId="0" xfId="6" applyNumberFormat="1" applyFont="1" applyFill="1" applyBorder="1" applyAlignment="1">
      <alignment horizontal="right" vertical="center"/>
    </xf>
    <xf numFmtId="168" fontId="96" fillId="0" borderId="0" xfId="6" applyNumberFormat="1" applyFont="1" applyFill="1" applyBorder="1" applyAlignment="1">
      <alignment horizontal="right" vertical="center"/>
    </xf>
    <xf numFmtId="0" fontId="11" fillId="0" borderId="0" xfId="6" applyFont="1" applyBorder="1" applyAlignment="1">
      <alignment vertical="center" wrapText="1"/>
    </xf>
    <xf numFmtId="0" fontId="20" fillId="0" borderId="0" xfId="6" applyFont="1" applyFill="1" applyAlignment="1">
      <alignment horizontal="center" vertical="center" wrapText="1"/>
    </xf>
    <xf numFmtId="0" fontId="6" fillId="0" borderId="0" xfId="6" applyFont="1" applyBorder="1" applyAlignment="1">
      <alignment horizontal="left" vertical="center"/>
    </xf>
    <xf numFmtId="2" fontId="13" fillId="0" borderId="0" xfId="6" applyNumberFormat="1" applyFont="1" applyFill="1" applyAlignment="1">
      <alignment horizontal="center" vertical="center"/>
    </xf>
    <xf numFmtId="0" fontId="40" fillId="0" borderId="0" xfId="6" applyFont="1" applyFill="1" applyAlignment="1">
      <alignment horizontal="left" vertical="center" wrapText="1" indent="1"/>
    </xf>
    <xf numFmtId="0" fontId="13" fillId="0" borderId="0" xfId="6" applyFont="1" applyFill="1" applyAlignment="1">
      <alignment vertical="center" wrapText="1"/>
    </xf>
    <xf numFmtId="0" fontId="99" fillId="0" borderId="0" xfId="6" applyFont="1" applyAlignment="1">
      <alignment horizontal="justify" vertical="center" wrapText="1"/>
    </xf>
    <xf numFmtId="0" fontId="42" fillId="0" borderId="0" xfId="6" applyBorder="1"/>
    <xf numFmtId="2" fontId="42" fillId="0" borderId="0" xfId="6" applyNumberFormat="1" applyBorder="1"/>
    <xf numFmtId="0" fontId="100" fillId="0" borderId="0" xfId="6" applyFont="1" applyFill="1"/>
    <xf numFmtId="0" fontId="101" fillId="5" borderId="0" xfId="6" applyFont="1" applyFill="1" applyBorder="1" applyAlignment="1">
      <alignment vertical="center"/>
    </xf>
    <xf numFmtId="4" fontId="101" fillId="5" borderId="0" xfId="6" applyNumberFormat="1" applyFont="1" applyFill="1" applyBorder="1" applyAlignment="1">
      <alignment horizontal="center" vertical="center"/>
    </xf>
    <xf numFmtId="0" fontId="102" fillId="0" borderId="0" xfId="6" applyFont="1"/>
    <xf numFmtId="0" fontId="1" fillId="0" borderId="0" xfId="26"/>
    <xf numFmtId="0" fontId="103" fillId="0" borderId="0" xfId="26" applyFont="1" applyAlignment="1">
      <alignment vertical="center"/>
    </xf>
    <xf numFmtId="0" fontId="104" fillId="0" borderId="0" xfId="26" applyFont="1" applyAlignment="1">
      <alignment horizontal="center" vertical="center"/>
    </xf>
    <xf numFmtId="0" fontId="6" fillId="0" borderId="0" xfId="6" applyFont="1"/>
    <xf numFmtId="0" fontId="8" fillId="0" borderId="0" xfId="26" applyFont="1"/>
    <xf numFmtId="2" fontId="1" fillId="0" borderId="0" xfId="26" applyNumberFormat="1"/>
    <xf numFmtId="2" fontId="1" fillId="0" borderId="59" xfId="26" applyNumberFormat="1" applyFill="1" applyBorder="1"/>
    <xf numFmtId="2" fontId="1" fillId="0" borderId="0" xfId="26" applyNumberFormat="1" applyBorder="1"/>
    <xf numFmtId="2" fontId="1" fillId="0" borderId="60" xfId="26" applyNumberFormat="1" applyBorder="1"/>
    <xf numFmtId="2" fontId="1" fillId="0" borderId="0" xfId="26" applyNumberFormat="1" applyFill="1"/>
    <xf numFmtId="4" fontId="1" fillId="0" borderId="0" xfId="26" applyNumberFormat="1" applyFill="1"/>
    <xf numFmtId="0" fontId="8" fillId="0" borderId="0" xfId="26" applyFont="1" applyFill="1"/>
    <xf numFmtId="164" fontId="1" fillId="0" borderId="0" xfId="26" applyNumberFormat="1"/>
    <xf numFmtId="0" fontId="1" fillId="0" borderId="0" xfId="26" applyAlignment="1"/>
    <xf numFmtId="0" fontId="1" fillId="0" borderId="0" xfId="26" applyFill="1" applyAlignment="1"/>
    <xf numFmtId="0" fontId="1" fillId="0" borderId="0" xfId="26" applyFill="1" applyBorder="1" applyAlignment="1"/>
    <xf numFmtId="0" fontId="101" fillId="0" borderId="0" xfId="6" applyFont="1" applyFill="1" applyBorder="1" applyAlignment="1">
      <alignment horizontal="center" vertical="center" wrapText="1"/>
    </xf>
    <xf numFmtId="2" fontId="105" fillId="0" borderId="0" xfId="6" applyNumberFormat="1" applyFont="1" applyFill="1" applyBorder="1" applyAlignment="1">
      <alignment horizontal="center" vertical="center" wrapText="1"/>
    </xf>
    <xf numFmtId="2" fontId="105" fillId="0" borderId="0" xfId="6" applyNumberFormat="1" applyFont="1" applyFill="1" applyBorder="1" applyAlignment="1">
      <alignment vertical="center" wrapText="1"/>
    </xf>
    <xf numFmtId="0" fontId="1" fillId="0" borderId="0" xfId="26" applyFill="1" applyBorder="1"/>
    <xf numFmtId="2" fontId="101" fillId="0" borderId="0" xfId="6" applyNumberFormat="1" applyFont="1" applyFill="1" applyBorder="1" applyAlignment="1">
      <alignment horizontal="center" vertical="center" wrapText="1"/>
    </xf>
    <xf numFmtId="2" fontId="101" fillId="0" borderId="0" xfId="6" applyNumberFormat="1" applyFont="1" applyFill="1" applyBorder="1" applyAlignment="1">
      <alignment vertical="center" wrapText="1"/>
    </xf>
    <xf numFmtId="0" fontId="45" fillId="0" borderId="0" xfId="6" applyFont="1" applyFill="1" applyBorder="1" applyAlignment="1">
      <alignment horizontal="center" vertical="center" wrapText="1"/>
    </xf>
    <xf numFmtId="0" fontId="106" fillId="0" borderId="0" xfId="6" applyFont="1" applyFill="1" applyBorder="1" applyAlignment="1">
      <alignment horizontal="center" vertical="center" wrapText="1"/>
    </xf>
    <xf numFmtId="0" fontId="107" fillId="0" borderId="0" xfId="6" applyFont="1" applyFill="1" applyBorder="1" applyAlignment="1">
      <alignment horizontal="center" vertical="center" wrapText="1"/>
    </xf>
    <xf numFmtId="0" fontId="108" fillId="0" borderId="0" xfId="6" applyFont="1" applyFill="1" applyBorder="1" applyAlignment="1">
      <alignment horizontal="center" vertical="center" wrapText="1"/>
    </xf>
    <xf numFmtId="0" fontId="109" fillId="0" borderId="0" xfId="6" applyFont="1" applyFill="1" applyBorder="1" applyAlignment="1">
      <alignment vertical="center" wrapText="1"/>
    </xf>
    <xf numFmtId="0" fontId="109" fillId="0" borderId="0" xfId="6" applyFont="1" applyFill="1" applyBorder="1" applyAlignment="1">
      <alignment horizontal="right" vertical="center" wrapText="1"/>
    </xf>
    <xf numFmtId="0" fontId="108" fillId="0" borderId="0" xfId="6" applyFont="1" applyFill="1" applyBorder="1" applyAlignment="1">
      <alignment horizontal="center" vertical="center"/>
    </xf>
    <xf numFmtId="0" fontId="107" fillId="0" borderId="0" xfId="6" applyFont="1" applyFill="1" applyBorder="1" applyAlignment="1">
      <alignment horizontal="center" vertical="center"/>
    </xf>
    <xf numFmtId="0" fontId="42" fillId="0" borderId="0" xfId="6" applyFill="1" applyBorder="1" applyAlignment="1"/>
    <xf numFmtId="0" fontId="110" fillId="0" borderId="0" xfId="6" applyFont="1" applyFill="1" applyBorder="1" applyAlignment="1">
      <alignment horizontal="right" vertical="center"/>
    </xf>
    <xf numFmtId="0" fontId="111" fillId="0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center" vertical="center"/>
    </xf>
    <xf numFmtId="0" fontId="50" fillId="0" borderId="0" xfId="6" applyFont="1" applyFill="1" applyBorder="1" applyAlignment="1">
      <alignment vertical="center" wrapText="1"/>
    </xf>
    <xf numFmtId="2" fontId="112" fillId="0" borderId="0" xfId="6" applyNumberFormat="1" applyFont="1" applyFill="1" applyBorder="1"/>
    <xf numFmtId="0" fontId="9" fillId="0" borderId="0" xfId="6" applyFont="1" applyFill="1" applyBorder="1" applyAlignment="1">
      <alignment horizontal="right" vertical="center"/>
    </xf>
    <xf numFmtId="0" fontId="114" fillId="0" borderId="0" xfId="6" applyFont="1" applyFill="1" applyBorder="1" applyAlignment="1">
      <alignment vertical="center"/>
    </xf>
    <xf numFmtId="0" fontId="115" fillId="0" borderId="0" xfId="6" applyFont="1" applyFill="1" applyBorder="1" applyAlignment="1">
      <alignment horizontal="center" vertical="center"/>
    </xf>
    <xf numFmtId="0" fontId="27" fillId="0" borderId="0" xfId="6" applyFont="1" applyFill="1" applyBorder="1" applyAlignment="1">
      <alignment vertical="center"/>
    </xf>
    <xf numFmtId="0" fontId="42" fillId="0" borderId="0" xfId="6" applyFont="1" applyFill="1" applyBorder="1" applyAlignment="1"/>
    <xf numFmtId="0" fontId="115" fillId="0" borderId="0" xfId="6" applyFont="1" applyFill="1" applyBorder="1" applyAlignment="1">
      <alignment vertical="center"/>
    </xf>
    <xf numFmtId="0" fontId="57" fillId="0" borderId="0" xfId="6" applyFont="1" applyFill="1" applyBorder="1" applyAlignment="1">
      <alignment vertical="center"/>
    </xf>
    <xf numFmtId="0" fontId="57" fillId="0" borderId="0" xfId="6" applyFont="1" applyFill="1" applyBorder="1" applyAlignment="1">
      <alignment horizontal="center" vertical="center"/>
    </xf>
    <xf numFmtId="0" fontId="111" fillId="0" borderId="0" xfId="6" applyFont="1" applyFill="1" applyBorder="1" applyAlignment="1">
      <alignment horizontal="left" vertical="center" indent="1"/>
    </xf>
    <xf numFmtId="0" fontId="114" fillId="0" borderId="0" xfId="6" applyFont="1" applyFill="1" applyBorder="1"/>
    <xf numFmtId="2" fontId="111" fillId="0" borderId="0" xfId="6" applyNumberFormat="1" applyFont="1" applyFill="1" applyBorder="1" applyAlignment="1">
      <alignment horizontal="center" vertical="center"/>
    </xf>
    <xf numFmtId="165" fontId="115" fillId="0" borderId="0" xfId="6" applyNumberFormat="1" applyFont="1" applyFill="1" applyBorder="1" applyAlignment="1">
      <alignment horizontal="center" vertical="center"/>
    </xf>
    <xf numFmtId="0" fontId="111" fillId="0" borderId="0" xfId="6" applyFont="1" applyFill="1" applyBorder="1"/>
    <xf numFmtId="0" fontId="102" fillId="0" borderId="0" xfId="6" applyFont="1" applyFill="1" applyBorder="1"/>
    <xf numFmtId="0" fontId="42" fillId="0" borderId="0" xfId="6" applyFill="1" applyBorder="1" applyAlignment="1">
      <alignment horizontal="center"/>
    </xf>
    <xf numFmtId="0" fontId="102" fillId="0" borderId="0" xfId="6" applyFont="1" applyFill="1" applyBorder="1" applyAlignment="1">
      <alignment vertical="center" wrapText="1"/>
    </xf>
    <xf numFmtId="0" fontId="116" fillId="0" borderId="0" xfId="6" applyFont="1" applyFill="1" applyBorder="1" applyAlignment="1">
      <alignment horizontal="right" vertical="center" wrapText="1"/>
    </xf>
    <xf numFmtId="0" fontId="116" fillId="0" borderId="0" xfId="6" applyFont="1" applyFill="1" applyBorder="1" applyAlignment="1">
      <alignment horizontal="center" vertical="center" wrapText="1"/>
    </xf>
    <xf numFmtId="0" fontId="116" fillId="0" borderId="0" xfId="6" applyFont="1" applyFill="1" applyBorder="1" applyAlignment="1">
      <alignment vertical="center"/>
    </xf>
    <xf numFmtId="0" fontId="116" fillId="0" borderId="0" xfId="6" applyFont="1" applyFill="1" applyBorder="1" applyAlignment="1">
      <alignment vertical="center" wrapText="1"/>
    </xf>
    <xf numFmtId="3" fontId="116" fillId="0" borderId="0" xfId="6" applyNumberFormat="1" applyFont="1" applyFill="1" applyBorder="1" applyAlignment="1">
      <alignment horizontal="right" vertical="center" wrapText="1"/>
    </xf>
    <xf numFmtId="3" fontId="102" fillId="0" borderId="0" xfId="6" applyNumberFormat="1" applyFont="1" applyFill="1" applyBorder="1" applyAlignment="1">
      <alignment horizontal="right" vertical="center" wrapText="1"/>
    </xf>
    <xf numFmtId="3" fontId="102" fillId="0" borderId="0" xfId="6" applyNumberFormat="1" applyFont="1" applyFill="1" applyBorder="1" applyAlignment="1">
      <alignment vertical="center" wrapText="1"/>
    </xf>
    <xf numFmtId="0" fontId="102" fillId="0" borderId="0" xfId="6" applyFont="1" applyFill="1" applyBorder="1" applyAlignment="1">
      <alignment horizontal="left" vertical="center" wrapText="1" indent="2"/>
    </xf>
    <xf numFmtId="0" fontId="102" fillId="0" borderId="0" xfId="6" applyFont="1" applyFill="1" applyBorder="1" applyAlignment="1">
      <alignment horizontal="left" vertical="center" wrapText="1" indent="1"/>
    </xf>
    <xf numFmtId="165" fontId="102" fillId="0" borderId="0" xfId="6" applyNumberFormat="1" applyFont="1" applyFill="1" applyBorder="1" applyAlignment="1">
      <alignment horizontal="right" vertical="center" wrapText="1"/>
    </xf>
    <xf numFmtId="0" fontId="102" fillId="0" borderId="0" xfId="6" applyFont="1" applyFill="1" applyBorder="1" applyAlignment="1">
      <alignment horizontal="right" vertical="center" wrapText="1"/>
    </xf>
    <xf numFmtId="0" fontId="117" fillId="0" borderId="0" xfId="6" applyFont="1" applyFill="1" applyBorder="1" applyAlignment="1">
      <alignment horizontal="right" vertical="center" wrapText="1"/>
    </xf>
    <xf numFmtId="0" fontId="35" fillId="2" borderId="0" xfId="6" applyFont="1" applyFill="1"/>
    <xf numFmtId="165" fontId="41" fillId="0" borderId="0" xfId="6" applyNumberFormat="1" applyFont="1"/>
    <xf numFmtId="0" fontId="28" fillId="0" borderId="0" xfId="17" applyFont="1" applyFill="1" applyBorder="1" applyAlignment="1">
      <alignment horizontal="left" indent="2"/>
    </xf>
    <xf numFmtId="164" fontId="8" fillId="0" borderId="0" xfId="17" applyNumberFormat="1" applyFont="1" applyFill="1" applyBorder="1" applyAlignment="1">
      <alignment horizontal="right" vertical="center"/>
    </xf>
    <xf numFmtId="0" fontId="35" fillId="2" borderId="0" xfId="17" applyFont="1" applyFill="1" applyBorder="1" applyAlignment="1">
      <alignment horizontal="left" vertical="center" wrapText="1"/>
    </xf>
    <xf numFmtId="0" fontId="35" fillId="2" borderId="0" xfId="17" applyFont="1" applyFill="1" applyBorder="1" applyAlignment="1">
      <alignment horizontal="right" vertical="center" wrapText="1"/>
    </xf>
    <xf numFmtId="0" fontId="6" fillId="0" borderId="0" xfId="6" applyFont="1" applyAlignment="1">
      <alignment horizontal="justify" vertical="center" wrapText="1"/>
    </xf>
    <xf numFmtId="0" fontId="100" fillId="0" borderId="0" xfId="6" applyFont="1" applyFill="1" applyBorder="1"/>
    <xf numFmtId="0" fontId="13" fillId="0" borderId="0" xfId="17" applyFont="1" applyBorder="1"/>
    <xf numFmtId="164" fontId="13" fillId="0" borderId="0" xfId="6" applyNumberFormat="1" applyFont="1" applyBorder="1" applyAlignment="1">
      <alignment vertical="center"/>
    </xf>
    <xf numFmtId="0" fontId="50" fillId="0" borderId="0" xfId="6" applyFont="1"/>
    <xf numFmtId="164" fontId="50" fillId="0" borderId="0" xfId="6" applyNumberFormat="1" applyFont="1" applyFill="1" applyAlignment="1">
      <alignment vertical="center"/>
    </xf>
    <xf numFmtId="0" fontId="11" fillId="0" borderId="0" xfId="17" applyFont="1" applyFill="1" applyBorder="1"/>
    <xf numFmtId="164" fontId="11" fillId="0" borderId="0" xfId="17" applyNumberFormat="1" applyFont="1" applyFill="1" applyBorder="1" applyAlignment="1">
      <alignment horizontal="right" vertical="center"/>
    </xf>
    <xf numFmtId="164" fontId="50" fillId="0" borderId="0" xfId="6" applyNumberFormat="1" applyFont="1" applyBorder="1" applyAlignment="1">
      <alignment vertical="center"/>
    </xf>
    <xf numFmtId="0" fontId="11" fillId="0" borderId="0" xfId="17" applyFont="1" applyFill="1" applyBorder="1" applyAlignment="1"/>
    <xf numFmtId="0" fontId="24" fillId="0" borderId="0" xfId="17" applyFont="1" applyFill="1" applyBorder="1" applyAlignment="1">
      <alignment wrapText="1"/>
    </xf>
    <xf numFmtId="164" fontId="13" fillId="0" borderId="0" xfId="6" applyNumberFormat="1" applyFont="1" applyFill="1" applyBorder="1" applyAlignment="1">
      <alignment vertical="center"/>
    </xf>
    <xf numFmtId="0" fontId="8" fillId="0" borderId="0" xfId="17" applyFont="1" applyFill="1" applyBorder="1"/>
    <xf numFmtId="164" fontId="40" fillId="0" borderId="0" xfId="6" applyNumberFormat="1" applyFont="1" applyFill="1" applyBorder="1" applyAlignment="1">
      <alignment vertical="center"/>
    </xf>
    <xf numFmtId="2" fontId="28" fillId="0" borderId="0" xfId="17" applyNumberFormat="1" applyFont="1" applyFill="1" applyBorder="1" applyAlignment="1">
      <alignment horizontal="left" indent="2"/>
    </xf>
    <xf numFmtId="164" fontId="11" fillId="0" borderId="0" xfId="6" applyNumberFormat="1" applyFont="1" applyFill="1" applyBorder="1" applyAlignment="1">
      <alignment vertical="center"/>
    </xf>
    <xf numFmtId="0" fontId="50" fillId="0" borderId="0" xfId="6" applyFont="1" applyFill="1" applyBorder="1"/>
    <xf numFmtId="164" fontId="50" fillId="0" borderId="0" xfId="6" applyNumberFormat="1" applyFont="1" applyFill="1" applyBorder="1" applyAlignment="1">
      <alignment vertical="center"/>
    </xf>
    <xf numFmtId="0" fontId="35" fillId="0" borderId="0" xfId="17" applyFont="1" applyFill="1" applyBorder="1" applyAlignment="1">
      <alignment horizontal="right" vertical="center" wrapText="1"/>
    </xf>
    <xf numFmtId="0" fontId="118" fillId="0" borderId="0" xfId="17" applyFont="1" applyFill="1" applyBorder="1"/>
    <xf numFmtId="0" fontId="119" fillId="0" borderId="0" xfId="17" applyFont="1" applyFill="1" applyBorder="1" applyAlignment="1">
      <alignment horizontal="left" indent="2"/>
    </xf>
    <xf numFmtId="0" fontId="7" fillId="2" borderId="0" xfId="17" applyFont="1" applyFill="1" applyBorder="1" applyAlignment="1">
      <alignment horizontal="right" vertical="center" wrapText="1"/>
    </xf>
    <xf numFmtId="174" fontId="13" fillId="0" borderId="0" xfId="6" applyNumberFormat="1" applyFont="1" applyFill="1" applyBorder="1" applyAlignment="1">
      <alignment horizontal="right"/>
    </xf>
    <xf numFmtId="165" fontId="42" fillId="0" borderId="0" xfId="6" applyNumberFormat="1" applyFill="1"/>
    <xf numFmtId="0" fontId="17" fillId="0" borderId="0" xfId="17" applyFont="1" applyFill="1" applyBorder="1" applyAlignment="1">
      <alignment wrapText="1"/>
    </xf>
    <xf numFmtId="165" fontId="41" fillId="0" borderId="0" xfId="6" applyNumberFormat="1" applyFont="1" applyFill="1"/>
    <xf numFmtId="164" fontId="41" fillId="0" borderId="0" xfId="6" applyNumberFormat="1" applyFont="1" applyFill="1"/>
    <xf numFmtId="0" fontId="18" fillId="0" borderId="0" xfId="17" applyFont="1" applyFill="1" applyBorder="1" applyAlignment="1">
      <alignment wrapText="1"/>
    </xf>
    <xf numFmtId="164" fontId="40" fillId="0" borderId="0" xfId="6" applyNumberFormat="1" applyFont="1" applyFill="1" applyBorder="1" applyAlignment="1">
      <alignment horizontal="center" vertical="center"/>
    </xf>
    <xf numFmtId="49" fontId="13" fillId="0" borderId="0" xfId="6" applyNumberFormat="1" applyFont="1" applyFill="1" applyBorder="1" applyAlignment="1">
      <alignment horizontal="left"/>
    </xf>
    <xf numFmtId="0" fontId="86" fillId="0" borderId="0" xfId="6" applyFont="1" applyFill="1" applyBorder="1"/>
    <xf numFmtId="0" fontId="120" fillId="0" borderId="0" xfId="6" applyFont="1" applyFill="1" applyBorder="1"/>
    <xf numFmtId="0" fontId="120" fillId="0" borderId="0" xfId="6" applyNumberFormat="1" applyFont="1" applyFill="1" applyBorder="1"/>
    <xf numFmtId="0" fontId="7" fillId="0" borderId="0" xfId="6" applyFont="1" applyFill="1" applyBorder="1"/>
    <xf numFmtId="0" fontId="7" fillId="0" borderId="0" xfId="6" applyFont="1" applyFill="1" applyBorder="1" applyAlignment="1">
      <alignment horizontal="center" vertical="center"/>
    </xf>
    <xf numFmtId="0" fontId="121" fillId="0" borderId="0" xfId="6" applyFont="1" applyFill="1" applyBorder="1"/>
    <xf numFmtId="3" fontId="21" fillId="0" borderId="0" xfId="6" applyNumberFormat="1" applyFont="1" applyFill="1" applyBorder="1"/>
    <xf numFmtId="0" fontId="24" fillId="0" borderId="0" xfId="6" applyFont="1" applyFill="1" applyBorder="1"/>
    <xf numFmtId="0" fontId="24" fillId="0" borderId="0" xfId="6" applyFont="1" applyFill="1" applyBorder="1" applyAlignment="1">
      <alignment horizontal="center" vertical="center"/>
    </xf>
    <xf numFmtId="0" fontId="121" fillId="0" borderId="0" xfId="6" applyFont="1" applyFill="1" applyBorder="1" applyAlignment="1">
      <alignment horizontal="left" indent="1"/>
    </xf>
    <xf numFmtId="0" fontId="8" fillId="0" borderId="0" xfId="6" applyFont="1" applyFill="1" applyBorder="1" applyAlignment="1">
      <alignment horizontal="left" indent="1"/>
    </xf>
    <xf numFmtId="3" fontId="8" fillId="0" borderId="0" xfId="6" applyNumberFormat="1" applyFont="1" applyFill="1" applyBorder="1" applyAlignment="1">
      <alignment horizontal="center" vertical="center"/>
    </xf>
    <xf numFmtId="1" fontId="123" fillId="0" borderId="0" xfId="27" applyNumberFormat="1" applyFont="1" applyFill="1" applyBorder="1" applyAlignment="1">
      <alignment horizontal="center"/>
    </xf>
    <xf numFmtId="1" fontId="124" fillId="0" borderId="0" xfId="27" applyNumberFormat="1" applyFont="1" applyFill="1" applyBorder="1" applyAlignment="1">
      <alignment horizontal="center"/>
    </xf>
    <xf numFmtId="0" fontId="21" fillId="0" borderId="0" xfId="6" applyFont="1" applyFill="1" applyBorder="1"/>
    <xf numFmtId="1" fontId="21" fillId="0" borderId="0" xfId="6" applyNumberFormat="1" applyFont="1" applyFill="1" applyBorder="1"/>
    <xf numFmtId="0" fontId="125" fillId="0" borderId="0" xfId="6" applyFont="1" applyFill="1" applyBorder="1"/>
    <xf numFmtId="0" fontId="126" fillId="0" borderId="0" xfId="6" applyFont="1" applyFill="1" applyBorder="1" applyAlignment="1">
      <alignment horizontal="center"/>
    </xf>
    <xf numFmtId="3" fontId="125" fillId="0" borderId="0" xfId="6" applyNumberFormat="1" applyFont="1" applyFill="1" applyBorder="1"/>
    <xf numFmtId="0" fontId="35" fillId="0" borderId="0" xfId="6" applyFont="1" applyFill="1" applyBorder="1"/>
    <xf numFmtId="0" fontId="35" fillId="0" borderId="0" xfId="6" applyNumberFormat="1" applyFont="1" applyFill="1" applyBorder="1"/>
    <xf numFmtId="0" fontId="17" fillId="0" borderId="0" xfId="6" applyFont="1" applyFill="1" applyBorder="1"/>
    <xf numFmtId="3" fontId="17" fillId="0" borderId="0" xfId="6" applyNumberFormat="1" applyFont="1" applyFill="1" applyBorder="1"/>
    <xf numFmtId="0" fontId="17" fillId="0" borderId="0" xfId="6" applyFont="1" applyFill="1" applyBorder="1" applyAlignment="1">
      <alignment horizontal="left" indent="1"/>
    </xf>
    <xf numFmtId="1" fontId="17" fillId="0" borderId="0" xfId="6" applyNumberFormat="1" applyFont="1" applyFill="1" applyBorder="1"/>
    <xf numFmtId="0" fontId="103" fillId="0" borderId="0" xfId="6" applyFont="1" applyFill="1" applyBorder="1"/>
    <xf numFmtId="0" fontId="18" fillId="0" borderId="0" xfId="6" applyFont="1" applyFill="1" applyBorder="1"/>
    <xf numFmtId="3" fontId="18" fillId="0" borderId="0" xfId="6" applyNumberFormat="1" applyFont="1" applyFill="1" applyBorder="1"/>
    <xf numFmtId="0" fontId="127" fillId="0" borderId="0" xfId="6" applyFont="1" applyFill="1" applyBorder="1"/>
    <xf numFmtId="0" fontId="129" fillId="0" borderId="0" xfId="6" applyFont="1"/>
    <xf numFmtId="0" fontId="128" fillId="0" borderId="0" xfId="6" applyFont="1"/>
    <xf numFmtId="168" fontId="130" fillId="0" borderId="0" xfId="6" applyNumberFormat="1" applyFont="1"/>
    <xf numFmtId="0" fontId="130" fillId="0" borderId="0" xfId="6" applyFont="1"/>
    <xf numFmtId="168" fontId="131" fillId="0" borderId="0" xfId="6" applyNumberFormat="1" applyFont="1"/>
    <xf numFmtId="10" fontId="12" fillId="0" borderId="1" xfId="0" applyNumberFormat="1" applyFont="1" applyBorder="1"/>
    <xf numFmtId="0" fontId="1" fillId="0" borderId="0" xfId="29"/>
    <xf numFmtId="0" fontId="6" fillId="0" borderId="0" xfId="30" applyFont="1" applyBorder="1" applyAlignment="1">
      <alignment vertical="center"/>
    </xf>
    <xf numFmtId="0" fontId="42" fillId="0" borderId="0" xfId="30" applyFont="1"/>
    <xf numFmtId="0" fontId="20" fillId="6" borderId="46" xfId="30" applyFont="1" applyFill="1" applyBorder="1" applyAlignment="1">
      <alignment vertical="center"/>
    </xf>
    <xf numFmtId="0" fontId="20" fillId="6" borderId="61" xfId="30" applyFont="1" applyFill="1" applyBorder="1" applyAlignment="1">
      <alignment horizontal="center" vertical="center"/>
    </xf>
    <xf numFmtId="0" fontId="20" fillId="6" borderId="63" xfId="30" applyFont="1" applyFill="1" applyBorder="1" applyAlignment="1">
      <alignment horizontal="left" vertical="center" indent="1"/>
    </xf>
    <xf numFmtId="0" fontId="20" fillId="6" borderId="24" xfId="30" applyFont="1" applyFill="1" applyBorder="1" applyAlignment="1">
      <alignment horizontal="center" vertical="center"/>
    </xf>
    <xf numFmtId="0" fontId="20" fillId="6" borderId="64" xfId="30" applyFont="1" applyFill="1" applyBorder="1" applyAlignment="1">
      <alignment horizontal="center" vertical="center"/>
    </xf>
    <xf numFmtId="0" fontId="20" fillId="6" borderId="3" xfId="30" applyFont="1" applyFill="1" applyBorder="1" applyAlignment="1">
      <alignment horizontal="center" vertical="center"/>
    </xf>
    <xf numFmtId="0" fontId="20" fillId="6" borderId="23" xfId="30" applyFont="1" applyFill="1" applyBorder="1" applyAlignment="1">
      <alignment horizontal="center" vertical="center"/>
    </xf>
    <xf numFmtId="0" fontId="20" fillId="6" borderId="3" xfId="30" applyFont="1" applyFill="1" applyBorder="1" applyAlignment="1">
      <alignment horizontal="center" vertical="center" wrapText="1"/>
    </xf>
    <xf numFmtId="0" fontId="20" fillId="6" borderId="65" xfId="30" applyFont="1" applyFill="1" applyBorder="1" applyAlignment="1">
      <alignment horizontal="center" vertical="center" wrapText="1"/>
    </xf>
    <xf numFmtId="0" fontId="21" fillId="0" borderId="9" xfId="30" applyFont="1" applyBorder="1" applyAlignment="1">
      <alignment horizontal="left" vertical="center" indent="1"/>
    </xf>
    <xf numFmtId="165" fontId="40" fillId="0" borderId="11" xfId="30" applyNumberFormat="1" applyFont="1" applyBorder="1" applyAlignment="1">
      <alignment horizontal="center" vertical="center"/>
    </xf>
    <xf numFmtId="165" fontId="40" fillId="0" borderId="0" xfId="30" applyNumberFormat="1" applyFont="1" applyAlignment="1">
      <alignment horizontal="center" vertical="center"/>
    </xf>
    <xf numFmtId="165" fontId="40" fillId="0" borderId="7" xfId="30" applyNumberFormat="1" applyFont="1" applyBorder="1" applyAlignment="1">
      <alignment horizontal="center" vertical="center"/>
    </xf>
    <xf numFmtId="165" fontId="13" fillId="0" borderId="55" xfId="30" applyNumberFormat="1" applyFont="1" applyBorder="1" applyAlignment="1">
      <alignment horizontal="center" vertical="center" wrapText="1"/>
    </xf>
    <xf numFmtId="165" fontId="13" fillId="0" borderId="66" xfId="30" applyNumberFormat="1" applyFont="1" applyBorder="1" applyAlignment="1">
      <alignment horizontal="center" vertical="center" wrapText="1"/>
    </xf>
    <xf numFmtId="0" fontId="29" fillId="0" borderId="9" xfId="30" applyFont="1" applyBorder="1" applyAlignment="1">
      <alignment horizontal="left" vertical="center" indent="2"/>
    </xf>
    <xf numFmtId="165" fontId="40" fillId="0" borderId="9" xfId="30" applyNumberFormat="1" applyFont="1" applyBorder="1" applyAlignment="1">
      <alignment horizontal="center" vertical="center"/>
    </xf>
    <xf numFmtId="165" fontId="50" fillId="0" borderId="0" xfId="30" applyNumberFormat="1" applyFont="1" applyAlignment="1">
      <alignment horizontal="center" vertical="center"/>
    </xf>
    <xf numFmtId="165" fontId="50" fillId="0" borderId="8" xfId="30" applyNumberFormat="1" applyFont="1" applyBorder="1" applyAlignment="1">
      <alignment horizontal="center" vertical="center"/>
    </xf>
    <xf numFmtId="165" fontId="13" fillId="0" borderId="0" xfId="30" applyNumberFormat="1" applyFont="1" applyBorder="1" applyAlignment="1">
      <alignment horizontal="center" vertical="center" wrapText="1"/>
    </xf>
    <xf numFmtId="165" fontId="13" fillId="0" borderId="8" xfId="30" applyNumberFormat="1" applyFont="1" applyBorder="1" applyAlignment="1">
      <alignment horizontal="center" vertical="center" wrapText="1"/>
    </xf>
    <xf numFmtId="165" fontId="40" fillId="0" borderId="8" xfId="30" applyNumberFormat="1" applyFont="1" applyBorder="1" applyAlignment="1">
      <alignment horizontal="center" vertical="center"/>
    </xf>
    <xf numFmtId="165" fontId="21" fillId="0" borderId="9" xfId="30" applyNumberFormat="1" applyFont="1" applyBorder="1" applyAlignment="1">
      <alignment horizontal="center" vertical="center"/>
    </xf>
    <xf numFmtId="165" fontId="21" fillId="0" borderId="0" xfId="30" applyNumberFormat="1" applyFont="1" applyAlignment="1">
      <alignment horizontal="center" vertical="center"/>
    </xf>
    <xf numFmtId="165" fontId="21" fillId="0" borderId="8" xfId="30" applyNumberFormat="1" applyFont="1" applyBorder="1" applyAlignment="1">
      <alignment horizontal="center" vertical="center"/>
    </xf>
    <xf numFmtId="0" fontId="21" fillId="0" borderId="67" xfId="30" applyFont="1" applyBorder="1" applyAlignment="1">
      <alignment horizontal="left" vertical="center" indent="1"/>
    </xf>
    <xf numFmtId="165" fontId="40" fillId="0" borderId="67" xfId="30" applyNumberFormat="1" applyFont="1" applyBorder="1" applyAlignment="1">
      <alignment horizontal="center" vertical="center"/>
    </xf>
    <xf numFmtId="165" fontId="40" fillId="0" borderId="68" xfId="30" applyNumberFormat="1" applyFont="1" applyBorder="1" applyAlignment="1">
      <alignment horizontal="center" vertical="center"/>
    </xf>
    <xf numFmtId="165" fontId="40" fillId="0" borderId="69" xfId="30" applyNumberFormat="1" applyFont="1" applyBorder="1" applyAlignment="1">
      <alignment horizontal="center" vertical="center"/>
    </xf>
    <xf numFmtId="165" fontId="13" fillId="0" borderId="68" xfId="30" applyNumberFormat="1" applyFont="1" applyBorder="1" applyAlignment="1">
      <alignment horizontal="center" vertical="center" wrapText="1"/>
    </xf>
    <xf numFmtId="165" fontId="13" fillId="0" borderId="69" xfId="30" applyNumberFormat="1" applyFont="1" applyBorder="1" applyAlignment="1">
      <alignment horizontal="center" vertical="center" wrapText="1"/>
    </xf>
    <xf numFmtId="0" fontId="42" fillId="0" borderId="0" xfId="31"/>
    <xf numFmtId="0" fontId="134" fillId="6" borderId="24" xfId="31" applyFont="1" applyFill="1" applyBorder="1" applyAlignment="1">
      <alignment horizontal="center" vertical="center" wrapText="1"/>
    </xf>
    <xf numFmtId="0" fontId="134" fillId="6" borderId="0" xfId="31" applyFont="1" applyFill="1" applyBorder="1" applyAlignment="1">
      <alignment horizontal="center" vertical="center" wrapText="1"/>
    </xf>
    <xf numFmtId="0" fontId="42" fillId="0" borderId="0" xfId="31" applyAlignment="1">
      <alignment horizontal="center" wrapText="1"/>
    </xf>
    <xf numFmtId="0" fontId="134" fillId="6" borderId="23" xfId="31" applyFont="1" applyFill="1" applyBorder="1" applyAlignment="1">
      <alignment horizontal="center" vertical="center" wrapText="1"/>
    </xf>
    <xf numFmtId="0" fontId="21" fillId="0" borderId="0" xfId="31" applyFont="1" applyBorder="1" applyAlignment="1">
      <alignment vertical="center"/>
    </xf>
    <xf numFmtId="165" fontId="22" fillId="0" borderId="71" xfId="31" applyNumberFormat="1" applyFont="1" applyBorder="1" applyAlignment="1">
      <alignment vertical="center"/>
    </xf>
    <xf numFmtId="165" fontId="22" fillId="0" borderId="72" xfId="31" applyNumberFormat="1" applyFont="1" applyBorder="1" applyAlignment="1">
      <alignment horizontal="center" vertical="center"/>
    </xf>
    <xf numFmtId="165" fontId="22" fillId="0" borderId="71" xfId="31" applyNumberFormat="1" applyFont="1" applyBorder="1" applyAlignment="1">
      <alignment horizontal="right" vertical="center"/>
    </xf>
    <xf numFmtId="2" fontId="21" fillId="0" borderId="0" xfId="31" applyNumberFormat="1" applyFont="1" applyBorder="1" applyAlignment="1">
      <alignment horizontal="center" vertical="center"/>
    </xf>
    <xf numFmtId="0" fontId="21" fillId="0" borderId="68" xfId="31" applyFont="1" applyBorder="1" applyAlignment="1">
      <alignment vertical="center"/>
    </xf>
    <xf numFmtId="165" fontId="22" fillId="0" borderId="73" xfId="31" applyNumberFormat="1" applyFont="1" applyBorder="1" applyAlignment="1">
      <alignment vertical="center"/>
    </xf>
    <xf numFmtId="165" fontId="22" fillId="0" borderId="74" xfId="31" applyNumberFormat="1" applyFont="1" applyBorder="1" applyAlignment="1">
      <alignment horizontal="center" vertical="center"/>
    </xf>
    <xf numFmtId="165" fontId="22" fillId="0" borderId="73" xfId="31" applyNumberFormat="1" applyFont="1" applyBorder="1" applyAlignment="1">
      <alignment horizontal="right" vertical="center"/>
    </xf>
    <xf numFmtId="0" fontId="135" fillId="0" borderId="0" xfId="31" applyFont="1"/>
    <xf numFmtId="0" fontId="120" fillId="6" borderId="0" xfId="31" applyFont="1" applyFill="1" applyBorder="1" applyAlignment="1">
      <alignment horizontal="left" vertical="center"/>
    </xf>
    <xf numFmtId="0" fontId="120" fillId="6" borderId="22" xfId="31" applyFont="1" applyFill="1" applyBorder="1" applyAlignment="1">
      <alignment horizontal="center" vertical="center"/>
    </xf>
    <xf numFmtId="0" fontId="120" fillId="6" borderId="23" xfId="31" applyFont="1" applyFill="1" applyBorder="1" applyAlignment="1">
      <alignment horizontal="center" vertical="center"/>
    </xf>
    <xf numFmtId="0" fontId="134" fillId="6" borderId="0" xfId="31" applyFont="1" applyFill="1" applyBorder="1" applyAlignment="1">
      <alignment vertical="center"/>
    </xf>
    <xf numFmtId="0" fontId="120" fillId="6" borderId="0" xfId="31" applyFont="1" applyFill="1" applyBorder="1" applyAlignment="1">
      <alignment horizontal="center" vertical="center"/>
    </xf>
    <xf numFmtId="0" fontId="120" fillId="6" borderId="0" xfId="31" applyFont="1" applyFill="1" applyAlignment="1">
      <alignment horizontal="center" vertical="center"/>
    </xf>
    <xf numFmtId="165" fontId="21" fillId="0" borderId="75" xfId="31" applyNumberFormat="1" applyFont="1" applyBorder="1" applyAlignment="1">
      <alignment horizontal="center" vertical="center"/>
    </xf>
    <xf numFmtId="165" fontId="21" fillId="0" borderId="72" xfId="31" applyNumberFormat="1" applyFont="1" applyBorder="1" applyAlignment="1">
      <alignment horizontal="center" vertical="center"/>
    </xf>
    <xf numFmtId="165" fontId="21" fillId="0" borderId="0" xfId="31" applyNumberFormat="1" applyFont="1" applyAlignment="1">
      <alignment horizontal="center" vertical="center"/>
    </xf>
    <xf numFmtId="0" fontId="21" fillId="0" borderId="1" xfId="31" applyFont="1" applyBorder="1" applyAlignment="1">
      <alignment vertical="center"/>
    </xf>
    <xf numFmtId="165" fontId="21" fillId="0" borderId="76" xfId="31" applyNumberFormat="1" applyFont="1" applyBorder="1" applyAlignment="1">
      <alignment horizontal="center" vertical="center"/>
    </xf>
    <xf numFmtId="165" fontId="21" fillId="0" borderId="77" xfId="31" applyNumberFormat="1" applyFont="1" applyBorder="1" applyAlignment="1">
      <alignment horizontal="center" vertical="center"/>
    </xf>
    <xf numFmtId="165" fontId="21" fillId="0" borderId="1" xfId="31" applyNumberFormat="1" applyFont="1" applyBorder="1" applyAlignment="1">
      <alignment horizontal="center" vertical="center"/>
    </xf>
    <xf numFmtId="0" fontId="10" fillId="0" borderId="0" xfId="31" applyFont="1" applyAlignment="1">
      <alignment vertical="center"/>
    </xf>
    <xf numFmtId="0" fontId="8" fillId="0" borderId="0" xfId="32" applyFont="1"/>
    <xf numFmtId="0" fontId="7" fillId="7" borderId="29" xfId="33" applyFont="1" applyFill="1" applyBorder="1" applyAlignment="1">
      <alignment vertical="center" wrapText="1"/>
    </xf>
    <xf numFmtId="0" fontId="7" fillId="7" borderId="28" xfId="33" applyFont="1" applyFill="1" applyBorder="1" applyAlignment="1">
      <alignment horizontal="center" vertical="center" wrapText="1"/>
    </xf>
    <xf numFmtId="0" fontId="7" fillId="7" borderId="23" xfId="33" applyFont="1" applyFill="1" applyBorder="1" applyAlignment="1">
      <alignment horizontal="center" vertical="center"/>
    </xf>
    <xf numFmtId="0" fontId="7" fillId="7" borderId="0" xfId="33" applyFont="1" applyFill="1" applyBorder="1" applyAlignment="1">
      <alignment horizontal="center" vertical="center"/>
    </xf>
    <xf numFmtId="0" fontId="24" fillId="0" borderId="78" xfId="33" applyFont="1" applyBorder="1" applyAlignment="1">
      <alignment horizontal="left" indent="2"/>
    </xf>
    <xf numFmtId="2" fontId="24" fillId="0" borderId="79" xfId="33" applyNumberFormat="1" applyFont="1" applyBorder="1" applyAlignment="1">
      <alignment horizontal="center"/>
    </xf>
    <xf numFmtId="2" fontId="24" fillId="0" borderId="0" xfId="33" applyNumberFormat="1" applyFont="1" applyBorder="1" applyAlignment="1">
      <alignment horizontal="center" vertical="center"/>
    </xf>
    <xf numFmtId="2" fontId="24" fillId="0" borderId="78" xfId="33" applyNumberFormat="1" applyFont="1" applyBorder="1" applyAlignment="1">
      <alignment horizontal="center"/>
    </xf>
    <xf numFmtId="0" fontId="8" fillId="0" borderId="78" xfId="33" applyFont="1" applyBorder="1" applyAlignment="1">
      <alignment horizontal="left" indent="3"/>
    </xf>
    <xf numFmtId="2" fontId="8" fillId="0" borderId="79" xfId="33" applyNumberFormat="1" applyFont="1" applyBorder="1" applyAlignment="1">
      <alignment horizontal="center"/>
    </xf>
    <xf numFmtId="2" fontId="8" fillId="0" borderId="0" xfId="33" applyNumberFormat="1" applyFont="1" applyBorder="1" applyAlignment="1">
      <alignment horizontal="center" vertical="center"/>
    </xf>
    <xf numFmtId="2" fontId="8" fillId="0" borderId="78" xfId="33" applyNumberFormat="1" applyFont="1" applyBorder="1" applyAlignment="1">
      <alignment horizontal="center"/>
    </xf>
    <xf numFmtId="0" fontId="8" fillId="0" borderId="78" xfId="33" applyFont="1" applyBorder="1" applyAlignment="1">
      <alignment horizontal="left" indent="6"/>
    </xf>
    <xf numFmtId="0" fontId="54" fillId="7" borderId="23" xfId="33" applyFont="1" applyFill="1" applyBorder="1" applyAlignment="1">
      <alignment horizontal="center"/>
    </xf>
    <xf numFmtId="2" fontId="54" fillId="7" borderId="23" xfId="33" applyNumberFormat="1" applyFont="1" applyFill="1" applyBorder="1" applyAlignment="1">
      <alignment horizontal="center"/>
    </xf>
    <xf numFmtId="2" fontId="24" fillId="7" borderId="0" xfId="33" applyNumberFormat="1" applyFont="1" applyFill="1" applyBorder="1" applyAlignment="1">
      <alignment horizontal="center" vertical="center"/>
    </xf>
    <xf numFmtId="0" fontId="7" fillId="7" borderId="23" xfId="32" applyFont="1" applyFill="1" applyBorder="1" applyAlignment="1">
      <alignment horizontal="center" vertical="center"/>
    </xf>
    <xf numFmtId="0" fontId="7" fillId="7" borderId="0" xfId="32" applyFont="1" applyFill="1" applyBorder="1" applyAlignment="1">
      <alignment horizontal="center" vertical="center"/>
    </xf>
    <xf numFmtId="0" fontId="8" fillId="0" borderId="78" xfId="32" applyFont="1" applyBorder="1" applyAlignment="1">
      <alignment horizontal="left"/>
    </xf>
    <xf numFmtId="165" fontId="8" fillId="0" borderId="0" xfId="32" applyNumberFormat="1" applyFont="1" applyBorder="1" applyAlignment="1">
      <alignment horizontal="center"/>
    </xf>
    <xf numFmtId="165" fontId="8" fillId="0" borderId="78" xfId="32" applyNumberFormat="1" applyFont="1" applyBorder="1" applyAlignment="1">
      <alignment horizontal="center"/>
    </xf>
    <xf numFmtId="165" fontId="127" fillId="0" borderId="0" xfId="32" applyNumberFormat="1" applyFont="1" applyBorder="1" applyAlignment="1">
      <alignment horizontal="center"/>
    </xf>
    <xf numFmtId="0" fontId="8" fillId="0" borderId="80" xfId="32" applyFont="1" applyBorder="1" applyAlignment="1">
      <alignment horizontal="left"/>
    </xf>
    <xf numFmtId="165" fontId="8" fillId="0" borderId="81" xfId="32" applyNumberFormat="1" applyFont="1" applyBorder="1" applyAlignment="1">
      <alignment horizontal="center"/>
    </xf>
    <xf numFmtId="165" fontId="8" fillId="0" borderId="80" xfId="32" applyNumberFormat="1" applyFont="1" applyBorder="1" applyAlignment="1">
      <alignment horizontal="center"/>
    </xf>
    <xf numFmtId="165" fontId="127" fillId="0" borderId="81" xfId="32" applyNumberFormat="1" applyFont="1" applyBorder="1" applyAlignment="1">
      <alignment horizontal="center"/>
    </xf>
    <xf numFmtId="0" fontId="24" fillId="0" borderId="78" xfId="32" applyFont="1" applyBorder="1" applyAlignment="1">
      <alignment horizontal="left"/>
    </xf>
    <xf numFmtId="0" fontId="24" fillId="0" borderId="80" xfId="32" applyFont="1" applyBorder="1" applyAlignment="1">
      <alignment horizontal="left"/>
    </xf>
    <xf numFmtId="0" fontId="8" fillId="0" borderId="0" xfId="32" applyFont="1" applyBorder="1"/>
    <xf numFmtId="0" fontId="6" fillId="0" borderId="0" xfId="32" applyFont="1" applyAlignment="1">
      <alignment vertical="center"/>
    </xf>
    <xf numFmtId="0" fontId="3" fillId="0" borderId="0" xfId="32"/>
    <xf numFmtId="0" fontId="20" fillId="6" borderId="83" xfId="32" applyFont="1" applyFill="1" applyBorder="1" applyAlignment="1">
      <alignment horizontal="center" vertical="center"/>
    </xf>
    <xf numFmtId="0" fontId="20" fillId="6" borderId="84" xfId="32" applyFont="1" applyFill="1" applyBorder="1" applyAlignment="1">
      <alignment horizontal="center" vertical="center"/>
    </xf>
    <xf numFmtId="0" fontId="3" fillId="0" borderId="0" xfId="32" applyAlignment="1">
      <alignment vertical="center" wrapText="1"/>
    </xf>
    <xf numFmtId="0" fontId="134" fillId="6" borderId="85" xfId="32" applyFont="1" applyFill="1" applyBorder="1" applyAlignment="1">
      <alignment vertical="center"/>
    </xf>
    <xf numFmtId="0" fontId="120" fillId="6" borderId="23" xfId="32" applyFont="1" applyFill="1" applyBorder="1" applyAlignment="1">
      <alignment horizontal="center" vertical="center"/>
    </xf>
    <xf numFmtId="0" fontId="120" fillId="6" borderId="0" xfId="32" applyFont="1" applyFill="1" applyBorder="1" applyAlignment="1">
      <alignment horizontal="center" vertical="center"/>
    </xf>
    <xf numFmtId="0" fontId="22" fillId="0" borderId="86" xfId="32" applyFont="1" applyBorder="1" applyAlignment="1">
      <alignment vertical="center"/>
    </xf>
    <xf numFmtId="165" fontId="24" fillId="0" borderId="71" xfId="32" applyNumberFormat="1" applyFont="1" applyFill="1" applyBorder="1" applyAlignment="1">
      <alignment horizontal="center" vertical="center"/>
    </xf>
    <xf numFmtId="165" fontId="24" fillId="0" borderId="0" xfId="32" applyNumberFormat="1" applyFont="1" applyFill="1" applyBorder="1" applyAlignment="1">
      <alignment horizontal="center" vertical="center"/>
    </xf>
    <xf numFmtId="0" fontId="21" fillId="0" borderId="86" xfId="32" applyFont="1" applyBorder="1" applyAlignment="1">
      <alignment horizontal="left" vertical="center" indent="3"/>
    </xf>
    <xf numFmtId="165" fontId="21" fillId="0" borderId="71" xfId="32" applyNumberFormat="1" applyFont="1" applyBorder="1" applyAlignment="1">
      <alignment horizontal="center" vertical="center"/>
    </xf>
    <xf numFmtId="0" fontId="21" fillId="0" borderId="0" xfId="32" applyFont="1" applyBorder="1" applyAlignment="1">
      <alignment horizontal="center" vertical="center"/>
    </xf>
    <xf numFmtId="0" fontId="21" fillId="0" borderId="87" xfId="32" applyFont="1" applyBorder="1" applyAlignment="1">
      <alignment horizontal="left" vertical="center" indent="3"/>
    </xf>
    <xf numFmtId="165" fontId="21" fillId="0" borderId="88" xfId="32" applyNumberFormat="1" applyFont="1" applyBorder="1" applyAlignment="1">
      <alignment horizontal="center" vertical="center"/>
    </xf>
    <xf numFmtId="0" fontId="21" fillId="0" borderId="81" xfId="32" applyFont="1" applyBorder="1" applyAlignment="1">
      <alignment horizontal="center" vertical="center"/>
    </xf>
    <xf numFmtId="0" fontId="21" fillId="0" borderId="0" xfId="32" applyFont="1" applyBorder="1" applyAlignment="1">
      <alignment vertical="center"/>
    </xf>
    <xf numFmtId="176" fontId="6" fillId="0" borderId="0" xfId="31" applyNumberFormat="1" applyFont="1"/>
    <xf numFmtId="0" fontId="41" fillId="0" borderId="0" xfId="33" applyFont="1" applyBorder="1"/>
    <xf numFmtId="0" fontId="41" fillId="0" borderId="0" xfId="33" applyFont="1" applyFill="1" applyBorder="1"/>
    <xf numFmtId="0" fontId="35" fillId="2" borderId="0" xfId="34" applyFont="1" applyFill="1"/>
    <xf numFmtId="0" fontId="35" fillId="2" borderId="0" xfId="34" applyFont="1" applyFill="1" applyAlignment="1">
      <alignment horizontal="center" vertical="center" wrapText="1"/>
    </xf>
    <xf numFmtId="0" fontId="17" fillId="0" borderId="0" xfId="33" applyFont="1" applyFill="1" applyBorder="1" applyAlignment="1">
      <alignment horizontal="center" vertical="center" wrapText="1"/>
    </xf>
    <xf numFmtId="0" fontId="35" fillId="2" borderId="0" xfId="34" applyFont="1" applyFill="1" applyAlignment="1">
      <alignment horizontal="center"/>
    </xf>
    <xf numFmtId="165" fontId="121" fillId="0" borderId="0" xfId="33" applyNumberFormat="1" applyFont="1" applyBorder="1" applyAlignment="1">
      <alignment horizontal="center" vertical="center"/>
    </xf>
    <xf numFmtId="165" fontId="121" fillId="0" borderId="0" xfId="33" applyNumberFormat="1" applyFont="1" applyBorder="1" applyAlignment="1">
      <alignment horizontal="center" vertical="center" wrapText="1"/>
    </xf>
    <xf numFmtId="165" fontId="121" fillId="0" borderId="0" xfId="33" applyNumberFormat="1" applyFont="1" applyFill="1" applyBorder="1" applyAlignment="1">
      <alignment horizontal="center" vertical="center" wrapText="1"/>
    </xf>
    <xf numFmtId="165" fontId="17" fillId="0" borderId="81" xfId="34" applyNumberFormat="1" applyFont="1" applyBorder="1" applyAlignment="1">
      <alignment horizontal="center"/>
    </xf>
    <xf numFmtId="0" fontId="9" fillId="0" borderId="0" xfId="34" applyFont="1" applyAlignment="1">
      <alignment horizontal="right"/>
    </xf>
    <xf numFmtId="0" fontId="17" fillId="0" borderId="0" xfId="34" applyFont="1" applyAlignment="1">
      <alignment horizontal="left" indent="1"/>
    </xf>
    <xf numFmtId="165" fontId="17" fillId="0" borderId="0" xfId="34" applyNumberFormat="1" applyFont="1"/>
    <xf numFmtId="0" fontId="81" fillId="0" borderId="0" xfId="34" applyFont="1" applyAlignment="1">
      <alignment horizontal="left" indent="1"/>
    </xf>
    <xf numFmtId="0" fontId="81" fillId="0" borderId="81" xfId="34" applyFont="1" applyBorder="1" applyAlignment="1">
      <alignment horizontal="left" indent="1"/>
    </xf>
    <xf numFmtId="165" fontId="17" fillId="0" borderId="81" xfId="34" applyNumberFormat="1" applyFont="1" applyBorder="1"/>
    <xf numFmtId="0" fontId="136" fillId="0" borderId="0" xfId="32" applyFont="1"/>
    <xf numFmtId="165" fontId="8" fillId="0" borderId="0" xfId="32" applyNumberFormat="1" applyFont="1"/>
    <xf numFmtId="165" fontId="17" fillId="0" borderId="0" xfId="32" applyNumberFormat="1" applyFont="1" applyFill="1"/>
    <xf numFmtId="175" fontId="17" fillId="0" borderId="0" xfId="35" applyNumberFormat="1" applyFont="1" applyFill="1"/>
    <xf numFmtId="175" fontId="17" fillId="0" borderId="81" xfId="35" applyNumberFormat="1" applyFont="1" applyBorder="1"/>
    <xf numFmtId="165" fontId="17" fillId="0" borderId="81" xfId="32" applyNumberFormat="1" applyFont="1" applyFill="1" applyBorder="1"/>
    <xf numFmtId="175" fontId="17" fillId="0" borderId="81" xfId="35" applyNumberFormat="1" applyFont="1" applyFill="1" applyBorder="1"/>
    <xf numFmtId="0" fontId="17" fillId="0" borderId="0" xfId="34" applyFont="1" applyAlignment="1">
      <alignment horizontal="left"/>
    </xf>
    <xf numFmtId="165" fontId="17" fillId="0" borderId="0" xfId="34" applyNumberFormat="1" applyFont="1" applyAlignment="1">
      <alignment horizontal="center"/>
    </xf>
    <xf numFmtId="165" fontId="17" fillId="0" borderId="0" xfId="34" applyNumberFormat="1" applyFont="1" applyFill="1" applyAlignment="1">
      <alignment horizontal="center"/>
    </xf>
    <xf numFmtId="0" fontId="8" fillId="0" borderId="0" xfId="32" applyFont="1" applyAlignment="1">
      <alignment horizontal="left" indent="1"/>
    </xf>
    <xf numFmtId="165" fontId="17" fillId="0" borderId="0" xfId="32" applyNumberFormat="1" applyFont="1" applyAlignment="1">
      <alignment horizontal="center"/>
    </xf>
    <xf numFmtId="0" fontId="17" fillId="0" borderId="81" xfId="34" applyFont="1" applyBorder="1" applyAlignment="1">
      <alignment horizontal="left" indent="1"/>
    </xf>
    <xf numFmtId="165" fontId="17" fillId="0" borderId="81" xfId="34" applyNumberFormat="1" applyFont="1" applyFill="1" applyBorder="1" applyAlignment="1">
      <alignment horizontal="center"/>
    </xf>
    <xf numFmtId="0" fontId="136" fillId="0" borderId="0" xfId="32" applyFont="1" applyAlignment="1">
      <alignment horizontal="left"/>
    </xf>
    <xf numFmtId="0" fontId="8" fillId="0" borderId="0" xfId="32" applyFont="1" applyAlignment="1">
      <alignment horizontal="left"/>
    </xf>
    <xf numFmtId="0" fontId="62" fillId="0" borderId="0" xfId="34" applyFont="1" applyAlignment="1">
      <alignment horizontal="right"/>
    </xf>
    <xf numFmtId="0" fontId="42" fillId="0" borderId="0" xfId="33" applyFill="1" applyBorder="1"/>
    <xf numFmtId="0" fontId="35" fillId="2" borderId="0" xfId="34" applyFont="1" applyFill="1" applyAlignment="1">
      <alignment horizontal="center" vertical="center"/>
    </xf>
    <xf numFmtId="0" fontId="7" fillId="7" borderId="0" xfId="32" applyFont="1" applyFill="1" applyAlignment="1">
      <alignment horizontal="center" vertical="center" wrapText="1"/>
    </xf>
    <xf numFmtId="0" fontId="7" fillId="7" borderId="0" xfId="33" applyFont="1" applyFill="1" applyAlignment="1">
      <alignment horizontal="center" vertical="center" wrapText="1"/>
    </xf>
    <xf numFmtId="0" fontId="34" fillId="0" borderId="0" xfId="32" applyFont="1" applyFill="1" applyBorder="1" applyAlignment="1">
      <alignment horizontal="left" vertical="top" wrapText="1" indent="1"/>
    </xf>
    <xf numFmtId="165" fontId="17" fillId="0" borderId="0" xfId="32" applyNumberFormat="1" applyFont="1" applyFill="1" applyBorder="1"/>
    <xf numFmtId="165" fontId="8" fillId="0" borderId="0" xfId="32" applyNumberFormat="1" applyFont="1" applyFill="1" applyBorder="1"/>
    <xf numFmtId="165" fontId="41" fillId="0" borderId="89" xfId="33" applyNumberFormat="1" applyFont="1" applyFill="1" applyBorder="1"/>
    <xf numFmtId="165" fontId="17" fillId="0" borderId="89" xfId="32" applyNumberFormat="1" applyFont="1" applyFill="1" applyBorder="1"/>
    <xf numFmtId="0" fontId="42" fillId="0" borderId="0" xfId="33"/>
    <xf numFmtId="0" fontId="17" fillId="0" borderId="0" xfId="32" applyFont="1"/>
    <xf numFmtId="2" fontId="17" fillId="0" borderId="0" xfId="34" applyNumberFormat="1" applyFont="1" applyBorder="1"/>
    <xf numFmtId="165" fontId="17" fillId="0" borderId="0" xfId="34" applyNumberFormat="1" applyFont="1" applyBorder="1" applyAlignment="1">
      <alignment horizontal="center"/>
    </xf>
    <xf numFmtId="2" fontId="17" fillId="0" borderId="1" xfId="34" applyNumberFormat="1" applyFont="1" applyBorder="1"/>
    <xf numFmtId="165" fontId="17" fillId="0" borderId="1" xfId="34" applyNumberFormat="1" applyFont="1" applyBorder="1" applyAlignment="1">
      <alignment horizontal="center"/>
    </xf>
    <xf numFmtId="0" fontId="17" fillId="0" borderId="0" xfId="32" applyFont="1" applyFill="1"/>
    <xf numFmtId="49" fontId="17" fillId="0" borderId="0" xfId="32" applyNumberFormat="1" applyFont="1" applyFill="1"/>
    <xf numFmtId="0" fontId="15" fillId="0" borderId="0" xfId="34" applyFont="1"/>
    <xf numFmtId="0" fontId="6" fillId="0" borderId="0" xfId="34" applyFont="1" applyBorder="1"/>
    <xf numFmtId="0" fontId="9" fillId="0" borderId="0" xfId="34" applyFont="1" applyAlignment="1"/>
    <xf numFmtId="0" fontId="6" fillId="0" borderId="1" xfId="34" applyFont="1" applyBorder="1"/>
    <xf numFmtId="166" fontId="17" fillId="0" borderId="0" xfId="34" applyNumberFormat="1" applyFont="1" applyBorder="1"/>
    <xf numFmtId="166" fontId="15" fillId="0" borderId="0" xfId="34" applyNumberFormat="1" applyFont="1"/>
    <xf numFmtId="166" fontId="17" fillId="0" borderId="1" xfId="34" applyNumberFormat="1" applyFont="1" applyBorder="1"/>
    <xf numFmtId="2" fontId="140" fillId="0" borderId="0" xfId="29" applyNumberFormat="1" applyFont="1"/>
    <xf numFmtId="0" fontId="103" fillId="0" borderId="0" xfId="29" applyFont="1" applyAlignment="1">
      <alignment horizontal="center"/>
    </xf>
    <xf numFmtId="165" fontId="1" fillId="0" borderId="0" xfId="29" applyNumberFormat="1"/>
    <xf numFmtId="2" fontId="1" fillId="0" borderId="0" xfId="29" applyNumberFormat="1"/>
    <xf numFmtId="166" fontId="1" fillId="0" borderId="0" xfId="29" applyNumberFormat="1"/>
    <xf numFmtId="0" fontId="35" fillId="7" borderId="0" xfId="36" applyFont="1" applyFill="1" applyAlignment="1">
      <alignment horizontal="center" vertical="center" wrapText="1"/>
    </xf>
    <xf numFmtId="0" fontId="41" fillId="0" borderId="0" xfId="36" applyFont="1" applyFill="1"/>
    <xf numFmtId="3" fontId="41" fillId="0" borderId="0" xfId="36" applyNumberFormat="1" applyFont="1" applyFill="1"/>
    <xf numFmtId="2" fontId="41" fillId="0" borderId="0" xfId="36" applyNumberFormat="1" applyFont="1" applyFill="1"/>
    <xf numFmtId="0" fontId="41" fillId="0" borderId="81" xfId="36" applyFont="1" applyFill="1" applyBorder="1"/>
    <xf numFmtId="3" fontId="41" fillId="0" borderId="81" xfId="36" applyNumberFormat="1" applyFont="1" applyFill="1" applyBorder="1"/>
    <xf numFmtId="2" fontId="41" fillId="0" borderId="81" xfId="36" applyNumberFormat="1" applyFont="1" applyFill="1" applyBorder="1"/>
    <xf numFmtId="0" fontId="41" fillId="0" borderId="0" xfId="37" applyFont="1"/>
    <xf numFmtId="0" fontId="41" fillId="0" borderId="0" xfId="0" applyFont="1" applyAlignment="1">
      <alignment wrapText="1"/>
    </xf>
    <xf numFmtId="0" fontId="41" fillId="0" borderId="0" xfId="0" applyFont="1"/>
    <xf numFmtId="0" fontId="80" fillId="0" borderId="0" xfId="0" applyFont="1" applyAlignment="1">
      <alignment horizontal="left" vertical="center" wrapText="1"/>
    </xf>
    <xf numFmtId="0" fontId="6" fillId="0" borderId="0" xfId="6" applyFont="1" applyAlignment="1">
      <alignment horizontal="left" vertical="center" wrapText="1"/>
    </xf>
    <xf numFmtId="0" fontId="6" fillId="0" borderId="0" xfId="6" applyFont="1" applyFill="1" applyBorder="1" applyAlignment="1">
      <alignment vertical="center" wrapText="1"/>
    </xf>
    <xf numFmtId="0" fontId="20" fillId="6" borderId="62" xfId="30" applyFont="1" applyFill="1" applyBorder="1" applyAlignment="1">
      <alignment horizontal="center" vertical="center"/>
    </xf>
    <xf numFmtId="0" fontId="20" fillId="6" borderId="2" xfId="30" applyFont="1" applyFill="1" applyBorder="1" applyAlignment="1">
      <alignment horizontal="center" vertical="center"/>
    </xf>
    <xf numFmtId="0" fontId="20" fillId="6" borderId="35" xfId="30" applyFont="1" applyFill="1" applyBorder="1" applyAlignment="1">
      <alignment horizontal="center" vertical="center"/>
    </xf>
    <xf numFmtId="0" fontId="20" fillId="6" borderId="2" xfId="30" applyFont="1" applyFill="1" applyBorder="1" applyAlignment="1">
      <alignment horizontal="center" vertical="center" wrapText="1"/>
    </xf>
    <xf numFmtId="0" fontId="20" fillId="6" borderId="7" xfId="30" applyFont="1" applyFill="1" applyBorder="1" applyAlignment="1">
      <alignment horizontal="center" vertical="center" wrapText="1"/>
    </xf>
    <xf numFmtId="0" fontId="9" fillId="0" borderId="70" xfId="30" applyFont="1" applyBorder="1" applyAlignment="1">
      <alignment horizontal="right" vertical="center"/>
    </xf>
    <xf numFmtId="0" fontId="10" fillId="0" borderId="70" xfId="31" applyFont="1" applyBorder="1" applyAlignment="1">
      <alignment horizontal="right"/>
    </xf>
    <xf numFmtId="0" fontId="133" fillId="0" borderId="0" xfId="31" applyFont="1" applyAlignment="1">
      <alignment horizontal="left" vertical="center"/>
    </xf>
    <xf numFmtId="0" fontId="120" fillId="6" borderId="23" xfId="31" applyFont="1" applyFill="1" applyBorder="1" applyAlignment="1">
      <alignment horizontal="center" vertical="center" wrapText="1"/>
    </xf>
    <xf numFmtId="0" fontId="120" fillId="6" borderId="0" xfId="31" applyFont="1" applyFill="1" applyBorder="1" applyAlignment="1">
      <alignment horizontal="center" vertical="center"/>
    </xf>
    <xf numFmtId="0" fontId="56" fillId="6" borderId="0" xfId="3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19" applyFont="1" applyBorder="1" applyAlignment="1">
      <alignment horizontal="left" vertical="center"/>
    </xf>
    <xf numFmtId="0" fontId="20" fillId="2" borderId="48" xfId="19" applyFont="1" applyFill="1" applyBorder="1" applyAlignment="1">
      <alignment horizontal="center" vertical="center"/>
    </xf>
    <xf numFmtId="0" fontId="20" fillId="2" borderId="49" xfId="19" applyFont="1" applyFill="1" applyBorder="1" applyAlignment="1">
      <alignment horizontal="center" vertical="center"/>
    </xf>
    <xf numFmtId="0" fontId="9" fillId="0" borderId="55" xfId="19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 wrapText="1"/>
    </xf>
    <xf numFmtId="0" fontId="6" fillId="0" borderId="0" xfId="6" applyFont="1" applyFill="1" applyAlignment="1">
      <alignment vertical="center"/>
    </xf>
    <xf numFmtId="0" fontId="55" fillId="0" borderId="2" xfId="6" applyFont="1" applyBorder="1" applyAlignment="1">
      <alignment horizontal="left" vertical="center" wrapText="1"/>
    </xf>
    <xf numFmtId="0" fontId="55" fillId="0" borderId="2" xfId="6" applyFont="1" applyFill="1" applyBorder="1" applyAlignment="1">
      <alignment horizontal="center" vertical="center"/>
    </xf>
    <xf numFmtId="0" fontId="9" fillId="0" borderId="2" xfId="11" applyFont="1" applyBorder="1" applyAlignment="1">
      <alignment horizontal="right" vertical="center"/>
    </xf>
    <xf numFmtId="0" fontId="6" fillId="0" borderId="0" xfId="11" applyFont="1" applyFill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0" fillId="6" borderId="22" xfId="31" applyFont="1" applyFill="1" applyBorder="1" applyAlignment="1">
      <alignment horizontal="center" vertical="center"/>
    </xf>
    <xf numFmtId="0" fontId="120" fillId="6" borderId="23" xfId="31" applyFont="1" applyFill="1" applyBorder="1" applyAlignment="1">
      <alignment horizontal="center" vertical="center"/>
    </xf>
    <xf numFmtId="0" fontId="120" fillId="6" borderId="0" xfId="31" applyFont="1" applyFill="1" applyAlignment="1">
      <alignment horizontal="center" vertical="center"/>
    </xf>
    <xf numFmtId="0" fontId="21" fillId="0" borderId="2" xfId="31" applyFont="1" applyBorder="1" applyAlignment="1">
      <alignment horizontal="center" vertical="center"/>
    </xf>
    <xf numFmtId="0" fontId="9" fillId="0" borderId="2" xfId="31" applyFont="1" applyBorder="1" applyAlignment="1">
      <alignment horizontal="right" vertical="center"/>
    </xf>
    <xf numFmtId="0" fontId="85" fillId="0" borderId="0" xfId="32" applyFont="1" applyAlignment="1">
      <alignment horizontal="left"/>
    </xf>
    <xf numFmtId="0" fontId="7" fillId="7" borderId="29" xfId="33" applyFont="1" applyFill="1" applyBorder="1" applyAlignment="1">
      <alignment horizontal="center" vertical="center" wrapText="1"/>
    </xf>
    <xf numFmtId="0" fontId="7" fillId="7" borderId="27" xfId="33" applyFont="1" applyFill="1" applyBorder="1" applyAlignment="1">
      <alignment horizontal="center" vertical="center" wrapText="1"/>
    </xf>
    <xf numFmtId="0" fontId="137" fillId="0" borderId="0" xfId="32" applyFont="1" applyAlignment="1">
      <alignment horizontal="right"/>
    </xf>
    <xf numFmtId="0" fontId="10" fillId="0" borderId="82" xfId="32" applyFont="1" applyBorder="1" applyAlignment="1">
      <alignment horizontal="right"/>
    </xf>
    <xf numFmtId="0" fontId="7" fillId="7" borderId="22" xfId="32" applyFont="1" applyFill="1" applyBorder="1" applyAlignment="1">
      <alignment horizontal="center" vertical="center"/>
    </xf>
    <xf numFmtId="0" fontId="7" fillId="7" borderId="0" xfId="32" applyFont="1" applyFill="1" applyBorder="1" applyAlignment="1">
      <alignment horizontal="center" vertical="center"/>
    </xf>
    <xf numFmtId="0" fontId="7" fillId="7" borderId="23" xfId="32" applyFont="1" applyFill="1" applyBorder="1" applyAlignment="1">
      <alignment horizontal="center" vertical="center"/>
    </xf>
    <xf numFmtId="0" fontId="7" fillId="7" borderId="22" xfId="32" applyFont="1" applyFill="1" applyBorder="1" applyAlignment="1">
      <alignment horizontal="center" vertical="center" wrapText="1"/>
    </xf>
    <xf numFmtId="0" fontId="7" fillId="7" borderId="0" xfId="32" applyFont="1" applyFill="1" applyBorder="1" applyAlignment="1">
      <alignment horizontal="center" vertical="center" wrapText="1"/>
    </xf>
    <xf numFmtId="0" fontId="7" fillId="7" borderId="23" xfId="32" applyFont="1" applyFill="1" applyBorder="1" applyAlignment="1">
      <alignment horizontal="center" vertical="center" wrapText="1"/>
    </xf>
    <xf numFmtId="0" fontId="6" fillId="0" borderId="0" xfId="32" applyFont="1" applyBorder="1" applyAlignment="1">
      <alignment horizontal="left" vertical="center"/>
    </xf>
    <xf numFmtId="0" fontId="20" fillId="6" borderId="82" xfId="32" applyFont="1" applyFill="1" applyBorder="1" applyAlignment="1">
      <alignment horizontal="center" vertical="center" wrapText="1"/>
    </xf>
    <xf numFmtId="0" fontId="9" fillId="0" borderId="0" xfId="32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right"/>
    </xf>
    <xf numFmtId="0" fontId="30" fillId="0" borderId="0" xfId="0" applyFont="1" applyFill="1" applyAlignment="1">
      <alignment horizontal="left" vertical="center"/>
    </xf>
    <xf numFmtId="171" fontId="58" fillId="2" borderId="21" xfId="0" applyNumberFormat="1" applyFont="1" applyFill="1" applyBorder="1" applyAlignment="1">
      <alignment horizontal="center" vertical="center" wrapText="1"/>
    </xf>
    <xf numFmtId="171" fontId="58" fillId="2" borderId="25" xfId="0" applyNumberFormat="1" applyFont="1" applyFill="1" applyBorder="1" applyAlignment="1">
      <alignment horizontal="center" vertical="center" wrapText="1"/>
    </xf>
    <xf numFmtId="171" fontId="58" fillId="2" borderId="22" xfId="0" applyNumberFormat="1" applyFont="1" applyFill="1" applyBorder="1" applyAlignment="1">
      <alignment horizontal="center" vertical="center" wrapText="1"/>
    </xf>
    <xf numFmtId="171" fontId="58" fillId="2" borderId="23" xfId="0" applyNumberFormat="1" applyFont="1" applyFill="1" applyBorder="1" applyAlignment="1">
      <alignment horizontal="center" vertical="center" wrapText="1"/>
    </xf>
    <xf numFmtId="171" fontId="58" fillId="2" borderId="26" xfId="0" applyNumberFormat="1" applyFont="1" applyFill="1" applyBorder="1" applyAlignment="1">
      <alignment horizontal="center" vertical="center" wrapText="1"/>
    </xf>
    <xf numFmtId="171" fontId="58" fillId="2" borderId="27" xfId="0" applyNumberFormat="1" applyFont="1" applyFill="1" applyBorder="1" applyAlignment="1">
      <alignment horizontal="center" vertical="center" wrapText="1"/>
    </xf>
    <xf numFmtId="171" fontId="58" fillId="2" borderId="24" xfId="0" applyNumberFormat="1" applyFont="1" applyFill="1" applyBorder="1" applyAlignment="1">
      <alignment horizontal="center" vertical="center" wrapText="1"/>
    </xf>
    <xf numFmtId="171" fontId="58" fillId="2" borderId="28" xfId="0" applyNumberFormat="1" applyFont="1" applyFill="1" applyBorder="1" applyAlignment="1">
      <alignment horizontal="center" vertical="center" wrapText="1"/>
    </xf>
    <xf numFmtId="171" fontId="58" fillId="2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3" fillId="0" borderId="2" xfId="0" applyFont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33" fillId="0" borderId="2" xfId="3" applyFont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" xfId="6" applyFont="1" applyBorder="1" applyAlignment="1">
      <alignment horizontal="justify" vertical="center"/>
    </xf>
    <xf numFmtId="0" fontId="9" fillId="0" borderId="2" xfId="6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1" fontId="33" fillId="0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30" fillId="0" borderId="3" xfId="0" applyFont="1" applyBorder="1" applyAlignment="1">
      <alignment horizontal="justify" vertical="center"/>
    </xf>
    <xf numFmtId="0" fontId="33" fillId="0" borderId="0" xfId="0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/>
    </xf>
    <xf numFmtId="0" fontId="7" fillId="2" borderId="2" xfId="17" applyFont="1" applyFill="1" applyBorder="1" applyAlignment="1">
      <alignment horizontal="center" vertical="center" wrapText="1"/>
    </xf>
    <xf numFmtId="0" fontId="7" fillId="2" borderId="0" xfId="17" applyFont="1" applyFill="1" applyBorder="1" applyAlignment="1">
      <alignment horizontal="center" vertical="center" wrapText="1"/>
    </xf>
    <xf numFmtId="0" fontId="7" fillId="2" borderId="2" xfId="17" applyFont="1" applyFill="1" applyBorder="1" applyAlignment="1">
      <alignment horizontal="center" vertical="center"/>
    </xf>
    <xf numFmtId="0" fontId="7" fillId="2" borderId="0" xfId="17" applyFont="1" applyFill="1" applyBorder="1" applyAlignment="1">
      <alignment horizontal="center" vertical="center"/>
    </xf>
    <xf numFmtId="0" fontId="6" fillId="0" borderId="0" xfId="4" applyFont="1" applyAlignment="1">
      <alignment horizontal="left"/>
    </xf>
    <xf numFmtId="3" fontId="9" fillId="0" borderId="2" xfId="4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9" fillId="0" borderId="55" xfId="0" applyFont="1" applyBorder="1" applyAlignment="1">
      <alignment horizontal="left" vertical="top" wrapText="1"/>
    </xf>
    <xf numFmtId="0" fontId="9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vertical="center"/>
    </xf>
    <xf numFmtId="0" fontId="9" fillId="0" borderId="0" xfId="6" applyFont="1" applyBorder="1" applyAlignment="1">
      <alignment horizontal="center" vertical="center"/>
    </xf>
    <xf numFmtId="168" fontId="90" fillId="0" borderId="0" xfId="22" applyNumberFormat="1" applyFont="1" applyFill="1" applyBorder="1" applyAlignment="1">
      <alignment horizontal="center"/>
    </xf>
    <xf numFmtId="0" fontId="11" fillId="0" borderId="0" xfId="6" applyFont="1" applyBorder="1" applyAlignment="1">
      <alignment horizontal="left" vertical="center" wrapText="1"/>
    </xf>
    <xf numFmtId="0" fontId="103" fillId="0" borderId="0" xfId="26" applyFont="1" applyAlignment="1">
      <alignment horizontal="center" vertical="center"/>
    </xf>
    <xf numFmtId="0" fontId="111" fillId="0" borderId="0" xfId="6" applyFont="1" applyFill="1" applyBorder="1" applyAlignment="1">
      <alignment vertical="center" wrapText="1"/>
    </xf>
    <xf numFmtId="0" fontId="55" fillId="0" borderId="0" xfId="6" applyFont="1" applyFill="1" applyBorder="1" applyAlignment="1">
      <alignment vertical="center" wrapText="1"/>
    </xf>
    <xf numFmtId="0" fontId="113" fillId="0" borderId="0" xfId="6" applyFont="1" applyFill="1" applyBorder="1" applyAlignment="1">
      <alignment horizontal="left" vertical="center" wrapText="1"/>
    </xf>
    <xf numFmtId="0" fontId="113" fillId="0" borderId="0" xfId="6" applyFont="1" applyFill="1" applyBorder="1" applyAlignment="1">
      <alignment horizontal="left" vertical="center"/>
    </xf>
    <xf numFmtId="0" fontId="117" fillId="0" borderId="0" xfId="6" applyFont="1" applyFill="1" applyBorder="1" applyAlignment="1">
      <alignment vertical="center" wrapText="1"/>
    </xf>
    <xf numFmtId="0" fontId="9" fillId="0" borderId="2" xfId="2" applyFont="1" applyBorder="1" applyAlignment="1">
      <alignment horizontal="left" vertical="center" wrapText="1"/>
    </xf>
    <xf numFmtId="176" fontId="6" fillId="0" borderId="0" xfId="31" applyNumberFormat="1" applyFont="1" applyAlignment="1">
      <alignment horizontal="left"/>
    </xf>
    <xf numFmtId="0" fontId="139" fillId="0" borderId="0" xfId="33" applyFont="1" applyAlignment="1">
      <alignment horizontal="right"/>
    </xf>
    <xf numFmtId="0" fontId="9" fillId="0" borderId="2" xfId="34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top"/>
    </xf>
    <xf numFmtId="0" fontId="6" fillId="0" borderId="0" xfId="6" applyFont="1" applyFill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35" fillId="2" borderId="0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/>
    </xf>
    <xf numFmtId="0" fontId="35" fillId="2" borderId="27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24" xfId="0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37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0" fontId="35" fillId="2" borderId="36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30" xfId="0" applyFont="1" applyFill="1" applyBorder="1" applyAlignment="1">
      <alignment horizontal="center" vertical="center" wrapText="1"/>
    </xf>
    <xf numFmtId="0" fontId="35" fillId="2" borderId="42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45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0" fontId="35" fillId="2" borderId="47" xfId="0" applyFont="1" applyFill="1" applyBorder="1" applyAlignment="1">
      <alignment horizontal="center" vertical="center"/>
    </xf>
  </cellXfs>
  <cellStyles count="38">
    <cellStyle name="Comma 2" xfId="22" xr:uid="{0DF10BE9-2F3D-4FB8-9579-505B5276583A}"/>
    <cellStyle name="Čiarka 4" xfId="16" xr:uid="{B828C05D-C37A-414D-8FED-2E3B66D5950B}"/>
    <cellStyle name="Hyperlink 2" xfId="7" xr:uid="{673AE2D8-8FB3-4483-982D-EDB8C54337C2}"/>
    <cellStyle name="Hypertextové prepojenie" xfId="37" builtinId="8"/>
    <cellStyle name="Normal 2" xfId="6" xr:uid="{3B7AA0A7-3A07-4F15-9F76-D4863532F8B3}"/>
    <cellStyle name="Normal 2 2 2" xfId="32" xr:uid="{ECFE3923-9F1F-4198-B155-984771DAA588}"/>
    <cellStyle name="Normal 3" xfId="15" xr:uid="{51FE4DBF-7115-481C-8190-5AD821427D20}"/>
    <cellStyle name="Normal 4" xfId="19" xr:uid="{AD14B997-9292-4A0E-A45E-4A87C9BA7769}"/>
    <cellStyle name="Normal 4 2" xfId="33" xr:uid="{405E6C3F-F46D-434A-AD4D-A88FAD1A3E21}"/>
    <cellStyle name="Normal 5" xfId="29" xr:uid="{2BA8C441-4B38-493D-BF53-2E4B7A86DF36}"/>
    <cellStyle name="Normal 52" xfId="25" xr:uid="{475028F3-70E2-4663-B61B-D92C9FDF4F1B}"/>
    <cellStyle name="Normal 54" xfId="18" xr:uid="{C50D29DE-3AB3-4D39-9CCB-EF6FAFC0FF92}"/>
    <cellStyle name="Normal 55" xfId="2" xr:uid="{3A1087CB-6F53-4506-994F-7F2BA9FCC148}"/>
    <cellStyle name="Normal 6" xfId="30" xr:uid="{ADA1D12D-112B-49A3-A2A9-AE8DE87E0EA1}"/>
    <cellStyle name="Normal_TAB2 2" xfId="23" xr:uid="{7ABBFBAA-D5D5-4B1D-88CE-F1C40C841112}"/>
    <cellStyle name="Normálna" xfId="0" builtinId="0"/>
    <cellStyle name="Normálna 10" xfId="11" xr:uid="{1D8C0CD7-5523-4199-91B2-0B5F180EBAEA}"/>
    <cellStyle name="Normálna 2 7" xfId="36" xr:uid="{28CA1034-89CA-4462-A0FF-EEBEFC45D934}"/>
    <cellStyle name="Normálna 3" xfId="4" xr:uid="{3324C314-4BCA-4448-89E1-B14619329C97}"/>
    <cellStyle name="Normálna 3 4 2" xfId="1" xr:uid="{CEAEAF87-9137-4A0C-B601-000B27809475}"/>
    <cellStyle name="Normálna 7" xfId="17" xr:uid="{4A5CA7D9-B22F-4091-95B8-C7EDEE2C72EC}"/>
    <cellStyle name="Normálna 9" xfId="27" xr:uid="{3F086BA0-301C-42F6-98D9-84FF77649688}"/>
    <cellStyle name="normálne 11 2" xfId="26" xr:uid="{B5FBDA4B-4C33-46A9-BB4F-8458C1DA5D18}"/>
    <cellStyle name="Normálne 16" xfId="3" xr:uid="{17199CC9-82BA-4418-95AA-72CA8C7BFEFA}"/>
    <cellStyle name="Normálne 5 2" xfId="34" xr:uid="{B8F0BD3B-4317-4F00-BC20-2E4F880D31E6}"/>
    <cellStyle name="normálne 5 3" xfId="12" xr:uid="{A52D61BA-9434-4CF0-BB6B-D7EEF727506E}"/>
    <cellStyle name="Normálne 50" xfId="5" xr:uid="{A2BB54A9-AF1E-4E55-BAC9-A7567200F9F3}"/>
    <cellStyle name="Normálne 52" xfId="10" xr:uid="{1086DCBD-388C-47CE-8B82-21E2767D6CB5}"/>
    <cellStyle name="Normálne 53" xfId="8" xr:uid="{60D155E0-39C1-470F-A74D-89F8BF17142F}"/>
    <cellStyle name="Normálne 54" xfId="9" xr:uid="{6FEE5BC8-E1C0-4122-BCB5-8A6166A1CF8E}"/>
    <cellStyle name="Normálne 60" xfId="20" xr:uid="{D6B13E26-24A1-4DED-9E0D-1D2F53E65C31}"/>
    <cellStyle name="Normálne 61" xfId="21" xr:uid="{EE32C2E5-3642-466A-99C6-BE3EDAA3E9FA}"/>
    <cellStyle name="Normálne 9" xfId="24" xr:uid="{0BAD26E9-5DE9-4700-82A2-0803BFF21B10}"/>
    <cellStyle name="Normálne 9 2" xfId="31" xr:uid="{1873B948-C0BF-48F5-B99D-3DD592685590}"/>
    <cellStyle name="normálne_annex tab 2,3,5" xfId="14" xr:uid="{2650C060-F679-4C43-B375-ED41194E3252}"/>
    <cellStyle name="Percent 2" xfId="28" xr:uid="{002FC2A4-A6F4-4DCD-94C6-5B739CB76A28}"/>
    <cellStyle name="Percent 3" xfId="35" xr:uid="{4B0FFF7B-1BB3-4665-9D6A-09E53ECFDBE9}"/>
    <cellStyle name="Percentá 16" xfId="13" xr:uid="{EEDD53F8-EE24-41FB-962E-AB8EEB3A835B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3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06036745406826E-2"/>
          <c:y val="0.11574074074074074"/>
          <c:w val="0.84698293963254578"/>
          <c:h val="0.83333333333333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'T42'!$B$2:$F$2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'T42'!$B$6:$F$6</c:f>
              <c:numCache>
                <c:formatCode>0.00</c:formatCode>
                <c:ptCount val="5"/>
                <c:pt idx="0">
                  <c:v>-1.4971242370467052E-2</c:v>
                </c:pt>
                <c:pt idx="1">
                  <c:v>-6.4082835653038834E-3</c:v>
                </c:pt>
                <c:pt idx="2">
                  <c:v>-5.9832193467282699E-3</c:v>
                </c:pt>
                <c:pt idx="3">
                  <c:v>-5.6180247430092931E-3</c:v>
                </c:pt>
                <c:pt idx="4">
                  <c:v>-5.3052166668059175E-3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2-4A75-92E4-9E86C68D5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826096"/>
        <c:axId val="457826488"/>
      </c:barChart>
      <c:catAx>
        <c:axId val="45782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6488"/>
        <c:crosses val="autoZero"/>
        <c:auto val="1"/>
        <c:lblAlgn val="ctr"/>
        <c:lblOffset val="100"/>
        <c:noMultiLvlLbl val="0"/>
      </c:catAx>
      <c:valAx>
        <c:axId val="457826488"/>
        <c:scaling>
          <c:orientation val="minMax"/>
          <c:max val="0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609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82567107844895"/>
          <c:y val="0.10940608042371376"/>
          <c:w val="0.47362929889704825"/>
          <c:h val="0.81073212868631106"/>
        </c:manualLayout>
      </c:layout>
      <c:doughnutChart>
        <c:varyColors val="1"/>
        <c:ser>
          <c:idx val="0"/>
          <c:order val="0"/>
          <c:spPr>
            <a:gradFill>
              <a:gsLst>
                <a:gs pos="0">
                  <a:srgbClr val="13B5EA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60588">
                  <a:srgbClr val="13B5EA"/>
                </a:gs>
                <a:gs pos="44844">
                  <a:srgbClr val="13B5EA"/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>
              <a:glow rad="63500">
                <a:schemeClr val="accent1">
                  <a:satMod val="175000"/>
                  <a:alpha val="40000"/>
                </a:schemeClr>
              </a:glow>
              <a:outerShdw blurRad="177800" sx="111000" sy="111000" algn="ctr" rotWithShape="0">
                <a:prstClr val="black">
                  <a:alpha val="40000"/>
                </a:prstClr>
              </a:outerShdw>
            </a:effectLst>
          </c:spPr>
          <c:explosion val="2"/>
          <c:dPt>
            <c:idx val="0"/>
            <c:bubble3D val="0"/>
            <c:spPr>
              <a:gradFill>
                <a:gsLst>
                  <a:gs pos="0">
                    <a:srgbClr val="13B5EA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60588">
                    <a:srgbClr val="13B5EA"/>
                  </a:gs>
                  <a:gs pos="44844">
                    <a:srgbClr val="13B5EA"/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177800" sx="111000" sy="111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CCE-4608-A562-7204FD1FED10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13B5EA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60588">
                    <a:srgbClr val="13B5EA"/>
                  </a:gs>
                  <a:gs pos="44844">
                    <a:srgbClr val="13B5EA"/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177800" sx="111000" sy="111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CCE-4608-A562-7204FD1FED10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13B5EA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60588">
                    <a:srgbClr val="13B5EA"/>
                  </a:gs>
                  <a:gs pos="44844">
                    <a:srgbClr val="13B5EA"/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177800" sx="111000" sy="111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CCE-4608-A562-7204FD1FED10}"/>
              </c:ext>
            </c:extLst>
          </c:dPt>
          <c:dLbls>
            <c:dLbl>
              <c:idx val="0"/>
              <c:layout>
                <c:manualLayout>
                  <c:x val="0.17485440997017251"/>
                  <c:y val="7.543018879577263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CE-4608-A562-7204FD1FED10}"/>
                </c:ext>
              </c:extLst>
            </c:dLbl>
            <c:dLbl>
              <c:idx val="1"/>
              <c:layout>
                <c:manualLayout>
                  <c:x val="0.27663769980021835"/>
                  <c:y val="-0.1237451336151675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26893890205319"/>
                      <c:h val="0.205409454174075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CCE-4608-A562-7204FD1FED10}"/>
                </c:ext>
              </c:extLst>
            </c:dLbl>
            <c:dLbl>
              <c:idx val="2"/>
              <c:layout>
                <c:manualLayout>
                  <c:x val="0.10904235462507295"/>
                  <c:y val="4.27046422897757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44662199846546"/>
                      <c:h val="0.131090936341774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CCE-4608-A562-7204FD1FE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09BC6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'G06'!$A$15:$A$17</c:f>
              <c:strCache>
                <c:ptCount val="2"/>
                <c:pt idx="0">
                  <c:v>Spolufinancovanie EÚ fondov</c:v>
                </c:pt>
                <c:pt idx="1">
                  <c:v>Daňové príjmy</c:v>
                </c:pt>
              </c:strCache>
            </c:strRef>
          </c:cat>
          <c:val>
            <c:numRef>
              <c:f>'G06'!$B$15:$B$17</c:f>
              <c:numCache>
                <c:formatCode>#,##0</c:formatCode>
                <c:ptCount val="3"/>
                <c:pt idx="0">
                  <c:v>331.08757700000001</c:v>
                </c:pt>
                <c:pt idx="1">
                  <c:v>1055.2586032275719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CE-4608-A562-7204FD1FE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8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708273585326"/>
          <c:y val="0.12375398329932795"/>
          <c:w val="0.47362929889704825"/>
          <c:h val="0.81073212868631106"/>
        </c:manualLayout>
      </c:layout>
      <c:doughnutChart>
        <c:varyColors val="1"/>
        <c:ser>
          <c:idx val="0"/>
          <c:order val="0"/>
          <c:spPr>
            <a:gradFill flip="none" rotWithShape="1">
              <a:gsLst>
                <a:gs pos="79322">
                  <a:schemeClr val="bg1"/>
                </a:gs>
                <a:gs pos="67488">
                  <a:srgbClr val="DCB47B"/>
                </a:gs>
                <a:gs pos="100000">
                  <a:srgbClr val="DCB47B"/>
                </a:gs>
              </a:gsLst>
              <a:path path="circle">
                <a:fillToRect l="100000" t="100000"/>
              </a:path>
              <a:tileRect r="-100000" b="-100000"/>
            </a:gradFill>
            <a:effectLst>
              <a:glow rad="228600">
                <a:schemeClr val="bg1">
                  <a:alpha val="40000"/>
                </a:schemeClr>
              </a:glow>
              <a:outerShdw blurRad="50800" dist="50800" dir="5400000" algn="ctr" rotWithShape="0">
                <a:srgbClr val="DCB47B"/>
              </a:outerShdw>
            </a:effectLst>
          </c:spPr>
          <c:explosion val="4"/>
          <c:dPt>
            <c:idx val="0"/>
            <c:bubble3D val="0"/>
            <c:spPr>
              <a:gradFill flip="none" rotWithShape="1">
                <a:gsLst>
                  <a:gs pos="79322">
                    <a:schemeClr val="bg1"/>
                  </a:gs>
                  <a:gs pos="67488">
                    <a:srgbClr val="DCB47B"/>
                  </a:gs>
                  <a:gs pos="100000">
                    <a:srgbClr val="DCB47B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glow rad="228600">
                  <a:schemeClr val="bg1">
                    <a:alpha val="40000"/>
                  </a:schemeClr>
                </a:glow>
                <a:outerShdw blurRad="50800" dist="50800" dir="5400000" algn="ctr" rotWithShape="0">
                  <a:srgbClr val="DCB47B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BF-40E9-9658-7F2B397D3EFC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79322">
                    <a:schemeClr val="bg1"/>
                  </a:gs>
                  <a:gs pos="67488">
                    <a:srgbClr val="DCB47B"/>
                  </a:gs>
                  <a:gs pos="100000">
                    <a:srgbClr val="DCB47B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glow rad="228600">
                  <a:schemeClr val="bg1">
                    <a:alpha val="40000"/>
                  </a:schemeClr>
                </a:glow>
                <a:outerShdw blurRad="50800" dist="50800" dir="5400000" algn="ctr" rotWithShape="0">
                  <a:srgbClr val="DCB47B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BF-40E9-9658-7F2B397D3EFC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79322">
                    <a:schemeClr val="bg1"/>
                  </a:gs>
                  <a:gs pos="67488">
                    <a:srgbClr val="DCB47B"/>
                  </a:gs>
                  <a:gs pos="100000">
                    <a:srgbClr val="DCB47B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glow rad="228600">
                  <a:schemeClr val="bg1">
                    <a:alpha val="40000"/>
                  </a:schemeClr>
                </a:glow>
                <a:outerShdw blurRad="50800" dist="50800" dir="5400000" algn="ctr" rotWithShape="0">
                  <a:srgbClr val="DCB47B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5BF-40E9-9658-7F2B397D3EFC}"/>
              </c:ext>
            </c:extLst>
          </c:dPt>
          <c:dLbls>
            <c:dLbl>
              <c:idx val="0"/>
              <c:layout>
                <c:manualLayout>
                  <c:x val="0.1065076897223643"/>
                  <c:y val="0.163028316729819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Výdavky</a:t>
                    </a:r>
                    <a:r>
                      <a:rPr lang="en-US" baseline="0"/>
                      <a:t> samopsráv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82505634147005"/>
                      <c:h val="0.163588859490363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5BF-40E9-9658-7F2B397D3EFC}"/>
                </c:ext>
              </c:extLst>
            </c:dLbl>
            <c:dLbl>
              <c:idx val="1"/>
              <c:layout>
                <c:manualLayout>
                  <c:x val="0.13291092285842016"/>
                  <c:y val="2.312253009080905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F-40E9-9658-7F2B397D3EFC}"/>
                </c:ext>
              </c:extLst>
            </c:dLbl>
            <c:dLbl>
              <c:idx val="2"/>
              <c:layout>
                <c:manualLayout>
                  <c:x val="-9.1407680785550241E-2"/>
                  <c:y val="-0.1345901391170349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25552355929716"/>
                      <c:h val="0.121525745802425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5BF-40E9-9658-7F2B397D3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'G06'!$A$11:$A$13</c:f>
              <c:strCache>
                <c:ptCount val="3"/>
                <c:pt idx="0">
                  <c:v>Výdavky samospráv</c:v>
                </c:pt>
                <c:pt idx="1">
                  <c:v>Odvod do EÚ</c:v>
                </c:pt>
                <c:pt idx="2">
                  <c:v>Úrokové náklady</c:v>
                </c:pt>
              </c:strCache>
            </c:strRef>
          </c:cat>
          <c:val>
            <c:numRef>
              <c:f>'G06'!$B$11:$B$13</c:f>
              <c:numCache>
                <c:formatCode>#,##0</c:formatCode>
                <c:ptCount val="3"/>
                <c:pt idx="0">
                  <c:v>-150.84077300000001</c:v>
                </c:pt>
                <c:pt idx="1">
                  <c:v>-41.607560999999997</c:v>
                </c:pt>
                <c:pt idx="2">
                  <c:v>-31.928611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BF-40E9-9658-7F2B397D3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>
          <a:noFill/>
        </a:ln>
        <a:effectLst>
          <a:glow rad="63500">
            <a:schemeClr val="bg1">
              <a:alpha val="40000"/>
            </a:schemeClr>
          </a:glow>
        </a:effec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18285437752909E-2"/>
          <c:y val="1.3379125481655216E-2"/>
          <c:w val="0.94000926016670039"/>
          <c:h val="0.857555082708321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'G06'!$A$14</c:f>
              <c:strCache>
                <c:ptCount val="1"/>
                <c:pt idx="0">
                  <c:v>Pozitíva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B2E4F8"/>
              </a:solidFill>
            </a:ln>
            <a:effectLst>
              <a:glow rad="101600">
                <a:schemeClr val="accent5">
                  <a:satMod val="175000"/>
                  <a:alpha val="40000"/>
                </a:schemeClr>
              </a:glo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solidFill>
                  <a:srgbClr val="B2E4F8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9-4D0A-B88E-827EFA3F49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'G06'!$B$14</c:f>
              <c:numCache>
                <c:formatCode>#,##0</c:formatCode>
                <c:ptCount val="1"/>
                <c:pt idx="0">
                  <c:v>1386.3461802275719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vysvetlenie_zmien!#REF!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C79-4D0A-B88E-827EFA3F4911}"/>
            </c:ext>
          </c:extLst>
        </c:ser>
        <c:ser>
          <c:idx val="1"/>
          <c:order val="1"/>
          <c:tx>
            <c:strRef>
              <c:f>'G06'!$A$10</c:f>
              <c:strCache>
                <c:ptCount val="1"/>
                <c:pt idx="0">
                  <c:v>Aktualizácia odhadov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711939110139137E-3"/>
                  <c:y val="-1.4313274160841652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51850608039"/>
                      <c:h val="0.16997156273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79-4D0A-B88E-827EFA3F4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'G06'!$B$10</c:f>
              <c:numCache>
                <c:formatCode>#,##0</c:formatCode>
                <c:ptCount val="1"/>
                <c:pt idx="0">
                  <c:v>-224.37694500000001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vysvetlenie_zmien!#REF!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C79-4D0A-B88E-827EFA3F4911}"/>
            </c:ext>
          </c:extLst>
        </c:ser>
        <c:ser>
          <c:idx val="2"/>
          <c:order val="2"/>
          <c:tx>
            <c:strRef>
              <c:f>'G06'!$A$9</c:f>
              <c:strCache>
                <c:ptCount val="1"/>
                <c:pt idx="0">
                  <c:v>Ostatné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028717064684092E-3"/>
                  <c:y val="-9.979193824197030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79-4D0A-B88E-827EFA3F4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'G06'!$B$9</c:f>
              <c:numCache>
                <c:formatCode>#,##0</c:formatCode>
                <c:ptCount val="1"/>
                <c:pt idx="0">
                  <c:v>80.84608500000013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vysvetlenie_zmien!#REF!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C79-4D0A-B88E-827EFA3F4911}"/>
            </c:ext>
          </c:extLst>
        </c:ser>
        <c:ser>
          <c:idx val="3"/>
          <c:order val="3"/>
          <c:tx>
            <c:strRef>
              <c:f>'G06'!$A$3</c:f>
              <c:strCache>
                <c:ptCount val="1"/>
                <c:pt idx="0">
                  <c:v>Opatrenia vlády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'G06'!$B$3</c:f>
              <c:numCache>
                <c:formatCode>#,##0</c:formatCode>
                <c:ptCount val="1"/>
                <c:pt idx="0">
                  <c:v>-1656.0135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vysvetlenie_zmien!#REF!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1C79-4D0A-B88E-827EFA3F4911}"/>
            </c:ext>
          </c:extLst>
        </c:ser>
        <c:ser>
          <c:idx val="5"/>
          <c:order val="4"/>
          <c:tx>
            <c:v>Zvýšenie daní</c:v>
          </c:tx>
          <c:spPr>
            <a:solidFill>
              <a:srgbClr val="B1E8F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057842986901921E-3"/>
                  <c:y val="4.42822367460874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onstantia" panose="02030602050306030303" pitchFamily="18" charset="0"/>
                        <a:ea typeface="+mn-ea"/>
                        <a:cs typeface="+mn-cs"/>
                      </a:defRPr>
                    </a:pPr>
                    <a:r>
                      <a:rPr lang="en-US"/>
                      <a:t>Zvýš. príjmov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875058059870459E-2"/>
                      <c:h val="0.164382237891747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C79-4D0A-B88E-827EFA3F4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'G06'!$B$18</c:f>
              <c:numCache>
                <c:formatCode>#,##0</c:formatCode>
                <c:ptCount val="1"/>
                <c:pt idx="0">
                  <c:v>165.56443877242796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79-4D0A-B88E-827EFA3F4911}"/>
            </c:ext>
          </c:extLst>
        </c:ser>
        <c:ser>
          <c:idx val="4"/>
          <c:order val="5"/>
          <c:tx>
            <c:strRef>
              <c:f>'G06'!$A$19</c:f>
              <c:strCache>
                <c:ptCount val="1"/>
                <c:pt idx="0">
                  <c:v>Zhoršenie cieľa</c:v>
                </c:pt>
              </c:strCache>
            </c:strRef>
          </c:tx>
          <c:spPr>
            <a:solidFill>
              <a:srgbClr val="CCECFF"/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13B5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C79-4D0A-B88E-827EFA3F4911}"/>
              </c:ext>
            </c:extLst>
          </c:dPt>
          <c:dLbls>
            <c:dLbl>
              <c:idx val="0"/>
              <c:layout>
                <c:manualLayout>
                  <c:x val="0"/>
                  <c:y val="3.1630169104348176E-3"/>
                </c:manualLayout>
              </c:layout>
              <c:tx>
                <c:rich>
                  <a:bodyPr/>
                  <a:lstStyle/>
                  <a:p>
                    <a:fld id="{0E2D281E-E331-42C6-A8C9-A58538F8A8FC}" type="SERIESNAME">
                      <a:rPr lang="en-US"/>
                      <a:pPr/>
                      <a:t>[NÁZOV RADU]</a:t>
                    </a:fld>
                    <a:endParaRPr lang="sk-SK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898249395492086E-2"/>
                      <c:h val="0.18721921998508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C79-4D0A-B88E-827EFA3F4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'G06'!$B$19</c:f>
              <c:numCache>
                <c:formatCode>#,##0</c:formatCode>
                <c:ptCount val="1"/>
                <c:pt idx="0">
                  <c:v>247.63374100000004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vysvetlenie_zmien!#REF!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1C79-4D0A-B88E-827EFA3F49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60"/>
        <c:overlap val="100"/>
        <c:axId val="460379952"/>
        <c:axId val="456070456"/>
      </c:barChart>
      <c:catAx>
        <c:axId val="46037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4127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6070456"/>
        <c:crosses val="autoZero"/>
        <c:auto val="1"/>
        <c:lblAlgn val="ctr"/>
        <c:lblOffset val="100"/>
        <c:noMultiLvlLbl val="0"/>
      </c:catAx>
      <c:valAx>
        <c:axId val="4560704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60379952"/>
        <c:crosses val="autoZero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AF-44B2-8CAA-37796CDC576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AF-44B2-8CAA-37796CDC576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AF-44B2-8CAA-37796CDC576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AF-44B2-8CAA-37796CDC576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AF-44B2-8CAA-37796CDC576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AF-44B2-8CAA-37796CDC5762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AF-44B2-8CAA-37796CDC57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'G07'!$A$3:$A$9</c:f>
              <c:strCache>
                <c:ptCount val="7"/>
                <c:pt idx="0">
                  <c:v>Rezervy</c:v>
                </c:pt>
                <c:pt idx="1">
                  <c:v>Obrana</c:v>
                </c:pt>
                <c:pt idx="2">
                  <c:v>Šport</c:v>
                </c:pt>
                <c:pt idx="3">
                  <c:v>Zdravotníctvo</c:v>
                </c:pt>
                <c:pt idx="4">
                  <c:v>Investičné stimuly</c:v>
                </c:pt>
                <c:pt idx="5">
                  <c:v>Cestná doprava</c:v>
                </c:pt>
                <c:pt idx="6">
                  <c:v>Ostatné</c:v>
                </c:pt>
              </c:strCache>
            </c:strRef>
          </c:cat>
          <c:val>
            <c:numRef>
              <c:f>'G07'!$B$3:$B$9</c:f>
              <c:numCache>
                <c:formatCode>#,##0</c:formatCode>
                <c:ptCount val="7"/>
                <c:pt idx="0">
                  <c:v>264.85129599999999</c:v>
                </c:pt>
                <c:pt idx="1">
                  <c:v>30.134229999999999</c:v>
                </c:pt>
                <c:pt idx="2" formatCode="0">
                  <c:v>25.266300000000001</c:v>
                </c:pt>
                <c:pt idx="3" formatCode="0">
                  <c:v>18.606000000000002</c:v>
                </c:pt>
                <c:pt idx="4">
                  <c:v>9.6627340000000004</c:v>
                </c:pt>
                <c:pt idx="5">
                  <c:v>-12.02384</c:v>
                </c:pt>
                <c:pt idx="6" formatCode="0">
                  <c:v>18.462509000000011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AF-44B2-8CAA-37796CDC5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033648"/>
        <c:axId val="482956656"/>
      </c:barChart>
      <c:catAx>
        <c:axId val="40203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82956656"/>
        <c:crosses val="autoZero"/>
        <c:auto val="1"/>
        <c:lblAlgn val="ctr"/>
        <c:lblOffset val="100"/>
        <c:noMultiLvlLbl val="0"/>
      </c:catAx>
      <c:valAx>
        <c:axId val="48295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0203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867958812840699E-2"/>
          <c:y val="4.6893864829396323E-2"/>
          <c:w val="0.87874298405007067"/>
          <c:h val="0.8420579068241469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'G08'!$C$2</c:f>
              <c:strCache>
                <c:ptCount val="1"/>
                <c:pt idx="0">
                  <c:v>Nemecko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'G08'!$A$3:$A$20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2018F</c:v>
                </c:pt>
                <c:pt idx="15">
                  <c:v>2019F</c:v>
                </c:pt>
                <c:pt idx="16">
                  <c:v>2020F</c:v>
                </c:pt>
                <c:pt idx="17">
                  <c:v>2021F</c:v>
                </c:pt>
              </c:strCache>
            </c:strRef>
          </c:cat>
          <c:val>
            <c:numRef>
              <c:f>'G08'!$C$3:$C$20</c:f>
              <c:numCache>
                <c:formatCode>0.0</c:formatCode>
                <c:ptCount val="18"/>
                <c:pt idx="0">
                  <c:v>2.2428310540360088</c:v>
                </c:pt>
                <c:pt idx="1">
                  <c:v>1.7283128307591653</c:v>
                </c:pt>
                <c:pt idx="2">
                  <c:v>2.9809781057131368</c:v>
                </c:pt>
                <c:pt idx="3">
                  <c:v>1.5362152532578401</c:v>
                </c:pt>
                <c:pt idx="4">
                  <c:v>0.39915430307244043</c:v>
                </c:pt>
                <c:pt idx="5">
                  <c:v>-2.1044970887044427</c:v>
                </c:pt>
                <c:pt idx="6">
                  <c:v>2.673232368632287</c:v>
                </c:pt>
                <c:pt idx="7">
                  <c:v>1.5843111988126235</c:v>
                </c:pt>
                <c:pt idx="8">
                  <c:v>8.6401648676221576E-2</c:v>
                </c:pt>
                <c:pt idx="9">
                  <c:v>0.7184163309125815</c:v>
                </c:pt>
                <c:pt idx="10">
                  <c:v>0.88254654863667603</c:v>
                </c:pt>
                <c:pt idx="11">
                  <c:v>1.3064948676787598</c:v>
                </c:pt>
                <c:pt idx="12">
                  <c:v>0.97337838418632794</c:v>
                </c:pt>
                <c:pt idx="13">
                  <c:v>1.2181801543602568</c:v>
                </c:pt>
                <c:pt idx="14">
                  <c:v>0.810597920842274</c:v>
                </c:pt>
                <c:pt idx="15">
                  <c:v>1.1512330775356292</c:v>
                </c:pt>
                <c:pt idx="16">
                  <c:v>1.1831974482544525</c:v>
                </c:pt>
                <c:pt idx="17">
                  <c:v>1.1598368423770518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6-4075-8707-B4BEAFD64250}"/>
            </c:ext>
          </c:extLst>
        </c:ser>
        <c:ser>
          <c:idx val="1"/>
          <c:order val="2"/>
          <c:tx>
            <c:strRef>
              <c:f>'G08'!$D$2</c:f>
              <c:strCache>
                <c:ptCount val="1"/>
                <c:pt idx="0">
                  <c:v>Susedia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12700">
              <a:noFill/>
            </a:ln>
            <a:effectLst/>
          </c:spPr>
          <c:invertIfNegative val="0"/>
          <c:cat>
            <c:strRef>
              <c:f>'G08'!$A$3:$A$20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2018F</c:v>
                </c:pt>
                <c:pt idx="15">
                  <c:v>2019F</c:v>
                </c:pt>
                <c:pt idx="16">
                  <c:v>2020F</c:v>
                </c:pt>
                <c:pt idx="17">
                  <c:v>2021F</c:v>
                </c:pt>
              </c:strCache>
            </c:strRef>
          </c:cat>
          <c:val>
            <c:numRef>
              <c:f>'G08'!$D$3:$D$20</c:f>
              <c:numCache>
                <c:formatCode>0.0</c:formatCode>
                <c:ptCount val="18"/>
                <c:pt idx="0">
                  <c:v>6.0540739454019734</c:v>
                </c:pt>
                <c:pt idx="1">
                  <c:v>3.4590379343775544</c:v>
                </c:pt>
                <c:pt idx="2">
                  <c:v>4.5510203354138712</c:v>
                </c:pt>
                <c:pt idx="3">
                  <c:v>4.2930743455954827</c:v>
                </c:pt>
                <c:pt idx="4">
                  <c:v>1.6846293678803408</c:v>
                </c:pt>
                <c:pt idx="5">
                  <c:v>-4.5043252941350342</c:v>
                </c:pt>
                <c:pt idx="6">
                  <c:v>5.0047180061719052</c:v>
                </c:pt>
                <c:pt idx="7">
                  <c:v>2.3766133354008141</c:v>
                </c:pt>
                <c:pt idx="8">
                  <c:v>0.19916099206630811</c:v>
                </c:pt>
                <c:pt idx="9">
                  <c:v>0.53648390891300113</c:v>
                </c:pt>
                <c:pt idx="10">
                  <c:v>3.2492321399543047</c:v>
                </c:pt>
                <c:pt idx="11">
                  <c:v>2.1203608204342492</c:v>
                </c:pt>
                <c:pt idx="12">
                  <c:v>1.460833439487234</c:v>
                </c:pt>
                <c:pt idx="13">
                  <c:v>2.3574935571887163</c:v>
                </c:pt>
                <c:pt idx="14">
                  <c:v>2.4095646159977964</c:v>
                </c:pt>
                <c:pt idx="15">
                  <c:v>2.1915141069972646</c:v>
                </c:pt>
                <c:pt idx="16">
                  <c:v>1.926993824991019</c:v>
                </c:pt>
                <c:pt idx="17">
                  <c:v>1.7826912978094986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6-4075-8707-B4BEAFD64250}"/>
            </c:ext>
          </c:extLst>
        </c:ser>
        <c:ser>
          <c:idx val="3"/>
          <c:order val="3"/>
          <c:tx>
            <c:strRef>
              <c:f>'G08'!$E$2</c:f>
              <c:strCache>
                <c:ptCount val="1"/>
                <c:pt idx="0">
                  <c:v>Ostatné štáty EÚ</c:v>
                </c:pt>
              </c:strCache>
            </c:strRef>
          </c:tx>
          <c:spPr>
            <a:solidFill>
              <a:srgbClr val="E5C99F"/>
            </a:solidFill>
            <a:ln>
              <a:noFill/>
            </a:ln>
            <a:effectLst/>
          </c:spPr>
          <c:invertIfNegative val="0"/>
          <c:cat>
            <c:strRef>
              <c:f>'G08'!$A$3:$A$20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2018F</c:v>
                </c:pt>
                <c:pt idx="15">
                  <c:v>2019F</c:v>
                </c:pt>
                <c:pt idx="16">
                  <c:v>2020F</c:v>
                </c:pt>
                <c:pt idx="17">
                  <c:v>2021F</c:v>
                </c:pt>
              </c:strCache>
            </c:strRef>
          </c:cat>
          <c:val>
            <c:numRef>
              <c:f>'G08'!$E$3:$E$20</c:f>
              <c:numCache>
                <c:formatCode>0.0</c:formatCode>
                <c:ptCount val="18"/>
                <c:pt idx="0">
                  <c:v>1.7470303226150308</c:v>
                </c:pt>
                <c:pt idx="1">
                  <c:v>1.5932838361165527</c:v>
                </c:pt>
                <c:pt idx="2">
                  <c:v>2.4831496044036023</c:v>
                </c:pt>
                <c:pt idx="3">
                  <c:v>2.1490952398992476</c:v>
                </c:pt>
                <c:pt idx="4">
                  <c:v>-0.38684120066438732</c:v>
                </c:pt>
                <c:pt idx="5">
                  <c:v>-3.703324704296453</c:v>
                </c:pt>
                <c:pt idx="6">
                  <c:v>2.8316522424885466</c:v>
                </c:pt>
                <c:pt idx="7">
                  <c:v>0.98049246077054408</c:v>
                </c:pt>
                <c:pt idx="8">
                  <c:v>-0.39559214177769281</c:v>
                </c:pt>
                <c:pt idx="9">
                  <c:v>0.43629603821427454</c:v>
                </c:pt>
                <c:pt idx="10">
                  <c:v>1.2452933242024256</c:v>
                </c:pt>
                <c:pt idx="11">
                  <c:v>1.9197053192035316</c:v>
                </c:pt>
                <c:pt idx="12">
                  <c:v>1.0593979900897925</c:v>
                </c:pt>
                <c:pt idx="13">
                  <c:v>1.5468443375828049</c:v>
                </c:pt>
                <c:pt idx="14">
                  <c:v>1.0441935814228587</c:v>
                </c:pt>
                <c:pt idx="15">
                  <c:v>1.1205976653476171</c:v>
                </c:pt>
                <c:pt idx="16">
                  <c:v>1.0382395091963419</c:v>
                </c:pt>
                <c:pt idx="17">
                  <c:v>0.96375622093466273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6-4075-8707-B4BEAFD64250}"/>
            </c:ext>
          </c:extLst>
        </c:ser>
        <c:ser>
          <c:idx val="4"/>
          <c:order val="4"/>
          <c:tx>
            <c:strRef>
              <c:f>'G08'!$F$2</c:f>
              <c:strCache>
                <c:ptCount val="1"/>
                <c:pt idx="0">
                  <c:v>Ostatné štáty mimo EÚ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strRef>
              <c:f>'G08'!$A$3:$A$20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2018F</c:v>
                </c:pt>
                <c:pt idx="15">
                  <c:v>2019F</c:v>
                </c:pt>
                <c:pt idx="16">
                  <c:v>2020F</c:v>
                </c:pt>
                <c:pt idx="17">
                  <c:v>2021F</c:v>
                </c:pt>
              </c:strCache>
            </c:strRef>
          </c:cat>
          <c:val>
            <c:numRef>
              <c:f>'G08'!$F$3:$F$20</c:f>
              <c:numCache>
                <c:formatCode>0.0</c:formatCode>
                <c:ptCount val="18"/>
                <c:pt idx="0">
                  <c:v>1.0509747721941034</c:v>
                </c:pt>
                <c:pt idx="1">
                  <c:v>0.6956469845154748</c:v>
                </c:pt>
                <c:pt idx="2">
                  <c:v>0.96968776870366624</c:v>
                </c:pt>
                <c:pt idx="3">
                  <c:v>1.2929754120913459</c:v>
                </c:pt>
                <c:pt idx="4">
                  <c:v>1.0152106044014908</c:v>
                </c:pt>
                <c:pt idx="5">
                  <c:v>-1.6804728925064647</c:v>
                </c:pt>
                <c:pt idx="6">
                  <c:v>2.3869074315846657</c:v>
                </c:pt>
                <c:pt idx="7">
                  <c:v>1.706784573255782</c:v>
                </c:pt>
                <c:pt idx="8">
                  <c:v>0.53399115174484824</c:v>
                </c:pt>
                <c:pt idx="9">
                  <c:v>0.75902309486270725</c:v>
                </c:pt>
                <c:pt idx="10">
                  <c:v>-0.12397091713088892</c:v>
                </c:pt>
                <c:pt idx="11">
                  <c:v>-0.3803589125225762</c:v>
                </c:pt>
                <c:pt idx="12">
                  <c:v>0.21987117192137901</c:v>
                </c:pt>
                <c:pt idx="13">
                  <c:v>0.81914131457966322</c:v>
                </c:pt>
                <c:pt idx="14">
                  <c:v>0.47474976984259754</c:v>
                </c:pt>
                <c:pt idx="15">
                  <c:v>0.40219921939703512</c:v>
                </c:pt>
                <c:pt idx="16">
                  <c:v>0.39613077118986662</c:v>
                </c:pt>
                <c:pt idx="17">
                  <c:v>0.37788278254660457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F6-4075-8707-B4BEAFD6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'G08'!$B$2</c:f>
              <c:strCache>
                <c:ptCount val="1"/>
                <c:pt idx="0">
                  <c:v>Zahraničný dopyt spolu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8923076923076921E-2"/>
                  <c:y val="-7.5399168853893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F6-4075-8707-B4BEAFD64250}"/>
                </c:ext>
              </c:extLst>
            </c:dLbl>
            <c:dLbl>
              <c:idx val="4"/>
              <c:layout>
                <c:manualLayout>
                  <c:x val="-2.1102564102564104E-2"/>
                  <c:y val="-5.4565835520559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F6-4075-8707-B4BEAFD64250}"/>
                </c:ext>
              </c:extLst>
            </c:dLbl>
            <c:dLbl>
              <c:idx val="5"/>
              <c:layout>
                <c:manualLayout>
                  <c:x val="-4.6756511205330101E-2"/>
                  <c:y val="3.57119422572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F6-4075-8707-B4BEAFD64250}"/>
                </c:ext>
              </c:extLst>
            </c:dLbl>
            <c:dLbl>
              <c:idx val="7"/>
              <c:layout>
                <c:manualLayout>
                  <c:x val="-2.5275792449020888E-2"/>
                  <c:y val="-5.8038057742782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F6-4075-8707-B4BEAFD64250}"/>
                </c:ext>
              </c:extLst>
            </c:dLbl>
            <c:dLbl>
              <c:idx val="8"/>
              <c:layout>
                <c:manualLayout>
                  <c:x val="-4.048717948717958E-2"/>
                  <c:y val="-7.5399168853893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F6-4075-8707-B4BEAFD642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'G08'!$A$3:$A$20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2018F</c:v>
                </c:pt>
                <c:pt idx="15">
                  <c:v>2019F</c:v>
                </c:pt>
                <c:pt idx="16">
                  <c:v>2020F</c:v>
                </c:pt>
                <c:pt idx="17">
                  <c:v>2021F</c:v>
                </c:pt>
              </c:strCache>
            </c:strRef>
          </c:cat>
          <c:val>
            <c:numRef>
              <c:f>'G08'!$B$3:$B$20</c:f>
              <c:numCache>
                <c:formatCode>0.0</c:formatCode>
                <c:ptCount val="18"/>
                <c:pt idx="0">
                  <c:v>11.094910094247123</c:v>
                </c:pt>
                <c:pt idx="1">
                  <c:v>7.4762815857687466</c:v>
                </c:pt>
                <c:pt idx="2">
                  <c:v>10.984835814234279</c:v>
                </c:pt>
                <c:pt idx="3">
                  <c:v>9.2713602508439141</c:v>
                </c:pt>
                <c:pt idx="4">
                  <c:v>2.7121530746898843</c:v>
                </c:pt>
                <c:pt idx="5">
                  <c:v>-11.992619979642399</c:v>
                </c:pt>
                <c:pt idx="6">
                  <c:v>12.896510048877403</c:v>
                </c:pt>
                <c:pt idx="7">
                  <c:v>6.648201568239763</c:v>
                </c:pt>
                <c:pt idx="8">
                  <c:v>0.42396165070968522</c:v>
                </c:pt>
                <c:pt idx="9">
                  <c:v>2.4502193729025645</c:v>
                </c:pt>
                <c:pt idx="10">
                  <c:v>5.2531010956625188</c:v>
                </c:pt>
                <c:pt idx="11">
                  <c:v>4.9662020947939638</c:v>
                </c:pt>
                <c:pt idx="12">
                  <c:v>3.7134809856847339</c:v>
                </c:pt>
                <c:pt idx="13">
                  <c:v>5.9416593637114419</c:v>
                </c:pt>
                <c:pt idx="14">
                  <c:v>4.7391058881055255</c:v>
                </c:pt>
                <c:pt idx="15">
                  <c:v>4.8655440692775462</c:v>
                </c:pt>
                <c:pt idx="16">
                  <c:v>4.5445615536316808</c:v>
                </c:pt>
                <c:pt idx="17">
                  <c:v>4.2841671436678181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F6-4075-8707-B4BEAFD6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"/>
        <c:noMultiLvlLbl val="0"/>
      </c:catAx>
      <c:valAx>
        <c:axId val="9481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en-US"/>
                  <a:t>príspevky v p.b.</a:t>
                </a:r>
              </a:p>
            </c:rich>
          </c:tx>
          <c:layout>
            <c:manualLayout>
              <c:xMode val="edge"/>
              <c:yMode val="edge"/>
              <c:x val="9.2307692307692313E-2"/>
              <c:y val="0.581178094925634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75000"/>
              </a:sysClr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948161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876075105996366"/>
          <c:y val="0.58037510936132986"/>
          <c:w val="0.44602826569755694"/>
          <c:h val="0.2465646872265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98952991452992"/>
          <c:y val="3.841750841750842E-2"/>
          <c:w val="0.85848888888888886"/>
          <c:h val="0.8490533950617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'G09'!$A$3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  <a:prstDash val="sysDash"/>
            </a:ln>
            <a:effectLst/>
          </c:spPr>
          <c:invertIfNegative val="0"/>
          <c:cat>
            <c:numRef>
              <c:f>'G09'!$B$2:$I$2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'G09'!$B$3:$I$3</c:f>
              <c:numCache>
                <c:formatCode>0.0</c:formatCode>
                <c:ptCount val="8"/>
                <c:pt idx="0">
                  <c:v>-1.218</c:v>
                </c:pt>
                <c:pt idx="1">
                  <c:v>-0.221</c:v>
                </c:pt>
                <c:pt idx="2">
                  <c:v>0.31</c:v>
                </c:pt>
                <c:pt idx="3">
                  <c:v>0.623</c:v>
                </c:pt>
                <c:pt idx="4">
                  <c:v>0.66100000000000003</c:v>
                </c:pt>
                <c:pt idx="5">
                  <c:v>0.64100000000000001</c:v>
                </c:pt>
                <c:pt idx="6">
                  <c:v>0.53200000000000003</c:v>
                </c:pt>
                <c:pt idx="7">
                  <c:v>0.41399999999999998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F-4B06-AE1C-1D23582DDBCB}"/>
            </c:ext>
          </c:extLst>
        </c:ser>
        <c:ser>
          <c:idx val="1"/>
          <c:order val="1"/>
          <c:tx>
            <c:strRef>
              <c:f>'G09'!$A$4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22225">
              <a:noFill/>
              <a:prstDash val="dash"/>
            </a:ln>
            <a:effectLst/>
          </c:spPr>
          <c:invertIfNegative val="0"/>
          <c:cat>
            <c:numRef>
              <c:f>'G09'!$B$2:$I$2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'G09'!$B$4:$I$4</c:f>
              <c:numCache>
                <c:formatCode>0.0</c:formatCode>
                <c:ptCount val="8"/>
                <c:pt idx="0">
                  <c:v>-0.16700000000000001</c:v>
                </c:pt>
                <c:pt idx="1">
                  <c:v>0.23300000000000001</c:v>
                </c:pt>
                <c:pt idx="2">
                  <c:v>1.095</c:v>
                </c:pt>
                <c:pt idx="3">
                  <c:v>1.607</c:v>
                </c:pt>
                <c:pt idx="4">
                  <c:v>1.5189999999999999</c:v>
                </c:pt>
                <c:pt idx="5">
                  <c:v>1.4450000000000001</c:v>
                </c:pt>
                <c:pt idx="6">
                  <c:v>1.202</c:v>
                </c:pt>
                <c:pt idx="7">
                  <c:v>0.874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F-4B06-AE1C-1D23582DDBCB}"/>
            </c:ext>
          </c:extLst>
        </c:ser>
        <c:ser>
          <c:idx val="2"/>
          <c:order val="2"/>
          <c:tx>
            <c:strRef>
              <c:f>'G09'!$A$5</c:f>
              <c:strCache>
                <c:ptCount val="1"/>
                <c:pt idx="0">
                  <c:v>Nemecko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2225">
              <a:noFill/>
              <a:prstDash val="solid"/>
            </a:ln>
            <a:effectLst/>
          </c:spPr>
          <c:invertIfNegative val="0"/>
          <c:cat>
            <c:numRef>
              <c:f>'G09'!$B$2:$I$2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'G09'!$B$5:$I$5</c:f>
              <c:numCache>
                <c:formatCode>0.0</c:formatCode>
                <c:ptCount val="8"/>
                <c:pt idx="0">
                  <c:v>0.2</c:v>
                </c:pt>
                <c:pt idx="1">
                  <c:v>0.9</c:v>
                </c:pt>
                <c:pt idx="2">
                  <c:v>1.2</c:v>
                </c:pt>
                <c:pt idx="3">
                  <c:v>1.42</c:v>
                </c:pt>
                <c:pt idx="4">
                  <c:v>1.27</c:v>
                </c:pt>
                <c:pt idx="5">
                  <c:v>1.17</c:v>
                </c:pt>
                <c:pt idx="6">
                  <c:v>0.91</c:v>
                </c:pt>
                <c:pt idx="7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F-4B06-AE1C-1D23582DD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98656"/>
        <c:axId val="967199216"/>
      </c:barChart>
      <c:lineChart>
        <c:grouping val="standard"/>
        <c:varyColors val="0"/>
        <c:ser>
          <c:idx val="3"/>
          <c:order val="3"/>
          <c:tx>
            <c:strRef>
              <c:f>'G09'!$A$6</c:f>
              <c:strCache>
                <c:ptCount val="1"/>
                <c:pt idx="0">
                  <c:v>Slovensko (VpMP)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'G09'!$B$2:$I$2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'G09'!$B$6:$I$6</c:f>
              <c:numCache>
                <c:formatCode>0.0</c:formatCode>
                <c:ptCount val="8"/>
                <c:pt idx="0">
                  <c:v>-0.11443656117859048</c:v>
                </c:pt>
                <c:pt idx="1">
                  <c:v>0.13851173470652545</c:v>
                </c:pt>
                <c:pt idx="2">
                  <c:v>0.55284119144566346</c:v>
                </c:pt>
                <c:pt idx="3">
                  <c:v>1.2066913895963918</c:v>
                </c:pt>
                <c:pt idx="4">
                  <c:v>1.2809644075061895</c:v>
                </c:pt>
                <c:pt idx="5">
                  <c:v>1.2345563159508914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38F-4B06-AE1C-1D23582DDBCB}"/>
            </c:ext>
          </c:extLst>
        </c:ser>
        <c:ser>
          <c:idx val="6"/>
          <c:order val="4"/>
          <c:tx>
            <c:strRef>
              <c:f>'G09'!$A$7</c:f>
              <c:strCache>
                <c:ptCount val="1"/>
                <c:pt idx="0">
                  <c:v>Slovensko (KRRZ)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'G09'!$B$2:$I$2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'G09'!$B$7:$I$7</c:f>
              <c:numCache>
                <c:formatCode>0.0</c:formatCode>
                <c:ptCount val="8"/>
                <c:pt idx="0">
                  <c:v>-0.42700494614284423</c:v>
                </c:pt>
                <c:pt idx="1">
                  <c:v>-0.21541473656678534</c:v>
                </c:pt>
                <c:pt idx="2">
                  <c:v>0.68603339519437156</c:v>
                </c:pt>
                <c:pt idx="3">
                  <c:v>1.1234505034013296</c:v>
                </c:pt>
                <c:pt idx="4">
                  <c:v>1.6170572016409608</c:v>
                </c:pt>
                <c:pt idx="5">
                  <c:v>1.3846824549169412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38F-4B06-AE1C-1D23582DD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98656"/>
        <c:axId val="967199216"/>
      </c:lineChart>
      <c:catAx>
        <c:axId val="9671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967199216"/>
        <c:crosses val="autoZero"/>
        <c:auto val="1"/>
        <c:lblAlgn val="ctr"/>
        <c:lblOffset val="100"/>
        <c:tickLblSkip val="1"/>
        <c:noMultiLvlLbl val="0"/>
      </c:catAx>
      <c:valAx>
        <c:axId val="9671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/>
                  <a:t>%</a:t>
                </a:r>
              </a:p>
            </c:rich>
          </c:tx>
          <c:layout>
            <c:manualLayout>
              <c:xMode val="edge"/>
              <c:yMode val="edge"/>
              <c:x val="0.10583333333333332"/>
              <c:y val="4.57746913580246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96719865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826025641025644"/>
          <c:y val="0.5200848765432099"/>
          <c:w val="0.4162260683760684"/>
          <c:h val="0.37439197530864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42426494972043E-2"/>
          <c:y val="5.3951293237252285E-2"/>
          <c:w val="0.88879005269068534"/>
          <c:h val="0.6774315008791035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'G10'!$A$4</c:f>
              <c:strCache>
                <c:ptCount val="1"/>
                <c:pt idx="0">
                  <c:v>Fixné investície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cat>
            <c:numRef>
              <c:f>'G10'!$B$2:$H$2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'G10'!$B$4:$H$4</c:f>
              <c:numCache>
                <c:formatCode>0.0%</c:formatCode>
                <c:ptCount val="7"/>
                <c:pt idx="0">
                  <c:v>4.6365446935375899E-2</c:v>
                </c:pt>
                <c:pt idx="1">
                  <c:v>-2.3224536871118855E-2</c:v>
                </c:pt>
                <c:pt idx="2">
                  <c:v>7.4319141380761256E-3</c:v>
                </c:pt>
                <c:pt idx="3">
                  <c:v>2.0707320065827713E-2</c:v>
                </c:pt>
                <c:pt idx="4">
                  <c:v>7.0397639075956845E-3</c:v>
                </c:pt>
                <c:pt idx="5">
                  <c:v>6.7959105934527189E-3</c:v>
                </c:pt>
                <c:pt idx="6">
                  <c:v>6.6810708551263568E-3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7-4F68-AC95-D60187D37210}"/>
            </c:ext>
          </c:extLst>
        </c:ser>
        <c:ser>
          <c:idx val="4"/>
          <c:order val="2"/>
          <c:tx>
            <c:strRef>
              <c:f>'G10'!$A$5</c:f>
              <c:strCache>
                <c:ptCount val="1"/>
                <c:pt idx="0">
                  <c:v>Čistý export</c:v>
                </c:pt>
              </c:strCache>
            </c:strRef>
          </c:tx>
          <c:spPr>
            <a:solidFill>
              <a:srgbClr val="00B0F0"/>
            </a:solidFill>
            <a:ln w="12700">
              <a:noFill/>
              <a:prstDash val="dash"/>
            </a:ln>
            <a:effectLst/>
          </c:spPr>
          <c:invertIfNegative val="0"/>
          <c:cat>
            <c:numRef>
              <c:f>'G10'!$B$2:$H$2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'G10'!$B$5:$H$5</c:f>
              <c:numCache>
                <c:formatCode>0.0%</c:formatCode>
                <c:ptCount val="7"/>
                <c:pt idx="0">
                  <c:v>-1.4762762648608527E-2</c:v>
                </c:pt>
                <c:pt idx="1">
                  <c:v>2.1742785093863751E-2</c:v>
                </c:pt>
                <c:pt idx="2">
                  <c:v>9.2200723603815642E-3</c:v>
                </c:pt>
                <c:pt idx="3">
                  <c:v>6.4495182217658258E-3</c:v>
                </c:pt>
                <c:pt idx="4">
                  <c:v>1.7333830794355624E-2</c:v>
                </c:pt>
                <c:pt idx="5">
                  <c:v>1.5186874846274932E-2</c:v>
                </c:pt>
                <c:pt idx="6">
                  <c:v>1.2424721366319247E-2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7-4F68-AC95-D60187D37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100"/>
        <c:axId val="591578968"/>
        <c:axId val="591579752"/>
      </c:barChart>
      <c:lineChart>
        <c:grouping val="standard"/>
        <c:varyColors val="0"/>
        <c:ser>
          <c:idx val="0"/>
          <c:order val="0"/>
          <c:tx>
            <c:strRef>
              <c:f>'G10'!$A$3</c:f>
              <c:strCache>
                <c:ptCount val="1"/>
                <c:pt idx="0">
                  <c:v>rast HDP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'G10'!$B$3:$H$3</c:f>
              <c:numCache>
                <c:formatCode>0.0%</c:formatCode>
                <c:ptCount val="7"/>
                <c:pt idx="0">
                  <c:v>4.1749538069708339E-2</c:v>
                </c:pt>
                <c:pt idx="1">
                  <c:v>3.1253624557722334E-2</c:v>
                </c:pt>
                <c:pt idx="2">
                  <c:v>3.1883556147536324E-2</c:v>
                </c:pt>
                <c:pt idx="3">
                  <c:v>4.0747365700230409E-2</c:v>
                </c:pt>
                <c:pt idx="4">
                  <c:v>4.4995126620853032E-2</c:v>
                </c:pt>
                <c:pt idx="5">
                  <c:v>3.9148883673591151E-2</c:v>
                </c:pt>
                <c:pt idx="6">
                  <c:v>3.3252780949083238E-2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37-4F68-AC95-D60187D37210}"/>
            </c:ext>
          </c:extLst>
        </c:ser>
        <c:ser>
          <c:idx val="1"/>
          <c:order val="3"/>
          <c:tx>
            <c:strRef>
              <c:f>'G10'!$A$6</c:f>
              <c:strCache>
                <c:ptCount val="1"/>
                <c:pt idx="0">
                  <c:v>rast HDP (bez JLR, VW)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6762686888469097E-2"/>
                  <c:y val="2.4062330094777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37-4F68-AC95-D60187D372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'G10'!$B$6:$H$6</c:f>
              <c:numCache>
                <c:formatCode>0.0%</c:formatCode>
                <c:ptCount val="7"/>
                <c:pt idx="0">
                  <c:v>4.1749538069708339E-2</c:v>
                </c:pt>
                <c:pt idx="1">
                  <c:v>2.8537736856035487E-2</c:v>
                </c:pt>
                <c:pt idx="2">
                  <c:v>3.1571224195573316E-2</c:v>
                </c:pt>
                <c:pt idx="3">
                  <c:v>3.5200648507352494E-2</c:v>
                </c:pt>
                <c:pt idx="4">
                  <c:v>4.0675944980987033E-2</c:v>
                </c:pt>
                <c:pt idx="5">
                  <c:v>3.4148883673591153E-2</c:v>
                </c:pt>
                <c:pt idx="6">
                  <c:v>2.9252780949083238E-2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37-4F68-AC95-D60187D37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78968"/>
        <c:axId val="591579752"/>
      </c:lineChart>
      <c:catAx>
        <c:axId val="59157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91579752"/>
        <c:crosses val="autoZero"/>
        <c:auto val="1"/>
        <c:lblAlgn val="ctr"/>
        <c:lblOffset val="0"/>
        <c:noMultiLvlLbl val="0"/>
      </c:catAx>
      <c:valAx>
        <c:axId val="59157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9157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90921877657884E-3"/>
          <c:y val="0.86693656647507089"/>
          <c:w val="0.98897082217751842"/>
          <c:h val="0.11335378102007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64068659056247E-2"/>
          <c:y val="5.3951293237252285E-2"/>
          <c:w val="0.87356358231494635"/>
          <c:h val="0.68920495765404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'G11'!$A$3</c:f>
              <c:strCache>
                <c:ptCount val="1"/>
                <c:pt idx="0">
                  <c:v>rast spotreby domácností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930171401312045E-3"/>
                  <c:y val="5.4009118675065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1-4DE0-813F-8866028CDBC0}"/>
                </c:ext>
              </c:extLst>
            </c:dLbl>
            <c:dLbl>
              <c:idx val="1"/>
              <c:layout>
                <c:manualLayout>
                  <c:x val="-2.1967741452377565E-17"/>
                  <c:y val="6.1030602914077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1-4DE0-813F-8866028CDBC0}"/>
                </c:ext>
              </c:extLst>
            </c:dLbl>
            <c:dLbl>
              <c:idx val="2"/>
              <c:layout>
                <c:manualLayout>
                  <c:x val="9.5860342802624315E-3"/>
                  <c:y val="6.5605606279329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1-4DE0-813F-8866028CDBC0}"/>
                </c:ext>
              </c:extLst>
            </c:dLbl>
            <c:dLbl>
              <c:idx val="7"/>
              <c:layout>
                <c:manualLayout>
                  <c:x val="-8.7870965809510261E-17"/>
                  <c:y val="0.145274778705607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C1-4DE0-813F-8866028CDB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'G11'!$B$2:$M$2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'G11'!$B$3:$M$3</c:f>
              <c:numCache>
                <c:formatCode>0.0%</c:formatCode>
                <c:ptCount val="12"/>
                <c:pt idx="0">
                  <c:v>4.1308181324388737E-3</c:v>
                </c:pt>
                <c:pt idx="1">
                  <c:v>-5.8011709747891604E-3</c:v>
                </c:pt>
                <c:pt idx="2">
                  <c:v>-4.1938623514099493E-3</c:v>
                </c:pt>
                <c:pt idx="3">
                  <c:v>-8.0004373177802179E-3</c:v>
                </c:pt>
                <c:pt idx="4">
                  <c:v>1.3638076977154245E-2</c:v>
                </c:pt>
                <c:pt idx="5">
                  <c:v>2.2688066928936657E-2</c:v>
                </c:pt>
                <c:pt idx="6">
                  <c:v>2.6477984866463355E-2</c:v>
                </c:pt>
                <c:pt idx="7">
                  <c:v>3.6646758781723632E-2</c:v>
                </c:pt>
                <c:pt idx="8">
                  <c:v>2.95896744030264E-2</c:v>
                </c:pt>
                <c:pt idx="9">
                  <c:v>3.2446565266949667E-2</c:v>
                </c:pt>
                <c:pt idx="10">
                  <c:v>2.8206049573037628E-2</c:v>
                </c:pt>
                <c:pt idx="11">
                  <c:v>2.4180859334398841E-2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C1-4DE0-813F-8866028CD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axId val="591578968"/>
        <c:axId val="591579752"/>
      </c:barChart>
      <c:lineChart>
        <c:grouping val="standard"/>
        <c:varyColors val="0"/>
        <c:ser>
          <c:idx val="2"/>
          <c:order val="1"/>
          <c:tx>
            <c:strRef>
              <c:f>'G11'!$A$4</c:f>
              <c:strCache>
                <c:ptCount val="1"/>
                <c:pt idx="0">
                  <c:v>rast HDP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1154611410852989E-2"/>
                  <c:y val="-7.0003063540617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C1-4DE0-813F-8866028CDBC0}"/>
                </c:ext>
              </c:extLst>
            </c:dLbl>
            <c:dLbl>
              <c:idx val="6"/>
              <c:layout>
                <c:manualLayout>
                  <c:x val="-4.7930171401313034E-3"/>
                  <c:y val="-5.894994824473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C1-4DE0-813F-8866028CDBC0}"/>
                </c:ext>
              </c:extLst>
            </c:dLbl>
            <c:dLbl>
              <c:idx val="7"/>
              <c:layout>
                <c:manualLayout>
                  <c:x val="-4.7930171401313034E-3"/>
                  <c:y val="-0.10316240942827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C1-4DE0-813F-8866028CDBC0}"/>
                </c:ext>
              </c:extLst>
            </c:dLbl>
            <c:dLbl>
              <c:idx val="8"/>
              <c:layout>
                <c:manualLayout>
                  <c:x val="-4.7930171401313034E-3"/>
                  <c:y val="-4.7896832948843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C1-4DE0-813F-8866028CDBC0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'G11'!$B$2:$M$2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'G11'!$B$4:$M$4</c:f>
              <c:numCache>
                <c:formatCode>0.0%</c:formatCode>
                <c:ptCount val="12"/>
                <c:pt idx="0">
                  <c:v>5.0417166650381873E-2</c:v>
                </c:pt>
                <c:pt idx="1">
                  <c:v>2.8190995175775502E-2</c:v>
                </c:pt>
                <c:pt idx="2">
                  <c:v>1.6571486871941321E-2</c:v>
                </c:pt>
                <c:pt idx="3">
                  <c:v>1.4906464378200868E-2</c:v>
                </c:pt>
                <c:pt idx="4">
                  <c:v>2.7503350168863516E-2</c:v>
                </c:pt>
                <c:pt idx="5">
                  <c:v>3.8501006044002306E-2</c:v>
                </c:pt>
                <c:pt idx="6">
                  <c:v>3.3246952959640197E-2</c:v>
                </c:pt>
                <c:pt idx="7">
                  <c:v>3.4001663110798441E-2</c:v>
                </c:pt>
                <c:pt idx="8">
                  <c:v>4.0747365700230409E-2</c:v>
                </c:pt>
                <c:pt idx="9">
                  <c:v>4.4995126620853032E-2</c:v>
                </c:pt>
                <c:pt idx="10">
                  <c:v>3.9148883673591151E-2</c:v>
                </c:pt>
                <c:pt idx="11">
                  <c:v>3.3252780949083238E-2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C1-4DE0-813F-8866028CD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78968"/>
        <c:axId val="591579752"/>
      </c:lineChart>
      <c:catAx>
        <c:axId val="59157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91579752"/>
        <c:crosses val="autoZero"/>
        <c:auto val="1"/>
        <c:lblAlgn val="ctr"/>
        <c:lblOffset val="0"/>
        <c:noMultiLvlLbl val="0"/>
      </c:catAx>
      <c:valAx>
        <c:axId val="591579752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9157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38034188034184E-2"/>
          <c:y val="4.831111111111111E-2"/>
          <c:w val="0.88402094017094013"/>
          <c:h val="0.85852901234567902"/>
        </c:manualLayout>
      </c:layout>
      <c:areaChart>
        <c:grouping val="stacked"/>
        <c:varyColors val="0"/>
        <c:ser>
          <c:idx val="1"/>
          <c:order val="1"/>
          <c:tx>
            <c:strRef>
              <c:f>'G12'!$A$4</c:f>
              <c:strCache>
                <c:ptCount val="1"/>
                <c:pt idx="0">
                  <c:v>Fiškálne scenáre návrhu rozpočtu (min)</c:v>
                </c:pt>
              </c:strCache>
            </c:strRef>
          </c:tx>
          <c:spPr>
            <a:solidFill>
              <a:schemeClr val="bg1">
                <a:alpha val="59000"/>
              </a:schemeClr>
            </a:solidFill>
            <a:ln>
              <a:noFill/>
            </a:ln>
            <a:effectLst/>
          </c:spPr>
          <c:cat>
            <c:numRef>
              <c:f>'G12'!$B$2:$F$2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'G12'!$B$4:$F$4</c:f>
              <c:numCache>
                <c:formatCode>0.0</c:formatCode>
                <c:ptCount val="5"/>
                <c:pt idx="0">
                  <c:v>3.1883556147536325</c:v>
                </c:pt>
                <c:pt idx="1">
                  <c:v>3.9991715489267676</c:v>
                </c:pt>
                <c:pt idx="2">
                  <c:v>4.4817584319580561</c:v>
                </c:pt>
                <c:pt idx="3">
                  <c:v>3.8166284969237267</c:v>
                </c:pt>
                <c:pt idx="4">
                  <c:v>3.3303082242669149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E-43EC-A94C-A1EBA9718E18}"/>
            </c:ext>
          </c:extLst>
        </c:ser>
        <c:ser>
          <c:idx val="2"/>
          <c:order val="2"/>
          <c:tx>
            <c:strRef>
              <c:f>'G12'!$A$5</c:f>
              <c:strCache>
                <c:ptCount val="1"/>
                <c:pt idx="0">
                  <c:v>Scenár NPC (min) a scenár po zohľadnení rizík RRZ (max)</c:v>
                </c:pt>
              </c:strCache>
            </c:strRef>
          </c:tx>
          <c:spPr>
            <a:solidFill>
              <a:srgbClr val="FF0000"/>
            </a:solidFill>
            <a:ln w="63500" cap="flat">
              <a:noFill/>
              <a:bevel/>
            </a:ln>
            <a:effectLst/>
          </c:spPr>
          <c:cat>
            <c:numRef>
              <c:f>'G12'!$B$2:$F$2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'G12'!$B$5:$F$5</c:f>
              <c:numCache>
                <c:formatCode>0.0</c:formatCode>
                <c:ptCount val="5"/>
                <c:pt idx="0">
                  <c:v>0</c:v>
                </c:pt>
                <c:pt idx="1">
                  <c:v>8.3566210692595178E-2</c:v>
                </c:pt>
                <c:pt idx="2">
                  <c:v>0.22596572672715354</c:v>
                </c:pt>
                <c:pt idx="3">
                  <c:v>0.4421045593875732</c:v>
                </c:pt>
                <c:pt idx="4">
                  <c:v>-0.17835493162374405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E-43EC-A94C-A1EBA9718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654336"/>
        <c:axId val="796659328"/>
      </c:areaChart>
      <c:lineChart>
        <c:grouping val="standard"/>
        <c:varyColors val="0"/>
        <c:ser>
          <c:idx val="0"/>
          <c:order val="0"/>
          <c:tx>
            <c:strRef>
              <c:f>'G12'!$A$3</c:f>
              <c:strCache>
                <c:ptCount val="1"/>
                <c:pt idx="0">
                  <c:v>Oficiálna prognóza VpMP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'G12'!$B$2:$F$2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'G12'!$B$3:$F$3</c:f>
              <c:numCache>
                <c:formatCode>0.0</c:formatCode>
                <c:ptCount val="5"/>
                <c:pt idx="0">
                  <c:v>3.1883556147536325</c:v>
                </c:pt>
                <c:pt idx="1">
                  <c:v>4.0747365700230409</c:v>
                </c:pt>
                <c:pt idx="2">
                  <c:v>4.4995126620853032</c:v>
                </c:pt>
                <c:pt idx="3">
                  <c:v>3.9148883673591151</c:v>
                </c:pt>
                <c:pt idx="4">
                  <c:v>3.3252780949083238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CE-43EC-A94C-A1EBA9718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54336"/>
        <c:axId val="796659328"/>
      </c:lineChart>
      <c:catAx>
        <c:axId val="7966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796659328"/>
        <c:crosses val="autoZero"/>
        <c:auto val="1"/>
        <c:lblAlgn val="ctr"/>
        <c:lblOffset val="100"/>
        <c:noMultiLvlLbl val="0"/>
      </c:catAx>
      <c:valAx>
        <c:axId val="79665932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79665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7.9644677628736782E-2"/>
          <c:y val="0.6831126212369053"/>
          <c:w val="0.90922290473082767"/>
          <c:h val="0.15178426152629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>
              <a:lumMod val="50000"/>
              <a:lumOff val="50000"/>
            </a:schemeClr>
          </a:solidFill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723286645842E-2"/>
          <c:y val="5.1848762501450582E-2"/>
          <c:w val="0.91332767133541581"/>
          <c:h val="0.83628717736976976"/>
        </c:manualLayout>
      </c:layout>
      <c:lineChart>
        <c:grouping val="standard"/>
        <c:varyColors val="0"/>
        <c:ser>
          <c:idx val="0"/>
          <c:order val="0"/>
          <c:tx>
            <c:strRef>
              <c:f>'G13'!$B$2</c:f>
              <c:strCache>
                <c:ptCount val="1"/>
                <c:pt idx="0">
                  <c:v>prognóza VpMP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'G13'!$A$3:$A$7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'G13'!$B$3:$B$7</c:f>
              <c:numCache>
                <c:formatCode>0.0</c:formatCode>
                <c:ptCount val="5"/>
                <c:pt idx="0">
                  <c:v>-1.256668888828183</c:v>
                </c:pt>
                <c:pt idx="1">
                  <c:v>11.98999999999999</c:v>
                </c:pt>
                <c:pt idx="2">
                  <c:v>6.6800000000000193</c:v>
                </c:pt>
                <c:pt idx="3">
                  <c:v>6.3599999999999879</c:v>
                </c:pt>
                <c:pt idx="4">
                  <c:v>7.8500000000000014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3-4BA7-A7FC-FA6E632FCFEA}"/>
            </c:ext>
          </c:extLst>
        </c:ser>
        <c:ser>
          <c:idx val="3"/>
          <c:order val="1"/>
          <c:tx>
            <c:strRef>
              <c:f>'G13'!$C$2</c:f>
              <c:strCache>
                <c:ptCount val="1"/>
                <c:pt idx="0">
                  <c:v>Scenár po zohľadnení rizík a dodatočných opatrení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'G13'!$A$3:$A$7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'G13'!$C$3:$C$7</c:f>
              <c:numCache>
                <c:formatCode>0.0</c:formatCode>
                <c:ptCount val="5"/>
                <c:pt idx="0">
                  <c:v>3.8244639518691503</c:v>
                </c:pt>
                <c:pt idx="1">
                  <c:v>15.041560661579091</c:v>
                </c:pt>
                <c:pt idx="2">
                  <c:v>-4.0390265038149797</c:v>
                </c:pt>
                <c:pt idx="3">
                  <c:v>-3.0788844264183379</c:v>
                </c:pt>
                <c:pt idx="4">
                  <c:v>6.100842526857253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3-4BA7-A7FC-FA6E632FC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654336"/>
        <c:axId val="796659328"/>
      </c:lineChart>
      <c:catAx>
        <c:axId val="7966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796659328"/>
        <c:crosses val="autoZero"/>
        <c:auto val="1"/>
        <c:lblAlgn val="ctr"/>
        <c:lblOffset val="100"/>
        <c:noMultiLvlLbl val="0"/>
      </c:catAx>
      <c:valAx>
        <c:axId val="79665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en-US"/>
                  <a:t>rast v %</a:t>
                </a:r>
              </a:p>
            </c:rich>
          </c:tx>
          <c:layout>
            <c:manualLayout>
              <c:xMode val="edge"/>
              <c:yMode val="edge"/>
              <c:x val="7.3764125005398085E-2"/>
              <c:y val="6.15735911404554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79665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46987179487184"/>
          <c:y val="6.8159876543209888E-2"/>
          <c:w val="0.42876303418803413"/>
          <c:h val="0.3358283950617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90224335165649E-2"/>
          <c:y val="0.1553994750656168"/>
          <c:w val="0.90742361214282174"/>
          <c:h val="0.81530708661417328"/>
        </c:manualLayout>
      </c:layout>
      <c:lineChart>
        <c:grouping val="standard"/>
        <c:varyColors val="0"/>
        <c:ser>
          <c:idx val="0"/>
          <c:order val="0"/>
          <c:tx>
            <c:strRef>
              <c:f>'G01'!$A$3</c:f>
              <c:strCache>
                <c:ptCount val="1"/>
                <c:pt idx="0">
                  <c:v>NRVS 2019-2021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4905660377358486E-2"/>
                  <c:y val="5.46448087431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03-4C2A-B986-1132EA904083}"/>
                </c:ext>
              </c:extLst>
            </c:dLbl>
            <c:dLbl>
              <c:idx val="1"/>
              <c:layout>
                <c:manualLayout>
                  <c:x val="-6.2893081761006865E-3"/>
                  <c:y val="3.278688524590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3-4C2A-B986-1132EA904083}"/>
                </c:ext>
              </c:extLst>
            </c:dLbl>
            <c:dLbl>
              <c:idx val="2"/>
              <c:layout>
                <c:manualLayout>
                  <c:x val="-1.2578616352201259E-2"/>
                  <c:y val="-3.825136612021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3-4C2A-B986-1132EA904083}"/>
                </c:ext>
              </c:extLst>
            </c:dLbl>
            <c:dLbl>
              <c:idx val="3"/>
              <c:layout>
                <c:manualLayout>
                  <c:x val="-1.572314663497263E-2"/>
                  <c:y val="-1.092874661159158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7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638488585153252E-2"/>
                      <c:h val="0.125601308033217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E03-4C2A-B986-1132EA90408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'G01'!$B$3:$E$3</c:f>
              <c:numCache>
                <c:formatCode>0.00</c:formatCode>
                <c:ptCount val="4"/>
                <c:pt idx="0">
                  <c:v>-0.6</c:v>
                </c:pt>
                <c:pt idx="1">
                  <c:v>-0.1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03-4C2A-B986-1132EA904083}"/>
            </c:ext>
          </c:extLst>
        </c:ser>
        <c:ser>
          <c:idx val="2"/>
          <c:order val="1"/>
          <c:tx>
            <c:strRef>
              <c:f>'G01'!$A$4</c:f>
              <c:strCache>
                <c:ptCount val="1"/>
                <c:pt idx="0">
                  <c:v>NPC (MF SR)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9525">
                <a:solidFill>
                  <a:srgbClr val="58595B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2578616352201316E-2"/>
                  <c:y val="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03-4C2A-B986-1132EA904083}"/>
                </c:ext>
              </c:extLst>
            </c:dLbl>
            <c:dLbl>
              <c:idx val="2"/>
              <c:layout>
                <c:manualLayout>
                  <c:x val="-9.433962264150943E-3"/>
                  <c:y val="1.092896174863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03-4C2A-B986-1132EA904083}"/>
                </c:ext>
              </c:extLst>
            </c:dLbl>
            <c:dLbl>
              <c:idx val="3"/>
              <c:layout>
                <c:manualLayout>
                  <c:x val="-2.20125786163522E-2"/>
                  <c:y val="5.4644808743169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03-4C2A-B986-1132EA90408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'G01'!$B$4:$E$4</c:f>
              <c:numCache>
                <c:formatCode>0.00</c:formatCode>
                <c:ptCount val="4"/>
                <c:pt idx="0">
                  <c:v>-0.6</c:v>
                </c:pt>
                <c:pt idx="1">
                  <c:v>0.1471857559460048</c:v>
                </c:pt>
                <c:pt idx="2">
                  <c:v>0.44348611808190697</c:v>
                </c:pt>
                <c:pt idx="3">
                  <c:v>0.75281108869477009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03-4C2A-B986-1132EA904083}"/>
            </c:ext>
          </c:extLst>
        </c:ser>
        <c:ser>
          <c:idx val="4"/>
          <c:order val="2"/>
          <c:tx>
            <c:strRef>
              <c:f>'G01'!$A$5</c:f>
              <c:strCache>
                <c:ptCount val="1"/>
                <c:pt idx="0">
                  <c:v>NPC (príjmové opatrenia)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9525">
                <a:solidFill>
                  <a:srgbClr val="DCB47B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91194968553486E-2"/>
                  <c:y val="4.3715846994535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03-4C2A-B986-1132EA904083}"/>
                </c:ext>
              </c:extLst>
            </c:dLbl>
            <c:dLbl>
              <c:idx val="1"/>
              <c:layout>
                <c:manualLayout>
                  <c:x val="-1.25786163522012E-2"/>
                  <c:y val="4.9180327868852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03-4C2A-B986-1132EA904083}"/>
                </c:ext>
              </c:extLst>
            </c:dLbl>
            <c:dLbl>
              <c:idx val="2"/>
              <c:layout>
                <c:manualLayout>
                  <c:x val="-4.40251572327044E-2"/>
                  <c:y val="5.464480874316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03-4C2A-B986-1132EA904083}"/>
                </c:ext>
              </c:extLst>
            </c:dLbl>
            <c:dLbl>
              <c:idx val="3"/>
              <c:layout>
                <c:manualLayout>
                  <c:x val="-1.2578616352201259E-2"/>
                  <c:y val="7.65027322404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03-4C2A-B986-1132EA90408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'G01'!$B$5:$E$5</c:f>
              <c:numCache>
                <c:formatCode>0.00</c:formatCode>
                <c:ptCount val="4"/>
                <c:pt idx="0">
                  <c:v>-0.6</c:v>
                </c:pt>
                <c:pt idx="1">
                  <c:v>0.80603822026664584</c:v>
                </c:pt>
                <c:pt idx="2">
                  <c:v>1.0599210204454232</c:v>
                </c:pt>
                <c:pt idx="3">
                  <c:v>1.3431946964379762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03-4C2A-B986-1132EA904083}"/>
            </c:ext>
          </c:extLst>
        </c:ser>
        <c:ser>
          <c:idx val="3"/>
          <c:order val="3"/>
          <c:tx>
            <c:strRef>
              <c:f>'G01'!$A$6</c:f>
              <c:strCache>
                <c:ptCount val="1"/>
                <c:pt idx="0">
                  <c:v>NPC (výdavková opatrenia)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0062893081761008"/>
                  <c:y val="-3.8251366120218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03-4C2A-B986-1132EA904083}"/>
                </c:ext>
              </c:extLst>
            </c:dLbl>
            <c:dLbl>
              <c:idx val="1"/>
              <c:layout>
                <c:manualLayout>
                  <c:x val="-4.0880503144654148E-2"/>
                  <c:y val="-5.4644808743169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03-4C2A-B986-1132EA904083}"/>
                </c:ext>
              </c:extLst>
            </c:dLbl>
            <c:dLbl>
              <c:idx val="2"/>
              <c:layout>
                <c:manualLayout>
                  <c:x val="-6.6037735849056603E-2"/>
                  <c:y val="-7.1038251366120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03-4C2A-B986-1132EA90408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'G01'!$B$6:$E$6</c:f>
              <c:numCache>
                <c:formatCode>0.00</c:formatCode>
                <c:ptCount val="4"/>
                <c:pt idx="0">
                  <c:v>-0.6</c:v>
                </c:pt>
                <c:pt idx="1">
                  <c:v>-0.75901039840918927</c:v>
                </c:pt>
                <c:pt idx="2">
                  <c:v>-0.6164349023635145</c:v>
                </c:pt>
                <c:pt idx="3">
                  <c:v>-0.39006676571422072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E03-4C2A-B986-1132EA904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810808"/>
        <c:axId val="457811200"/>
      </c:lineChart>
      <c:catAx>
        <c:axId val="45781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11200"/>
        <c:crosses val="autoZero"/>
        <c:auto val="1"/>
        <c:lblAlgn val="ctr"/>
        <c:lblOffset val="100"/>
        <c:noMultiLvlLbl val="0"/>
      </c:catAx>
      <c:valAx>
        <c:axId val="45781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1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798494527806655E-2"/>
          <c:y val="0.14549115786756167"/>
          <c:w val="0.44089709305204777"/>
          <c:h val="0.22609354158599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64245850755743E-2"/>
          <c:y val="5.1790047784643869E-2"/>
          <c:w val="0.90160534188034169"/>
          <c:h val="0.81902623456790125"/>
        </c:manualLayout>
      </c:layout>
      <c:areaChart>
        <c:grouping val="standard"/>
        <c:varyColors val="0"/>
        <c:ser>
          <c:idx val="2"/>
          <c:order val="1"/>
          <c:tx>
            <c:strRef>
              <c:f>'G14'!$A$5</c:f>
              <c:strCache>
                <c:ptCount val="1"/>
                <c:pt idx="0">
                  <c:v>50% členov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cat>
            <c:numRef>
              <c:f>'G14'!$B$2:$J$2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'G14'!$B$5:$J$5</c:f>
              <c:numCache>
                <c:formatCode>0.0</c:formatCode>
                <c:ptCount val="9"/>
                <c:pt idx="0">
                  <c:v>3.7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0.25</c:v>
                </c:pt>
                <c:pt idx="5">
                  <c:v>1</c:v>
                </c:pt>
                <c:pt idx="6">
                  <c:v>2</c:v>
                </c:pt>
                <c:pt idx="7">
                  <c:v>2.1</c:v>
                </c:pt>
                <c:pt idx="8">
                  <c:v>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4-4431-8476-C4B6E6D8CD8C}"/>
            </c:ext>
          </c:extLst>
        </c:ser>
        <c:ser>
          <c:idx val="1"/>
          <c:order val="2"/>
          <c:tx>
            <c:strRef>
              <c:f>'G14'!$A$4</c:f>
              <c:strCache>
                <c:ptCount val="1"/>
                <c:pt idx="0">
                  <c:v>dol.percentil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'G14'!$B$2:$J$2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'G14'!$B$4:$J$4</c:f>
              <c:numCache>
                <c:formatCode>0.0</c:formatCode>
                <c:ptCount val="9"/>
                <c:pt idx="0">
                  <c:v>2.8977136329066679</c:v>
                </c:pt>
                <c:pt idx="1">
                  <c:v>-2.6965865062921699</c:v>
                </c:pt>
                <c:pt idx="2">
                  <c:v>0</c:v>
                </c:pt>
                <c:pt idx="3">
                  <c:v>-1.5</c:v>
                </c:pt>
                <c:pt idx="4">
                  <c:v>-0.5</c:v>
                </c:pt>
                <c:pt idx="5">
                  <c:v>0</c:v>
                </c:pt>
                <c:pt idx="6">
                  <c:v>1.25</c:v>
                </c:pt>
                <c:pt idx="7">
                  <c:v>1.7</c:v>
                </c:pt>
                <c:pt idx="8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4-4431-8476-C4B6E6D8C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446896"/>
        <c:axId val="1"/>
      </c:areaChart>
      <c:lineChart>
        <c:grouping val="standard"/>
        <c:varyColors val="0"/>
        <c:ser>
          <c:idx val="0"/>
          <c:order val="0"/>
          <c:tx>
            <c:strRef>
              <c:f>'G14'!$A$3</c:f>
              <c:strCache>
                <c:ptCount val="1"/>
                <c:pt idx="0">
                  <c:v>medián členov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'G14'!$B$2:$J$2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'G14'!$B$3:$J$3</c:f>
              <c:numCache>
                <c:formatCode>0.0</c:formatCode>
                <c:ptCount val="9"/>
                <c:pt idx="0">
                  <c:v>3.499999999999992</c:v>
                </c:pt>
                <c:pt idx="1">
                  <c:v>-1.4500000000000002</c:v>
                </c:pt>
                <c:pt idx="2">
                  <c:v>0.4</c:v>
                </c:pt>
                <c:pt idx="3">
                  <c:v>-0.7</c:v>
                </c:pt>
                <c:pt idx="4">
                  <c:v>-0.42510873324638965</c:v>
                </c:pt>
                <c:pt idx="5">
                  <c:v>0</c:v>
                </c:pt>
                <c:pt idx="6">
                  <c:v>1.5</c:v>
                </c:pt>
                <c:pt idx="7">
                  <c:v>1.9</c:v>
                </c:pt>
                <c:pt idx="8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4-4431-8476-C4B6E6D8CD8C}"/>
            </c:ext>
          </c:extLst>
        </c:ser>
        <c:ser>
          <c:idx val="3"/>
          <c:order val="3"/>
          <c:tx>
            <c:strRef>
              <c:f>'G14'!$A$6</c:f>
              <c:strCache>
                <c:ptCount val="1"/>
                <c:pt idx="0">
                  <c:v>VpMP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'G14'!$B$2:$J$2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'G14'!$B$6:$J$6</c:f>
              <c:numCache>
                <c:formatCode>0.0</c:formatCode>
                <c:ptCount val="9"/>
                <c:pt idx="0">
                  <c:v>2.4</c:v>
                </c:pt>
                <c:pt idx="1">
                  <c:v>-6.3</c:v>
                </c:pt>
                <c:pt idx="2">
                  <c:v>-0.1</c:v>
                </c:pt>
                <c:pt idx="3">
                  <c:v>0.1</c:v>
                </c:pt>
                <c:pt idx="4">
                  <c:v>-1.2117174022520105</c:v>
                </c:pt>
                <c:pt idx="5">
                  <c:v>-3.8462206595765935</c:v>
                </c:pt>
                <c:pt idx="6">
                  <c:v>-0.6714173834616588</c:v>
                </c:pt>
                <c:pt idx="7">
                  <c:v>1.702198713489711</c:v>
                </c:pt>
                <c:pt idx="8">
                  <c:v>1.3413629540656835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84-4431-8476-C4B6E6D8CD8C}"/>
            </c:ext>
          </c:extLst>
        </c:ser>
        <c:ser>
          <c:idx val="4"/>
          <c:order val="4"/>
          <c:tx>
            <c:strRef>
              <c:f>'G14'!$A$7</c:f>
              <c:strCache>
                <c:ptCount val="1"/>
                <c:pt idx="0">
                  <c:v>skutočnosť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cat>
            <c:numRef>
              <c:f>'G14'!$B$2:$J$2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'G14'!$B$7:$J$7</c:f>
              <c:numCache>
                <c:formatCode>0.0</c:formatCode>
                <c:ptCount val="9"/>
                <c:pt idx="0">
                  <c:v>1.6504489005967287</c:v>
                </c:pt>
                <c:pt idx="1">
                  <c:v>-1.7588926833691119</c:v>
                </c:pt>
                <c:pt idx="2">
                  <c:v>-2.143384501799602</c:v>
                </c:pt>
                <c:pt idx="3">
                  <c:v>2.163610785831608</c:v>
                </c:pt>
                <c:pt idx="4">
                  <c:v>5.1756234903149476</c:v>
                </c:pt>
                <c:pt idx="5">
                  <c:v>5.4299966355085445</c:v>
                </c:pt>
                <c:pt idx="6">
                  <c:v>1.6060105726138687</c:v>
                </c:pt>
                <c:pt idx="7">
                  <c:v>1.7212773366288587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84-4431-8476-C4B6E6D8C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446896"/>
        <c:axId val="1"/>
      </c:lineChart>
      <c:catAx>
        <c:axId val="96444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96444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4196329244767397"/>
          <c:y val="1.3357797084784389E-2"/>
          <c:w val="0.7695311296111853"/>
          <c:h val="0.12207396802672393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582499020201645E-2"/>
          <c:y val="3.897083333333333E-2"/>
          <c:w val="0.83882637973420748"/>
          <c:h val="0.84675833333333328"/>
        </c:manualLayout>
      </c:layout>
      <c:areaChart>
        <c:grouping val="stacked"/>
        <c:varyColors val="0"/>
        <c:ser>
          <c:idx val="0"/>
          <c:order val="0"/>
          <c:tx>
            <c:strRef>
              <c:f>'G15'!$B$2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'G15'!$B$3:$B$8</c:f>
              <c:numCache>
                <c:formatCode>0.00</c:formatCode>
                <c:ptCount val="6"/>
                <c:pt idx="0">
                  <c:v>3.1253624557722333</c:v>
                </c:pt>
                <c:pt idx="1">
                  <c:v>3.1883556147536325</c:v>
                </c:pt>
                <c:pt idx="2">
                  <c:v>3.2610190941817789</c:v>
                </c:pt>
                <c:pt idx="3">
                  <c:v>2.8437232234124545</c:v>
                </c:pt>
                <c:pt idx="4">
                  <c:v>2.1266839258610073</c:v>
                </c:pt>
                <c:pt idx="5">
                  <c:v>0.68682913507462473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F-474B-8F36-E1428A1BADCF}"/>
            </c:ext>
          </c:extLst>
        </c:ser>
        <c:ser>
          <c:idx val="6"/>
          <c:order val="1"/>
          <c:tx>
            <c:strRef>
              <c:f>'G15'!$C$2</c:f>
              <c:strCache>
                <c:ptCount val="1"/>
                <c:pt idx="0">
                  <c:v>d80</c:v>
                </c:pt>
              </c:strCache>
            </c:strRef>
          </c:tx>
          <c:spPr>
            <a:solidFill>
              <a:srgbClr val="9FE2F7"/>
            </a:solidFill>
          </c:spP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'G15'!$C$3:$C$8</c:f>
              <c:numCache>
                <c:formatCode>0.00</c:formatCode>
                <c:ptCount val="6"/>
                <c:pt idx="2">
                  <c:v>0.27933249734347132</c:v>
                </c:pt>
                <c:pt idx="3">
                  <c:v>0.56839850772684852</c:v>
                </c:pt>
                <c:pt idx="4">
                  <c:v>0.61385385866014719</c:v>
                </c:pt>
                <c:pt idx="5">
                  <c:v>0.90572533950027201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F-474B-8F36-E1428A1BADCF}"/>
            </c:ext>
          </c:extLst>
        </c:ser>
        <c:ser>
          <c:idx val="7"/>
          <c:order val="2"/>
          <c:tx>
            <c:strRef>
              <c:f>'G15'!$D$2</c:f>
              <c:strCache>
                <c:ptCount val="1"/>
                <c:pt idx="0">
                  <c:v>d60</c:v>
                </c:pt>
              </c:strCache>
            </c:strRef>
          </c:tx>
          <c:spPr>
            <a:solidFill>
              <a:srgbClr val="64D0F2"/>
            </a:solidFill>
          </c:spP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'G15'!$D$3:$D$8</c:f>
              <c:numCache>
                <c:formatCode>0.00</c:formatCode>
                <c:ptCount val="6"/>
                <c:pt idx="2">
                  <c:v>0.20141838315886912</c:v>
                </c:pt>
                <c:pt idx="3">
                  <c:v>0.40985531402557229</c:v>
                </c:pt>
                <c:pt idx="4">
                  <c:v>0.44263182008188762</c:v>
                </c:pt>
                <c:pt idx="5">
                  <c:v>0.65309169252814958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F-474B-8F36-E1428A1BADCF}"/>
            </c:ext>
          </c:extLst>
        </c:ser>
        <c:ser>
          <c:idx val="8"/>
          <c:order val="3"/>
          <c:tx>
            <c:strRef>
              <c:f>'G15'!$E$2</c:f>
              <c:strCache>
                <c:ptCount val="1"/>
                <c:pt idx="0">
                  <c:v>d40</c:v>
                </c:pt>
              </c:strCache>
            </c:strRef>
          </c:tx>
          <c:spPr>
            <a:solidFill>
              <a:srgbClr val="13B5EA"/>
            </a:solidFill>
          </c:spP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'G15'!$E$3:$E$8</c:f>
              <c:numCache>
                <c:formatCode>0.00</c:formatCode>
                <c:ptCount val="6"/>
                <c:pt idx="2">
                  <c:v>0.17210458180944402</c:v>
                </c:pt>
                <c:pt idx="3">
                  <c:v>0.35020625385078447</c:v>
                </c:pt>
                <c:pt idx="4">
                  <c:v>0.37821256975665457</c:v>
                </c:pt>
                <c:pt idx="5">
                  <c:v>0.55804277078881825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9F-474B-8F36-E1428A1BADCF}"/>
            </c:ext>
          </c:extLst>
        </c:ser>
        <c:ser>
          <c:idx val="9"/>
          <c:order val="4"/>
          <c:tx>
            <c:strRef>
              <c:f>'G15'!$F$2</c:f>
              <c:strCache>
                <c:ptCount val="1"/>
                <c:pt idx="0">
                  <c:v>d20</c:v>
                </c:pt>
              </c:strCache>
            </c:strRef>
          </c:tx>
          <c:spPr>
            <a:solidFill>
              <a:srgbClr val="009DDC"/>
            </a:solidFill>
          </c:spP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'G15'!$F$3:$F$8</c:f>
              <c:numCache>
                <c:formatCode>0.00</c:formatCode>
                <c:ptCount val="6"/>
                <c:pt idx="2">
                  <c:v>0.16086201352947774</c:v>
                </c:pt>
                <c:pt idx="3">
                  <c:v>0.32732936306964316</c:v>
                </c:pt>
                <c:pt idx="4">
                  <c:v>0.35350619299941838</c:v>
                </c:pt>
                <c:pt idx="5">
                  <c:v>0.52158915701645925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9F-474B-8F36-E1428A1BADCF}"/>
            </c:ext>
          </c:extLst>
        </c:ser>
        <c:ser>
          <c:idx val="1"/>
          <c:order val="5"/>
          <c:tx>
            <c:strRef>
              <c:f>'G15'!$G$2</c:f>
              <c:strCache>
                <c:ptCount val="1"/>
                <c:pt idx="0">
                  <c:v>h20</c:v>
                </c:pt>
              </c:strCache>
            </c:strRef>
          </c:tx>
          <c:spPr>
            <a:solidFill>
              <a:srgbClr val="009DDC"/>
            </a:solidFill>
          </c:spP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'G15'!$G$3:$G$8</c:f>
              <c:numCache>
                <c:formatCode>0.00</c:formatCode>
                <c:ptCount val="6"/>
                <c:pt idx="2">
                  <c:v>0.16086201352947774</c:v>
                </c:pt>
                <c:pt idx="3">
                  <c:v>0.32732936306964316</c:v>
                </c:pt>
                <c:pt idx="4">
                  <c:v>0.35350619299941838</c:v>
                </c:pt>
                <c:pt idx="5">
                  <c:v>0.52158915701645925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9F-474B-8F36-E1428A1BADCF}"/>
            </c:ext>
          </c:extLst>
        </c:ser>
        <c:ser>
          <c:idx val="5"/>
          <c:order val="6"/>
          <c:tx>
            <c:strRef>
              <c:f>'G15'!$H$2</c:f>
              <c:strCache>
                <c:ptCount val="1"/>
                <c:pt idx="0">
                  <c:v>h40</c:v>
                </c:pt>
              </c:strCache>
            </c:strRef>
          </c:tx>
          <c:spPr>
            <a:solidFill>
              <a:srgbClr val="13B5EA"/>
            </a:solidFill>
          </c:spP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'G15'!$H$3:$H$8</c:f>
              <c:numCache>
                <c:formatCode>0.00</c:formatCode>
                <c:ptCount val="6"/>
                <c:pt idx="2">
                  <c:v>0.17210458180944402</c:v>
                </c:pt>
                <c:pt idx="3">
                  <c:v>0.35020625385078447</c:v>
                </c:pt>
                <c:pt idx="4">
                  <c:v>0.37821256975665457</c:v>
                </c:pt>
                <c:pt idx="5">
                  <c:v>0.55804277078881825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9F-474B-8F36-E1428A1BADCF}"/>
            </c:ext>
          </c:extLst>
        </c:ser>
        <c:ser>
          <c:idx val="2"/>
          <c:order val="7"/>
          <c:tx>
            <c:strRef>
              <c:f>'G15'!$I$2</c:f>
              <c:strCache>
                <c:ptCount val="1"/>
                <c:pt idx="0">
                  <c:v>h60</c:v>
                </c:pt>
              </c:strCache>
            </c:strRef>
          </c:tx>
          <c:spPr>
            <a:solidFill>
              <a:srgbClr val="64D0F2"/>
            </a:solidFill>
          </c:spP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'G15'!$I$3:$I$8</c:f>
              <c:numCache>
                <c:formatCode>0.00</c:formatCode>
                <c:ptCount val="6"/>
                <c:pt idx="2">
                  <c:v>0.20141838315886912</c:v>
                </c:pt>
                <c:pt idx="3">
                  <c:v>0.40985531402557229</c:v>
                </c:pt>
                <c:pt idx="4">
                  <c:v>0.44263182008188762</c:v>
                </c:pt>
                <c:pt idx="5">
                  <c:v>0.65309169252814958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9F-474B-8F36-E1428A1BADCF}"/>
            </c:ext>
          </c:extLst>
        </c:ser>
        <c:ser>
          <c:idx val="3"/>
          <c:order val="8"/>
          <c:tx>
            <c:strRef>
              <c:f>'G15'!$J$2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9FE2F7"/>
            </a:solidFill>
          </c:spP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'G15'!$J$3:$J$8</c:f>
              <c:numCache>
                <c:formatCode>0.00</c:formatCode>
                <c:ptCount val="6"/>
                <c:pt idx="2">
                  <c:v>0.27933249734347132</c:v>
                </c:pt>
                <c:pt idx="3">
                  <c:v>0.56839850772684852</c:v>
                </c:pt>
                <c:pt idx="4">
                  <c:v>0.61385385866014719</c:v>
                </c:pt>
                <c:pt idx="5">
                  <c:v>0.90572533950027201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9F-474B-8F36-E1428A1B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42592"/>
        <c:axId val="244243152"/>
      </c:areaChart>
      <c:lineChart>
        <c:grouping val="standard"/>
        <c:varyColors val="0"/>
        <c:ser>
          <c:idx val="4"/>
          <c:order val="9"/>
          <c:tx>
            <c:strRef>
              <c:f>'G15'!$K$2</c:f>
              <c:strCache>
                <c:ptCount val="1"/>
                <c:pt idx="0">
                  <c:v>Prognóza VpMP (september 2018)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'G15'!$A$3:$A$8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'G15'!$K$3:$K$8</c:f>
              <c:numCache>
                <c:formatCode>0.00</c:formatCode>
                <c:ptCount val="6"/>
                <c:pt idx="0">
                  <c:v>3.1253624557722333</c:v>
                </c:pt>
                <c:pt idx="1">
                  <c:v>3.1883556147536325</c:v>
                </c:pt>
                <c:pt idx="2">
                  <c:v>4.0747365700230409</c:v>
                </c:pt>
                <c:pt idx="3">
                  <c:v>4.4995126620853032</c:v>
                </c:pt>
                <c:pt idx="4">
                  <c:v>3.9148883673591151</c:v>
                </c:pt>
                <c:pt idx="5">
                  <c:v>3.3252780949083238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9F-474B-8F36-E1428A1B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42592"/>
        <c:axId val="244243152"/>
      </c:lineChart>
      <c:catAx>
        <c:axId val="2442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3152"/>
        <c:crosses val="autoZero"/>
        <c:auto val="1"/>
        <c:lblAlgn val="ctr"/>
        <c:lblOffset val="100"/>
        <c:noMultiLvlLbl val="0"/>
      </c:catAx>
      <c:valAx>
        <c:axId val="244243152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15000"/>
                  <a:lumOff val="85000"/>
                </a:sys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rast HDP v 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3979643947221525E-2"/>
              <c:y val="3.1719791666666663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25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7574650043744533"/>
          <c:y val="0.68020596383785359"/>
          <c:w val="0.65417546296296292"/>
          <c:h val="8.5088541666666656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 u="none" strike="noStrike" baseline="0">
          <a:solidFill>
            <a:schemeClr val="tx1">
              <a:lumMod val="85000"/>
              <a:lumOff val="15000"/>
            </a:schemeClr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3533068428366"/>
          <c:y val="4.2394242973149483E-2"/>
          <c:w val="0.87913670233945218"/>
          <c:h val="0.81708427291658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rgbClr val="00B0F0"/>
              </a:solidFill>
            </a:ln>
          </c:spPr>
          <c:invertIfNegative val="0"/>
          <c:dPt>
            <c:idx val="5"/>
            <c:invertIfNegative val="0"/>
            <c:bubble3D val="0"/>
            <c:spPr>
              <a:pattFill prst="dkUpDiag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CFB-40D6-B094-6A0A52512A9A}"/>
              </c:ext>
            </c:extLst>
          </c:dPt>
          <c:dPt>
            <c:idx val="6"/>
            <c:invertIfNegative val="0"/>
            <c:bubble3D val="0"/>
            <c:spPr>
              <a:pattFill prst="dkUpDiag">
                <a:fgClr>
                  <a:srgbClr val="00B0F0"/>
                </a:fgClr>
                <a:bgClr>
                  <a:schemeClr val="bg1"/>
                </a:bgClr>
              </a:pattFill>
              <a:ln w="9525"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CFB-40D6-B094-6A0A52512A9A}"/>
              </c:ext>
            </c:extLst>
          </c:dPt>
          <c:dPt>
            <c:idx val="7"/>
            <c:invertIfNegative val="0"/>
            <c:bubble3D val="0"/>
            <c:spPr>
              <a:pattFill prst="dkUpDiag">
                <a:fgClr>
                  <a:srgbClr val="00B0F0"/>
                </a:fgClr>
                <a:bgClr>
                  <a:schemeClr val="bg1"/>
                </a:bgClr>
              </a:pattFill>
              <a:ln w="9525"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CFB-40D6-B094-6A0A52512A9A}"/>
              </c:ext>
            </c:extLst>
          </c:dPt>
          <c:dPt>
            <c:idx val="8"/>
            <c:invertIfNegative val="0"/>
            <c:bubble3D val="0"/>
            <c:spPr>
              <a:pattFill prst="dkUpDiag">
                <a:fgClr>
                  <a:srgbClr val="00B0F0"/>
                </a:fgClr>
                <a:bgClr>
                  <a:schemeClr val="bg1"/>
                </a:bgClr>
              </a:pattFill>
              <a:ln w="9525"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CFB-40D6-B094-6A0A52512A9A}"/>
              </c:ext>
            </c:extLst>
          </c:dPt>
          <c:dLbls>
            <c:dLbl>
              <c:idx val="1"/>
              <c:layout>
                <c:manualLayout>
                  <c:x val="-2.0639834881321139E-3"/>
                  <c:y val="2.65722770569172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FB-40D6-B094-6A0A52512A9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rgbClr val="00B0F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'G16'!$A$4:$A$21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'G16'!$D$4:$D$21</c:f>
              <c:numCache>
                <c:formatCode>0.00</c:formatCode>
                <c:ptCount val="18"/>
                <c:pt idx="0">
                  <c:v>-3.5214471564153582</c:v>
                </c:pt>
                <c:pt idx="1">
                  <c:v>-10.01250525659092</c:v>
                </c:pt>
                <c:pt idx="2">
                  <c:v>-5.4784145192447786</c:v>
                </c:pt>
                <c:pt idx="3">
                  <c:v>-3.612368706177449</c:v>
                </c:pt>
                <c:pt idx="4">
                  <c:v>-0.44083635793290554</c:v>
                </c:pt>
                <c:pt idx="5">
                  <c:v>19.681474111220755</c:v>
                </c:pt>
                <c:pt idx="6">
                  <c:v>6.4444111868650289</c:v>
                </c:pt>
                <c:pt idx="7">
                  <c:v>1.213457518407568</c:v>
                </c:pt>
                <c:pt idx="8">
                  <c:v>2.3658148927441003</c:v>
                </c:pt>
                <c:pt idx="9">
                  <c:v>-0.44243406810346997</c:v>
                </c:pt>
                <c:pt idx="10">
                  <c:v>-7.3058951998340893</c:v>
                </c:pt>
                <c:pt idx="11">
                  <c:v>-6.3277751675467009</c:v>
                </c:pt>
                <c:pt idx="12">
                  <c:v>-3.1805085196755067</c:v>
                </c:pt>
                <c:pt idx="13">
                  <c:v>-0.73347881896386191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FB-40D6-B094-6A0A52512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009608"/>
        <c:axId val="1"/>
      </c:barChart>
      <c:lineChart>
        <c:grouping val="standard"/>
        <c:varyColors val="0"/>
        <c:ser>
          <c:idx val="1"/>
          <c:order val="1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8"/>
              <c:layout>
                <c:manualLayout>
                  <c:x val="0.26747720364741639"/>
                  <c:y val="2.8103044496487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FB-40D6-B094-6A0A52512A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'G16'!$H$4:$H$17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FB-40D6-B094-6A0A52512A9A}"/>
            </c:ext>
          </c:extLst>
        </c:ser>
        <c:ser>
          <c:idx val="2"/>
          <c:order val="2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BCFB-40D6-B094-6A0A52512A9A}"/>
              </c:ext>
            </c:extLst>
          </c:dPt>
          <c:dLbls>
            <c:dLbl>
              <c:idx val="10"/>
              <c:layout>
                <c:manualLayout>
                  <c:x val="5.4711246200607903E-2"/>
                  <c:y val="-5.62060889929742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FB-40D6-B094-6A0A52512A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'G16'!$I$4:$I$17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FB-40D6-B094-6A0A52512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009608"/>
        <c:axId val="1"/>
      </c:lineChart>
      <c:lineChart>
        <c:grouping val="standard"/>
        <c:varyColors val="0"/>
        <c:ser>
          <c:idx val="3"/>
          <c:order val="3"/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5"/>
            <c:bubble3D val="0"/>
            <c:spPr>
              <a:ln>
                <a:solidFill>
                  <a:srgbClr val="FF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BCFB-40D6-B094-6A0A52512A9A}"/>
              </c:ext>
            </c:extLst>
          </c:dPt>
          <c:dPt>
            <c:idx val="16"/>
            <c:bubble3D val="0"/>
            <c:spPr>
              <a:ln>
                <a:solidFill>
                  <a:srgbClr val="FF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BCFB-40D6-B094-6A0A52512A9A}"/>
              </c:ext>
            </c:extLst>
          </c:dPt>
          <c:dPt>
            <c:idx val="17"/>
            <c:bubble3D val="0"/>
            <c:spPr>
              <a:ln>
                <a:solidFill>
                  <a:srgbClr val="FF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BCFB-40D6-B094-6A0A52512A9A}"/>
              </c:ext>
            </c:extLst>
          </c:dPt>
          <c:val>
            <c:numRef>
              <c:f>'G16'!$E$4:$E$21</c:f>
              <c:numCache>
                <c:formatCode>0.00</c:formatCode>
                <c:ptCount val="18"/>
                <c:pt idx="0">
                  <c:v>-1.0393987470784352</c:v>
                </c:pt>
                <c:pt idx="1">
                  <c:v>-0.65823557798648002</c:v>
                </c:pt>
                <c:pt idx="2">
                  <c:v>0.82125159114503299</c:v>
                </c:pt>
                <c:pt idx="3">
                  <c:v>3.6442160878187106</c:v>
                </c:pt>
                <c:pt idx="4">
                  <c:v>3.734524986117679</c:v>
                </c:pt>
                <c:pt idx="5">
                  <c:v>-3.2405689676077958</c:v>
                </c:pt>
                <c:pt idx="6">
                  <c:v>-1.0555165928530508</c:v>
                </c:pt>
                <c:pt idx="7">
                  <c:v>-0.65887986289817191</c:v>
                </c:pt>
                <c:pt idx="8">
                  <c:v>-1.1832205814007202</c:v>
                </c:pt>
                <c:pt idx="9">
                  <c:v>-1.6465332238945225</c:v>
                </c:pt>
                <c:pt idx="10">
                  <c:v>-0.98398375249319192</c:v>
                </c:pt>
                <c:pt idx="11">
                  <c:v>-0.13047111146680723</c:v>
                </c:pt>
                <c:pt idx="12">
                  <c:v>0.15827207909817198</c:v>
                </c:pt>
                <c:pt idx="13">
                  <c:v>0.55156160455017667</c:v>
                </c:pt>
                <c:pt idx="14">
                  <c:v>0.75538746534938961</c:v>
                </c:pt>
                <c:pt idx="15">
                  <c:v>1.0104015259348129</c:v>
                </c:pt>
                <c:pt idx="16">
                  <c:v>1.0535118541309312</c:v>
                </c:pt>
                <c:pt idx="17">
                  <c:v>0.41287426611458161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CFB-40D6-B094-6A0A52512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200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-15"/>
        </c:scaling>
        <c:delete val="0"/>
        <c:axPos val="l"/>
        <c:title>
          <c:tx>
            <c:rich>
              <a:bodyPr/>
              <a:lstStyle/>
              <a:p>
                <a:pPr>
                  <a:defRPr sz="1200">
                    <a:solidFill>
                      <a:srgbClr val="00B0F0"/>
                    </a:solidFill>
                  </a:defRPr>
                </a:pPr>
                <a:r>
                  <a:rPr lang="sk-SK" sz="1200" b="0" i="1">
                    <a:solidFill>
                      <a:srgbClr val="00B0F0"/>
                    </a:solidFill>
                  </a:rPr>
                  <a:t>odchýlka prognózy</a:t>
                </a:r>
                <a:r>
                  <a:rPr lang="sk-SK" sz="1200" b="0" i="1" baseline="0">
                    <a:solidFill>
                      <a:srgbClr val="00B0F0"/>
                    </a:solidFill>
                  </a:rPr>
                  <a:t> </a:t>
                </a:r>
                <a:r>
                  <a:rPr lang="sk-SK" sz="1200" b="0" i="1">
                    <a:solidFill>
                      <a:srgbClr val="00B0F0"/>
                    </a:solidFill>
                  </a:rPr>
                  <a:t>v %</a:t>
                </a:r>
                <a:endParaRPr lang="en-GB" sz="1200" b="0" i="1">
                  <a:solidFill>
                    <a:srgbClr val="00B0F0"/>
                  </a:solidFill>
                </a:endParaRPr>
              </a:p>
            </c:rich>
          </c:tx>
          <c:layout>
            <c:manualLayout>
              <c:xMode val="edge"/>
              <c:yMode val="edge"/>
              <c:x val="8.5112765159674184E-2"/>
              <c:y val="3.7266407272861381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>
                <a:solidFill>
                  <a:srgbClr val="00B0F0"/>
                </a:solidFill>
              </a:defRPr>
            </a:pPr>
            <a:endParaRPr lang="sk-SK"/>
          </a:p>
        </c:txPr>
        <c:crossAx val="772009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-4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sk-SK" sz="1200" b="0" i="1">
                    <a:solidFill>
                      <a:srgbClr val="FF0000"/>
                    </a:solidFill>
                  </a:rPr>
                  <a:t>produkčná</a:t>
                </a:r>
                <a:r>
                  <a:rPr lang="sk-SK" sz="1200" b="0" i="1" baseline="0">
                    <a:solidFill>
                      <a:srgbClr val="FF0000"/>
                    </a:solidFill>
                  </a:rPr>
                  <a:t> medzera </a:t>
                </a:r>
                <a:endParaRPr lang="en-GB" sz="1200" b="0" i="1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7013171225937191"/>
              <c:y val="2.8867703012533271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sk-SK"/>
          </a:p>
        </c:txPr>
        <c:crossAx val="3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5125700937078"/>
          <c:y val="2.8975358662691436E-2"/>
          <c:w val="0.86520882445702418"/>
          <c:h val="0.84841284722222221"/>
        </c:manualLayout>
      </c:layout>
      <c:barChart>
        <c:barDir val="col"/>
        <c:grouping val="stacked"/>
        <c:varyColors val="0"/>
        <c:ser>
          <c:idx val="1"/>
          <c:order val="0"/>
          <c:tx>
            <c:v>nekrytá neistota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581 mil.</a:t>
                    </a:r>
                    <a:r>
                      <a:rPr lang="en-US" baseline="0"/>
                      <a:t> </a:t>
                    </a:r>
                  </a:p>
                  <a:p>
                    <a:fld id="{6059E598-51E5-45C2-BF6E-EF159E4E74EF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546-456C-AC89-6301A0D485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616 mil.</a:t>
                    </a:r>
                    <a:r>
                      <a:rPr lang="en-US" baseline="0"/>
                      <a:t> </a:t>
                    </a:r>
                  </a:p>
                  <a:p>
                    <a:fld id="{4DA6E8C9-2473-47D8-8558-0564FCC323D3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546-456C-AC89-6301A0D485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644 mil.</a:t>
                    </a:r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AAA9F080-0070-4C07-8AD8-7056FC4B10C8}" type="VALUE">
                      <a:rPr lang="en-US" baseline="0"/>
                      <a:pPr/>
                      <a:t>[HODNOTA]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546-456C-AC89-6301A0D485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'G17'!$B$2:$D$2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'G17'!$B$4:$D$4</c:f>
              <c:numCache>
                <c:formatCode>0.00%</c:formatCode>
                <c:ptCount val="3"/>
                <c:pt idx="0">
                  <c:v>6.0013749826119565E-3</c:v>
                </c:pt>
                <c:pt idx="1">
                  <c:v>5.965204743313246E-3</c:v>
                </c:pt>
                <c:pt idx="2">
                  <c:v>5.8952559681650181E-3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'G17'!$B$3:$D$3</c15:f>
                <c15:dlblRangeCache>
                  <c:ptCount val="3"/>
                  <c:pt idx="0">
                    <c:v>581,5</c:v>
                  </c:pt>
                  <c:pt idx="1">
                    <c:v>615,5</c:v>
                  </c:pt>
                  <c:pt idx="2">
                    <c:v>644,2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546-456C-AC89-6301A0D48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732552"/>
        <c:axId val="538740096"/>
      </c:barChart>
      <c:lineChart>
        <c:grouping val="standard"/>
        <c:varyColors val="0"/>
        <c:ser>
          <c:idx val="2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multiLvlStrRef>
              <c:f>'G17'!#REF!</c:f>
            </c:multiLvlStrRef>
          </c:cat>
          <c:val>
            <c:numRef>
              <c:f>'G17'!$B$4:$D$4</c:f>
              <c:numCache>
                <c:formatCode>0.00%</c:formatCode>
                <c:ptCount val="3"/>
                <c:pt idx="0">
                  <c:v>6.0013749826119565E-3</c:v>
                </c:pt>
                <c:pt idx="1">
                  <c:v>5.965204743313246E-3</c:v>
                </c:pt>
                <c:pt idx="2">
                  <c:v>5.8952559681650181E-3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46-456C-AC89-6301A0D48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732552"/>
        <c:axId val="538740096"/>
      </c:lineChart>
      <c:catAx>
        <c:axId val="53873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8740096"/>
        <c:crosses val="autoZero"/>
        <c:auto val="1"/>
        <c:lblAlgn val="ctr"/>
        <c:lblOffset val="100"/>
        <c:noMultiLvlLbl val="0"/>
      </c:catAx>
      <c:valAx>
        <c:axId val="5387400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i="1"/>
                  <a:t>% HDP</a:t>
                </a:r>
                <a:endParaRPr lang="en-GB" i="1"/>
              </a:p>
            </c:rich>
          </c:tx>
          <c:layout>
            <c:manualLayout>
              <c:xMode val="edge"/>
              <c:yMode val="edge"/>
              <c:x val="0.10280241935483869"/>
              <c:y val="3.35631944444444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873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8332152230971128"/>
          <c:h val="0.906827063283756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'G18'!$A$4</c:f>
              <c:strCache>
                <c:ptCount val="1"/>
                <c:pt idx="0">
                  <c:v>Dane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'G18'!$B$2:$E$2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kumulatívne</c:v>
                </c:pt>
              </c:strCache>
            </c:strRef>
          </c:cat>
          <c:val>
            <c:numRef>
              <c:f>'G18'!$B$4:$E$4</c:f>
              <c:numCache>
                <c:formatCode>#\ ##0.0</c:formatCode>
                <c:ptCount val="4"/>
                <c:pt idx="0">
                  <c:v>-0.47218126235913971</c:v>
                </c:pt>
                <c:pt idx="1">
                  <c:v>-0.17399047819843361</c:v>
                </c:pt>
                <c:pt idx="2">
                  <c:v>-0.38021507235275465</c:v>
                </c:pt>
                <c:pt idx="3">
                  <c:v>-1.026386812910328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6-4EDE-8F20-075D256105CE}"/>
            </c:ext>
          </c:extLst>
        </c:ser>
        <c:ser>
          <c:idx val="1"/>
          <c:order val="1"/>
          <c:tx>
            <c:strRef>
              <c:f>'G18'!$A$5</c:f>
              <c:strCache>
                <c:ptCount val="1"/>
                <c:pt idx="0">
                  <c:v>Nedaňové príjmy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</c:spPr>
          <c:invertIfNegative val="0"/>
          <c:cat>
            <c:strRef>
              <c:f>'G18'!$B$2:$E$2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kumulatívne</c:v>
                </c:pt>
              </c:strCache>
            </c:strRef>
          </c:cat>
          <c:val>
            <c:numRef>
              <c:f>'G18'!$B$5:$E$5</c:f>
              <c:numCache>
                <c:formatCode>#\ ##0.0</c:formatCode>
                <c:ptCount val="4"/>
                <c:pt idx="0">
                  <c:v>-6.7923722780507845E-2</c:v>
                </c:pt>
                <c:pt idx="1">
                  <c:v>-6.5413553006546721E-2</c:v>
                </c:pt>
                <c:pt idx="2">
                  <c:v>-0.13930981525965525</c:v>
                </c:pt>
                <c:pt idx="3">
                  <c:v>-0.27264709104670981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6-4EDE-8F20-075D256105CE}"/>
            </c:ext>
          </c:extLst>
        </c:ser>
        <c:ser>
          <c:idx val="2"/>
          <c:order val="2"/>
          <c:tx>
            <c:strRef>
              <c:f>'G18'!$A$6</c:f>
              <c:strCache>
                <c:ptCount val="1"/>
                <c:pt idx="0">
                  <c:v>Sociálne platby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strRef>
              <c:f>'G18'!$B$2:$E$2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kumulatívne</c:v>
                </c:pt>
              </c:strCache>
            </c:strRef>
          </c:cat>
          <c:val>
            <c:numRef>
              <c:f>'G18'!$B$6:$E$6</c:f>
              <c:numCache>
                <c:formatCode>#\ ##0.0</c:formatCode>
                <c:ptCount val="4"/>
                <c:pt idx="0">
                  <c:v>0.43867275369964709</c:v>
                </c:pt>
                <c:pt idx="1">
                  <c:v>0.32363399617447541</c:v>
                </c:pt>
                <c:pt idx="2">
                  <c:v>0.34999280636505858</c:v>
                </c:pt>
                <c:pt idx="3">
                  <c:v>1.1122995562391811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16-4EDE-8F20-075D256105CE}"/>
            </c:ext>
          </c:extLst>
        </c:ser>
        <c:ser>
          <c:idx val="3"/>
          <c:order val="3"/>
          <c:tx>
            <c:strRef>
              <c:f>'G18'!$A$7</c:f>
              <c:strCache>
                <c:ptCount val="1"/>
                <c:pt idx="0">
                  <c:v>Prev. výdavky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strRef>
              <c:f>'G18'!$B$2:$E$2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kumulatívne</c:v>
                </c:pt>
              </c:strCache>
            </c:strRef>
          </c:cat>
          <c:val>
            <c:numRef>
              <c:f>'G18'!$B$7:$E$7</c:f>
              <c:numCache>
                <c:formatCode>#\ ##0.0</c:formatCode>
                <c:ptCount val="4"/>
                <c:pt idx="0">
                  <c:v>0.17472113056078165</c:v>
                </c:pt>
                <c:pt idx="1">
                  <c:v>0.17700374135898667</c:v>
                </c:pt>
                <c:pt idx="2">
                  <c:v>0.1716724914591925</c:v>
                </c:pt>
                <c:pt idx="3">
                  <c:v>0.52339736337896081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16-4EDE-8F20-075D256105CE}"/>
            </c:ext>
          </c:extLst>
        </c:ser>
        <c:ser>
          <c:idx val="4"/>
          <c:order val="4"/>
          <c:tx>
            <c:strRef>
              <c:f>'G18'!$A$8</c:f>
              <c:strCache>
                <c:ptCount val="1"/>
                <c:pt idx="0">
                  <c:v>Dotácie a ost. transfery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'G18'!$B$2:$E$2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kumulatívne</c:v>
                </c:pt>
              </c:strCache>
            </c:strRef>
          </c:cat>
          <c:val>
            <c:numRef>
              <c:f>'G18'!$B$8:$E$8</c:f>
              <c:numCache>
                <c:formatCode>#\ ##0.0</c:formatCode>
                <c:ptCount val="4"/>
                <c:pt idx="0">
                  <c:v>5.4797970469018242E-2</c:v>
                </c:pt>
                <c:pt idx="1">
                  <c:v>5.2097075104839075E-2</c:v>
                </c:pt>
                <c:pt idx="2">
                  <c:v>0.11061257240325206</c:v>
                </c:pt>
                <c:pt idx="3">
                  <c:v>0.21750761797710938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16-4EDE-8F20-075D256105CE}"/>
            </c:ext>
          </c:extLst>
        </c:ser>
        <c:ser>
          <c:idx val="5"/>
          <c:order val="5"/>
          <c:tx>
            <c:strRef>
              <c:f>'G18'!$A$9</c:f>
              <c:strCache>
                <c:ptCount val="1"/>
                <c:pt idx="0">
                  <c:v>Úroky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'G18'!$B$2:$E$2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kumulatívne</c:v>
                </c:pt>
              </c:strCache>
            </c:strRef>
          </c:cat>
          <c:val>
            <c:numRef>
              <c:f>'G18'!$B$9:$E$9</c:f>
              <c:numCache>
                <c:formatCode>#\ ##0.0</c:formatCode>
                <c:ptCount val="4"/>
                <c:pt idx="0">
                  <c:v>9.7566882298763202E-2</c:v>
                </c:pt>
                <c:pt idx="1">
                  <c:v>0.11382602254808183</c:v>
                </c:pt>
                <c:pt idx="2">
                  <c:v>5.7061802906936077E-2</c:v>
                </c:pt>
                <c:pt idx="3">
                  <c:v>0.26845470775378111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16-4EDE-8F20-075D256105CE}"/>
            </c:ext>
          </c:extLst>
        </c:ser>
        <c:ser>
          <c:idx val="6"/>
          <c:order val="6"/>
          <c:tx>
            <c:strRef>
              <c:f>'G18'!$A$10</c:f>
              <c:strCache>
                <c:ptCount val="1"/>
                <c:pt idx="0">
                  <c:v>Ostatné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'G18'!$B$2:$E$2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kumulatívne</c:v>
                </c:pt>
              </c:strCache>
            </c:strRef>
          </c:cat>
          <c:val>
            <c:numRef>
              <c:f>'G18'!$B$10:$E$10</c:f>
              <c:numCache>
                <c:formatCode>#\ ##0.0</c:formatCode>
                <c:ptCount val="4"/>
                <c:pt idx="0">
                  <c:v>0.30716326239749814</c:v>
                </c:pt>
                <c:pt idx="1">
                  <c:v>-2.2340006940893799E-2</c:v>
                </c:pt>
                <c:pt idx="2">
                  <c:v>6.2053458757554414E-2</c:v>
                </c:pt>
                <c:pt idx="3">
                  <c:v>0.34687671421415878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16-4EDE-8F20-075D25610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9728704"/>
        <c:axId val="369730672"/>
      </c:barChart>
      <c:lineChart>
        <c:grouping val="standard"/>
        <c:varyColors val="0"/>
        <c:ser>
          <c:idx val="7"/>
          <c:order val="7"/>
          <c:tx>
            <c:v>Spolu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'G18'!$B$3:$E$3</c:f>
              <c:numCache>
                <c:formatCode>#\ ##0.0</c:formatCode>
                <c:ptCount val="4"/>
                <c:pt idx="0">
                  <c:v>0.53281701428606076</c:v>
                </c:pt>
                <c:pt idx="1">
                  <c:v>0.40481679704050888</c:v>
                </c:pt>
                <c:pt idx="2">
                  <c:v>0.23186824427958375</c:v>
                </c:pt>
                <c:pt idx="3">
                  <c:v>1.1695020556061535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16-4EDE-8F20-075D25610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28704"/>
        <c:axId val="369730672"/>
      </c:lineChart>
      <c:catAx>
        <c:axId val="36972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69730672"/>
        <c:crosses val="autoZero"/>
        <c:auto val="1"/>
        <c:lblAlgn val="ctr"/>
        <c:lblOffset val="100"/>
        <c:noMultiLvlLbl val="0"/>
      </c:catAx>
      <c:valAx>
        <c:axId val="3697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6972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102580927384095E-2"/>
          <c:y val="5.0345581802274712E-2"/>
          <c:w val="0.72468372703412076"/>
          <c:h val="0.19965441819772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07112430618302"/>
          <c:y val="4.0523853784260815E-2"/>
          <c:w val="0.77173053368328959"/>
          <c:h val="0.84688247302420527"/>
        </c:manualLayout>
      </c:layout>
      <c:barChart>
        <c:barDir val="bar"/>
        <c:grouping val="clustered"/>
        <c:varyColors val="0"/>
        <c:ser>
          <c:idx val="2"/>
          <c:order val="0"/>
          <c:tx>
            <c:v>Zmiešané</c:v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strRef>
              <c:f>'G19'!$A$4:$A$12</c:f>
              <c:strCache>
                <c:ptCount val="9"/>
                <c:pt idx="0">
                  <c:v>Ostatné</c:v>
                </c:pt>
                <c:pt idx="1">
                  <c:v>Výdavkové opatrenia</c:v>
                </c:pt>
                <c:pt idx="2">
                  <c:v>Mzdy</c:v>
                </c:pt>
                <c:pt idx="3">
                  <c:v>Medzispotreba</c:v>
                </c:pt>
                <c:pt idx="4">
                  <c:v>Zdravotníctvo</c:v>
                </c:pt>
                <c:pt idx="5">
                  <c:v>Investície</c:v>
                </c:pt>
                <c:pt idx="6">
                  <c:v>Spolufinancovanie</c:v>
                </c:pt>
                <c:pt idx="7">
                  <c:v>Nedaňové príjmy</c:v>
                </c:pt>
                <c:pt idx="8">
                  <c:v>Dane</c:v>
                </c:pt>
              </c:strCache>
            </c:strRef>
          </c:cat>
          <c:val>
            <c:numRef>
              <c:f>'G19'!$D$8:$D$13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898-4690-BFB7-25F56EC38E31}"/>
            </c:ext>
          </c:extLst>
        </c:ser>
        <c:ser>
          <c:idx val="1"/>
          <c:order val="1"/>
          <c:tx>
            <c:v>Výdavky</c:v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859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898-4690-BFB7-25F56EC38E31}"/>
              </c:ext>
            </c:extLst>
          </c:dPt>
          <c:dPt>
            <c:idx val="7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98-4690-BFB7-25F56EC38E31}"/>
              </c:ext>
            </c:extLst>
          </c:dPt>
          <c:dPt>
            <c:idx val="8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898-4690-BFB7-25F56EC38E31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898-4690-BFB7-25F56EC38E3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898-4690-BFB7-25F56EC38E3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898-4690-BFB7-25F56EC38E3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898-4690-BFB7-25F56EC38E3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898-4690-BFB7-25F56EC38E31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898-4690-BFB7-25F56EC38E31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898-4690-BFB7-25F56EC38E31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898-4690-BFB7-25F56EC38E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'G19'!$A$4:$A$12</c:f>
              <c:strCache>
                <c:ptCount val="9"/>
                <c:pt idx="0">
                  <c:v>Ostatné</c:v>
                </c:pt>
                <c:pt idx="1">
                  <c:v>Výdavkové opatrenia</c:v>
                </c:pt>
                <c:pt idx="2">
                  <c:v>Mzdy</c:v>
                </c:pt>
                <c:pt idx="3">
                  <c:v>Medzispotreba</c:v>
                </c:pt>
                <c:pt idx="4">
                  <c:v>Zdravotníctvo</c:v>
                </c:pt>
                <c:pt idx="5">
                  <c:v>Investície</c:v>
                </c:pt>
                <c:pt idx="6">
                  <c:v>Spolufinancovanie</c:v>
                </c:pt>
                <c:pt idx="7">
                  <c:v>Nedaňové príjmy</c:v>
                </c:pt>
                <c:pt idx="8">
                  <c:v>Dane</c:v>
                </c:pt>
              </c:strCache>
            </c:strRef>
          </c:cat>
          <c:val>
            <c:numRef>
              <c:f>'G19'!$C$4:$C$12</c:f>
              <c:numCache>
                <c:formatCode>#,##0.00</c:formatCode>
                <c:ptCount val="9"/>
                <c:pt idx="0" formatCode="0.00">
                  <c:v>3.7827118469494048E-2</c:v>
                </c:pt>
                <c:pt idx="1">
                  <c:v>-0.43025084319763557</c:v>
                </c:pt>
                <c:pt idx="2">
                  <c:v>-0.35822557113779602</c:v>
                </c:pt>
                <c:pt idx="3" formatCode="0.00">
                  <c:v>1.1367943414298106E-2</c:v>
                </c:pt>
                <c:pt idx="4" formatCode="0.00">
                  <c:v>5.1591827115740077E-2</c:v>
                </c:pt>
                <c:pt idx="5">
                  <c:v>0.14828687997011036</c:v>
                </c:pt>
                <c:pt idx="6">
                  <c:v>0.21309491156825117</c:v>
                </c:pt>
                <c:pt idx="7">
                  <c:v>0.2365772613038325</c:v>
                </c:pt>
                <c:pt idx="8" formatCode="0.00">
                  <c:v>0.25227596285079973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898-4690-BFB7-25F56EC38E31}"/>
            </c:ext>
          </c:extLst>
        </c:ser>
        <c:ser>
          <c:idx val="0"/>
          <c:order val="2"/>
          <c:tx>
            <c:v>Príjmy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'G19'!$A$4:$A$12</c:f>
              <c:strCache>
                <c:ptCount val="9"/>
                <c:pt idx="0">
                  <c:v>Ostatné</c:v>
                </c:pt>
                <c:pt idx="1">
                  <c:v>Výdavkové opatrenia</c:v>
                </c:pt>
                <c:pt idx="2">
                  <c:v>Mzdy</c:v>
                </c:pt>
                <c:pt idx="3">
                  <c:v>Medzispotreba</c:v>
                </c:pt>
                <c:pt idx="4">
                  <c:v>Zdravotníctvo</c:v>
                </c:pt>
                <c:pt idx="5">
                  <c:v>Investície</c:v>
                </c:pt>
                <c:pt idx="6">
                  <c:v>Spolufinancovanie</c:v>
                </c:pt>
                <c:pt idx="7">
                  <c:v>Nedaňové príjmy</c:v>
                </c:pt>
                <c:pt idx="8">
                  <c:v>Dane</c:v>
                </c:pt>
              </c:strCache>
            </c:strRef>
          </c:cat>
          <c:val>
            <c:numRef>
              <c:f>'G19'!$B$8:$B$12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E-C898-4690-BFB7-25F56EC38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4290656"/>
        <c:axId val="394291832"/>
      </c:barChart>
      <c:catAx>
        <c:axId val="39429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94291832"/>
        <c:crosses val="autoZero"/>
        <c:auto val="1"/>
        <c:lblAlgn val="ctr"/>
        <c:lblOffset val="100"/>
        <c:noMultiLvlLbl val="0"/>
      </c:catAx>
      <c:valAx>
        <c:axId val="394291832"/>
        <c:scaling>
          <c:orientation val="minMax"/>
          <c:max val="0.30000000000000004"/>
          <c:min val="-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942906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89692476964969"/>
          <c:y val="0.64198815805840603"/>
          <c:w val="0.19539237923128461"/>
          <c:h val="0.17484397931885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31146106736652E-2"/>
          <c:y val="5.0925925925925923E-2"/>
          <c:w val="0.82992082239720033"/>
          <c:h val="0.8416746864975212"/>
        </c:manualLayout>
      </c:layout>
      <c:areaChart>
        <c:grouping val="standard"/>
        <c:varyColors val="0"/>
        <c:ser>
          <c:idx val="1"/>
          <c:order val="0"/>
          <c:tx>
            <c:v>Scenár nezmenených politík</c:v>
          </c:tx>
          <c:spPr>
            <a:solidFill>
              <a:srgbClr val="58595B"/>
            </a:solidFill>
            <a:ln w="25400"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A6-443C-935D-D953898091B4}"/>
                </c:ext>
              </c:extLst>
            </c:dLbl>
            <c:dLbl>
              <c:idx val="1"/>
              <c:layout>
                <c:manualLayout>
                  <c:x val="8.3333333333333332E-3"/>
                  <c:y val="-0.32362563375230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6-443C-935D-D953898091B4}"/>
                </c:ext>
              </c:extLst>
            </c:dLbl>
            <c:dLbl>
              <c:idx val="2"/>
              <c:layout>
                <c:manualLayout>
                  <c:x val="8.3333333333332309E-3"/>
                  <c:y val="-0.28911886014248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6-443C-935D-D953898091B4}"/>
                </c:ext>
              </c:extLst>
            </c:dLbl>
            <c:dLbl>
              <c:idx val="3"/>
              <c:layout>
                <c:manualLayout>
                  <c:x val="-2.777777777777788E-2"/>
                  <c:y val="-6.873706004140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A6-443C-935D-D953898091B4}"/>
                </c:ext>
              </c:extLst>
            </c:dLbl>
            <c:dLbl>
              <c:idx val="4"/>
              <c:layout>
                <c:manualLayout>
                  <c:x val="-3.6111111111111011E-2"/>
                  <c:y val="-8.0054123669323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A6-443C-935D-D953898091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'G20'!$B$2:$F$2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'G20'!$B$11:$F$11</c:f>
              <c:numCache>
                <c:formatCode>#\ ##0.0</c:formatCode>
                <c:ptCount val="5"/>
                <c:pt idx="0">
                  <c:v>50.948192653230549</c:v>
                </c:pt>
                <c:pt idx="1">
                  <c:v>48.667965866607659</c:v>
                </c:pt>
                <c:pt idx="2">
                  <c:v>47.881812997145403</c:v>
                </c:pt>
                <c:pt idx="3">
                  <c:v>44.518810628796132</c:v>
                </c:pt>
                <c:pt idx="4">
                  <c:v>42.381228988423494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A6-443C-935D-D953898091B4}"/>
            </c:ext>
          </c:extLst>
        </c:ser>
        <c:ser>
          <c:idx val="0"/>
          <c:order val="1"/>
          <c:tx>
            <c:v>Prognóza MFSR</c:v>
          </c:tx>
          <c:spPr>
            <a:solidFill>
              <a:srgbClr val="13B5EA">
                <a:alpha val="50000"/>
              </a:srgb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4999999999999988E-2"/>
                  <c:y val="-0.28029096362954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A6-443C-935D-D953898091B4}"/>
                </c:ext>
              </c:extLst>
            </c:dLbl>
            <c:dLbl>
              <c:idx val="1"/>
              <c:layout>
                <c:manualLayout>
                  <c:x val="2.7777777777777779E-3"/>
                  <c:y val="-0.23350809409693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A6-443C-935D-D953898091B4}"/>
                </c:ext>
              </c:extLst>
            </c:dLbl>
            <c:dLbl>
              <c:idx val="2"/>
              <c:layout>
                <c:manualLayout>
                  <c:x val="-2.8140201224846947E-2"/>
                  <c:y val="-0.18376452943382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A6-443C-935D-D953898091B4}"/>
                </c:ext>
              </c:extLst>
            </c:dLbl>
            <c:dLbl>
              <c:idx val="3"/>
              <c:layout>
                <c:manualLayout>
                  <c:x val="-8.3333333333333332E-3"/>
                  <c:y val="-0.141491661368415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A6-443C-935D-D953898091B4}"/>
                </c:ext>
              </c:extLst>
            </c:dLbl>
            <c:dLbl>
              <c:idx val="4"/>
              <c:layout>
                <c:manualLayout>
                  <c:x val="-3.3333333333333437E-2"/>
                  <c:y val="-8.3739423876363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A6-443C-935D-D953898091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'G20'!$B$2:$F$2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'G20'!$B$13:$F$13</c:f>
              <c:numCache>
                <c:formatCode>#\ ##0.0</c:formatCode>
                <c:ptCount val="5"/>
                <c:pt idx="0">
                  <c:v>50.948208264772852</c:v>
                </c:pt>
                <c:pt idx="1">
                  <c:v>48.60272037931356</c:v>
                </c:pt>
                <c:pt idx="2">
                  <c:v>47.1866135105411</c:v>
                </c:pt>
                <c:pt idx="3">
                  <c:v>45.916998707555564</c:v>
                </c:pt>
                <c:pt idx="4">
                  <c:v>44.74428053449904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CA6-443C-935D-D9538980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292616"/>
        <c:axId val="394289872"/>
      </c:areaChart>
      <c:catAx>
        <c:axId val="39429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94289872"/>
        <c:crosses val="autoZero"/>
        <c:auto val="1"/>
        <c:lblAlgn val="ctr"/>
        <c:lblOffset val="100"/>
        <c:noMultiLvlLbl val="0"/>
      </c:catAx>
      <c:valAx>
        <c:axId val="394289872"/>
        <c:scaling>
          <c:orientation val="minMax"/>
          <c:max val="52"/>
          <c:min val="4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94292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098534558180232"/>
          <c:y val="6.5082734223439465E-2"/>
          <c:w val="0.38179243219597553"/>
          <c:h val="0.14004957713619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2292213473316E-2"/>
          <c:y val="5.0925925925925923E-2"/>
          <c:w val="0.88332152230971128"/>
          <c:h val="0.87094634004082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'G21'!$A$4</c:f>
              <c:strCache>
                <c:ptCount val="1"/>
                <c:pt idx="0">
                  <c:v>Dlh v NPC scenári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'G21'!$C$2:$F$2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'G21'!$C$4:$F$4</c:f>
              <c:numCache>
                <c:formatCode>#\ ##0.0</c:formatCode>
                <c:ptCount val="4"/>
                <c:pt idx="0">
                  <c:v>-2.2802267866228902</c:v>
                </c:pt>
                <c:pt idx="1">
                  <c:v>-0.78615286946225638</c:v>
                </c:pt>
                <c:pt idx="2">
                  <c:v>-3.3630023683492709</c:v>
                </c:pt>
                <c:pt idx="3">
                  <c:v>-2.1375816403726375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E-4E52-AE7D-0C91779D0066}"/>
            </c:ext>
          </c:extLst>
        </c:ser>
        <c:ser>
          <c:idx val="1"/>
          <c:order val="1"/>
          <c:tx>
            <c:strRef>
              <c:f>'G21'!$A$5</c:f>
              <c:strCache>
                <c:ptCount val="1"/>
                <c:pt idx="0">
                  <c:v>Opatrenia vlády (vrátane obrany)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'G21'!$C$2:$F$2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'G21'!$C$5:$F$5</c:f>
              <c:numCache>
                <c:formatCode>#\ ##0.0</c:formatCode>
                <c:ptCount val="4"/>
                <c:pt idx="0">
                  <c:v>0</c:v>
                </c:pt>
                <c:pt idx="1">
                  <c:v>0.43767252308026716</c:v>
                </c:pt>
                <c:pt idx="2">
                  <c:v>0.67760820933517407</c:v>
                </c:pt>
                <c:pt idx="3">
                  <c:v>0.64141265151174887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E-4E52-AE7D-0C91779D0066}"/>
            </c:ext>
          </c:extLst>
        </c:ser>
        <c:ser>
          <c:idx val="3"/>
          <c:order val="2"/>
          <c:tx>
            <c:strRef>
              <c:f>'G21'!$A$6</c:f>
              <c:strCache>
                <c:ptCount val="1"/>
                <c:pt idx="0">
                  <c:v>Ostatné vplyvy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'G21'!$C$2:$F$2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'G21'!$C$6:$F$6</c:f>
              <c:numCache>
                <c:formatCode>#\ ##0.0</c:formatCode>
                <c:ptCount val="4"/>
                <c:pt idx="0">
                  <c:v>-6.5261098836401743E-2</c:v>
                </c:pt>
                <c:pt idx="1">
                  <c:v>-1.0676265223904702</c:v>
                </c:pt>
                <c:pt idx="2">
                  <c:v>1.4157793560285603</c:v>
                </c:pt>
                <c:pt idx="3">
                  <c:v>0.32345081580436519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E-4E52-AE7D-0C91779D0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69800"/>
        <c:axId val="353672544"/>
      </c:barChart>
      <c:lineChart>
        <c:grouping val="standard"/>
        <c:varyColors val="0"/>
        <c:ser>
          <c:idx val="4"/>
          <c:order val="3"/>
          <c:tx>
            <c:strRef>
              <c:f>'G21'!$A$7</c:f>
              <c:strCache>
                <c:ptCount val="1"/>
                <c:pt idx="0">
                  <c:v>Prognóza vlády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'G21'!$C$7:$F$7</c:f>
              <c:numCache>
                <c:formatCode>#\ ##0.0</c:formatCode>
                <c:ptCount val="4"/>
                <c:pt idx="0">
                  <c:v>-2.345487885459292</c:v>
                </c:pt>
                <c:pt idx="1">
                  <c:v>-1.4161068687724594</c:v>
                </c:pt>
                <c:pt idx="2">
                  <c:v>-1.2696148029855365</c:v>
                </c:pt>
                <c:pt idx="3">
                  <c:v>-1.1727181730565235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FE-4E52-AE7D-0C91779D0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69800"/>
        <c:axId val="353672544"/>
      </c:lineChart>
      <c:catAx>
        <c:axId val="35366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53672544"/>
        <c:crosses val="autoZero"/>
        <c:auto val="1"/>
        <c:lblAlgn val="ctr"/>
        <c:lblOffset val="100"/>
        <c:noMultiLvlLbl val="0"/>
      </c:catAx>
      <c:valAx>
        <c:axId val="3536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5366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955304244687535E-2"/>
          <c:y val="2.9344413129170663E-2"/>
          <c:w val="0.53093812937812301"/>
          <c:h val="0.239313130139175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96814925161381E-2"/>
          <c:y val="2.2259451611101804E-2"/>
          <c:w val="0.93830318507483856"/>
          <c:h val="0.908954162120481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'G22'!$A$3</c:f>
              <c:strCache>
                <c:ptCount val="1"/>
                <c:pt idx="0">
                  <c:v>Neočakávané vplyvy v rozpočte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9.178852643419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A-4635-A3AF-0EAB7EBE18CB}"/>
                </c:ext>
              </c:extLst>
            </c:dLbl>
            <c:dLbl>
              <c:idx val="1"/>
              <c:layout>
                <c:manualLayout>
                  <c:x val="0"/>
                  <c:y val="-0.1084367645533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A-4635-A3AF-0EAB7EBE18CB}"/>
                </c:ext>
              </c:extLst>
            </c:dLbl>
            <c:dLbl>
              <c:idx val="2"/>
              <c:layout>
                <c:manualLayout>
                  <c:x val="0"/>
                  <c:y val="-0.185722108145106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A-4635-A3AF-0EAB7EBE18CB}"/>
                </c:ext>
              </c:extLst>
            </c:dLbl>
            <c:dLbl>
              <c:idx val="3"/>
              <c:layout>
                <c:manualLayout>
                  <c:x val="0"/>
                  <c:y val="-0.115769450148300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A-4635-A3AF-0EAB7EBE18CB}"/>
                </c:ext>
              </c:extLst>
            </c:dLbl>
            <c:dLbl>
              <c:idx val="4"/>
              <c:layout>
                <c:manualLayout>
                  <c:x val="-2.3518518518518519E-3"/>
                  <c:y val="-0.142623235925296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A-4635-A3AF-0EAB7EBE18CB}"/>
                </c:ext>
              </c:extLst>
            </c:dLbl>
            <c:dLbl>
              <c:idx val="5"/>
              <c:layout>
                <c:manualLayout>
                  <c:x val="-9.2229484386347985E-3"/>
                  <c:y val="-8.89162673967602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A-4635-A3AF-0EAB7EBE18CB}"/>
                </c:ext>
              </c:extLst>
            </c:dLbl>
            <c:dLbl>
              <c:idx val="6"/>
              <c:layout>
                <c:manualLayout>
                  <c:x val="0"/>
                  <c:y val="-9.6214888032612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A-4635-A3AF-0EAB7EBE18CB}"/>
                </c:ext>
              </c:extLst>
            </c:dLbl>
            <c:dLbl>
              <c:idx val="7"/>
              <c:layout>
                <c:manualLayout>
                  <c:x val="0"/>
                  <c:y val="-0.146356492672458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A-4635-A3AF-0EAB7EBE18C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'G22'!$B$2:$I$2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'G22'!$B$3:$I$3</c:f>
              <c:numCache>
                <c:formatCode>#,##0.00</c:formatCode>
                <c:ptCount val="8"/>
                <c:pt idx="0">
                  <c:v>0.23141011955408103</c:v>
                </c:pt>
                <c:pt idx="1">
                  <c:v>0.73093474737618069</c:v>
                </c:pt>
                <c:pt idx="2">
                  <c:v>2.3100838509018411</c:v>
                </c:pt>
                <c:pt idx="3">
                  <c:v>1.5667709431046821</c:v>
                </c:pt>
                <c:pt idx="4">
                  <c:v>1.2287141760961069</c:v>
                </c:pt>
                <c:pt idx="5">
                  <c:v>0.5159454581271381</c:v>
                </c:pt>
                <c:pt idx="6">
                  <c:v>0.70219498722867668</c:v>
                </c:pt>
                <c:pt idx="7">
                  <c:v>1.2646254494556006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2A-4635-A3AF-0EAB7EBE18CB}"/>
            </c:ext>
          </c:extLst>
        </c:ser>
        <c:ser>
          <c:idx val="1"/>
          <c:order val="1"/>
          <c:tx>
            <c:strRef>
              <c:f>'G22'!$A$4</c:f>
              <c:strCache>
                <c:ptCount val="1"/>
                <c:pt idx="0">
                  <c:v>Ostatné rozpočtované položky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779196465456927E-17"/>
                  <c:y val="-5.44451092549602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A-4635-A3AF-0EAB7EBE18CB}"/>
                </c:ext>
              </c:extLst>
            </c:dLbl>
            <c:dLbl>
              <c:idx val="1"/>
              <c:layout>
                <c:manualLayout>
                  <c:x val="-2.3518518518518519E-3"/>
                  <c:y val="-9.5312447646171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2A-4635-A3AF-0EAB7EBE18CB}"/>
                </c:ext>
              </c:extLst>
            </c:dLbl>
            <c:dLbl>
              <c:idx val="2"/>
              <c:layout>
                <c:manualLayout>
                  <c:x val="0"/>
                  <c:y val="-0.2297875531516007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A-4635-A3AF-0EAB7EBE18CB}"/>
                </c:ext>
              </c:extLst>
            </c:dLbl>
            <c:dLbl>
              <c:idx val="3"/>
              <c:layout>
                <c:manualLayout>
                  <c:x val="0"/>
                  <c:y val="-0.167524591340975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2A-4635-A3AF-0EAB7EBE18CB}"/>
                </c:ext>
              </c:extLst>
            </c:dLbl>
            <c:dLbl>
              <c:idx val="4"/>
              <c:layout>
                <c:manualLayout>
                  <c:x val="-8.6233571723655416E-17"/>
                  <c:y val="-0.161611181581025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A-4635-A3AF-0EAB7EBE18CB}"/>
                </c:ext>
              </c:extLst>
            </c:dLbl>
            <c:dLbl>
              <c:idx val="5"/>
              <c:layout>
                <c:manualLayout>
                  <c:x val="8.4542717376132758E-17"/>
                  <c:y val="-6.4134725074150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A-4635-A3AF-0EAB7EBE18CB}"/>
                </c:ext>
              </c:extLst>
            </c:dLbl>
            <c:dLbl>
              <c:idx val="6"/>
              <c:layout>
                <c:manualLayout>
                  <c:x val="0"/>
                  <c:y val="-7.4447821681864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A-4635-A3AF-0EAB7EBE18CB}"/>
                </c:ext>
              </c:extLst>
            </c:dLbl>
            <c:dLbl>
              <c:idx val="7"/>
              <c:layout>
                <c:manualLayout>
                  <c:x val="-1.7246714344731083E-16"/>
                  <c:y val="-0.127519804705262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2A-4635-A3AF-0EAB7EBE18C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'G22'!$B$2:$I$2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'G22'!$B$4:$I$4</c:f>
              <c:numCache>
                <c:formatCode>#,##0.00</c:formatCode>
                <c:ptCount val="8"/>
                <c:pt idx="0">
                  <c:v>-4.6823829251685344E-3</c:v>
                </c:pt>
                <c:pt idx="1">
                  <c:v>-0.50291637334574546</c:v>
                </c:pt>
                <c:pt idx="2">
                  <c:v>-2.3833097819972311</c:v>
                </c:pt>
                <c:pt idx="3">
                  <c:v>-1.6765017684203936</c:v>
                </c:pt>
                <c:pt idx="4">
                  <c:v>-1.5342912184507194</c:v>
                </c:pt>
                <c:pt idx="5">
                  <c:v>-1.6061544108547772E-2</c:v>
                </c:pt>
                <c:pt idx="6">
                  <c:v>-0.4809342718132355</c:v>
                </c:pt>
                <c:pt idx="7">
                  <c:v>-1.0449478503931984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2A-4635-A3AF-0EAB7EBE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504984"/>
        <c:axId val="309512432"/>
      </c:barChart>
      <c:lineChart>
        <c:grouping val="stacked"/>
        <c:varyColors val="0"/>
        <c:ser>
          <c:idx val="2"/>
          <c:order val="2"/>
          <c:tx>
            <c:strRef>
              <c:f>'G22'!$A$5</c:f>
              <c:strCache>
                <c:ptCount val="1"/>
                <c:pt idx="0">
                  <c:v>Saldo verejnej správy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f>'G22'!$B$2:$I$2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'G22'!$B$5:$I$5</c:f>
              <c:numCache>
                <c:formatCode>#\ ##0.0</c:formatCode>
                <c:ptCount val="8"/>
                <c:pt idx="0">
                  <c:v>0.25511289002592896</c:v>
                </c:pt>
                <c:pt idx="1">
                  <c:v>0.18001251181409117</c:v>
                </c:pt>
                <c:pt idx="2">
                  <c:v>-6.2293928855871705E-2</c:v>
                </c:pt>
                <c:pt idx="3">
                  <c:v>-7.1264976964346527E-2</c:v>
                </c:pt>
                <c:pt idx="4">
                  <c:v>-0.29183879319578288</c:v>
                </c:pt>
                <c:pt idx="5">
                  <c:v>0.51295108242811804</c:v>
                </c:pt>
                <c:pt idx="6">
                  <c:v>0.22884476458148251</c:v>
                </c:pt>
                <c:pt idx="7">
                  <c:v>0.21984206591144748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12A-4635-A3AF-0EAB7EBE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04984"/>
        <c:axId val="309512432"/>
      </c:lineChart>
      <c:catAx>
        <c:axId val="30950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09512432"/>
        <c:crosses val="autoZero"/>
        <c:auto val="1"/>
        <c:lblAlgn val="ctr"/>
        <c:lblOffset val="100"/>
        <c:noMultiLvlLbl val="0"/>
      </c:catAx>
      <c:valAx>
        <c:axId val="309512432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095049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583442265795204"/>
          <c:y val="1.1287360255532739E-2"/>
          <c:w val="0.52571968046477846"/>
          <c:h val="0.20344569929272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10892895144874E-2"/>
          <c:y val="2.2259451611101804E-2"/>
          <c:w val="0.92572644635636758"/>
          <c:h val="0.90895416212048141"/>
        </c:manualLayout>
      </c:layout>
      <c:lineChart>
        <c:grouping val="standard"/>
        <c:varyColors val="0"/>
        <c:ser>
          <c:idx val="2"/>
          <c:order val="0"/>
          <c:tx>
            <c:strRef>
              <c:f>'G23'!$A$5</c:f>
              <c:strCache>
                <c:ptCount val="1"/>
                <c:pt idx="0">
                  <c:v>Rozpočtované saldo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222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6082425562817737E-2"/>
                  <c:y val="6.4344056582249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46-4D7C-B439-AF6C78C8E9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'G23'!$B$2:$I$2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'G23'!$B$5:$I$5</c:f>
              <c:numCache>
                <c:formatCode>#,##0.00</c:formatCode>
                <c:ptCount val="8"/>
                <c:pt idx="0">
                  <c:v>-4.5999999999999996</c:v>
                </c:pt>
                <c:pt idx="1">
                  <c:v>-2.9</c:v>
                </c:pt>
                <c:pt idx="2">
                  <c:v>-2.64</c:v>
                </c:pt>
                <c:pt idx="3">
                  <c:v>-2.4900000000000002</c:v>
                </c:pt>
                <c:pt idx="4">
                  <c:v>-1.93</c:v>
                </c:pt>
                <c:pt idx="5">
                  <c:v>-1.29</c:v>
                </c:pt>
                <c:pt idx="6">
                  <c:v>-0.83</c:v>
                </c:pt>
                <c:pt idx="7">
                  <c:v>-0.32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6-4D7C-B439-AF6C78C8E982}"/>
            </c:ext>
          </c:extLst>
        </c:ser>
        <c:ser>
          <c:idx val="0"/>
          <c:order val="1"/>
          <c:tx>
            <c:strRef>
              <c:f>'G23'!$A$3</c:f>
              <c:strCache>
                <c:ptCount val="1"/>
                <c:pt idx="0">
                  <c:v>Saldo po zohľadnení neočakávaných vplyvov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12700">
                <a:solidFill>
                  <a:srgbClr val="13B5E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44444444444445E-2"/>
                  <c:y val="-0.115823066392881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46-4D7C-B439-AF6C78C8E9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'G23'!$B$2:$I$2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'G23'!$B$3:$I$3</c:f>
              <c:numCache>
                <c:formatCode>#\ ##0.0</c:formatCode>
                <c:ptCount val="8"/>
                <c:pt idx="0">
                  <c:v>-4.3402047270489028</c:v>
                </c:pt>
                <c:pt idx="1">
                  <c:v>-2.2170711148401629</c:v>
                </c:pt>
                <c:pt idx="2">
                  <c:v>-0.31898414685864085</c:v>
                </c:pt>
                <c:pt idx="3">
                  <c:v>-0.88476320854395285</c:v>
                </c:pt>
                <c:pt idx="4">
                  <c:v>-0.68754757474506356</c:v>
                </c:pt>
                <c:pt idx="5">
                  <c:v>-0.76098737346333423</c:v>
                </c:pt>
                <c:pt idx="6">
                  <c:v>-0.12022096360528188</c:v>
                </c:pt>
                <c:pt idx="7">
                  <c:v>0.9447899163046457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46-4D7C-B439-AF6C78C8E982}"/>
            </c:ext>
          </c:extLst>
        </c:ser>
        <c:ser>
          <c:idx val="1"/>
          <c:order val="2"/>
          <c:tx>
            <c:strRef>
              <c:f>'G23'!$A$4</c:f>
              <c:strCache>
                <c:ptCount val="1"/>
                <c:pt idx="0">
                  <c:v>Skutočné saldo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noFill/>
              </a:ln>
              <a:effectLst/>
            </c:spPr>
          </c:marker>
          <c:cat>
            <c:numRef>
              <c:f>'G23'!$B$2:$I$2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'G23'!$B$4:$I$4</c:f>
              <c:numCache>
                <c:formatCode>#,##0.00</c:formatCode>
                <c:ptCount val="8"/>
                <c:pt idx="0">
                  <c:v>-4.3448871099740707</c:v>
                </c:pt>
                <c:pt idx="1">
                  <c:v>-2.7199874881859087</c:v>
                </c:pt>
                <c:pt idx="2">
                  <c:v>-2.7022939288558718</c:v>
                </c:pt>
                <c:pt idx="3">
                  <c:v>-2.5612649769643467</c:v>
                </c:pt>
                <c:pt idx="4">
                  <c:v>-2.2218387931957828</c:v>
                </c:pt>
                <c:pt idx="5">
                  <c:v>-0.77704891757188199</c:v>
                </c:pt>
                <c:pt idx="6">
                  <c:v>-0.60115523541851745</c:v>
                </c:pt>
                <c:pt idx="7">
                  <c:v>-0.10015793408855253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46-4D7C-B439-AF6C78C8E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14784"/>
        <c:axId val="309517136"/>
      </c:lineChart>
      <c:catAx>
        <c:axId val="3095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09517136"/>
        <c:crosses val="autoZero"/>
        <c:auto val="1"/>
        <c:lblAlgn val="ctr"/>
        <c:lblOffset val="100"/>
        <c:noMultiLvlLbl val="0"/>
      </c:catAx>
      <c:valAx>
        <c:axId val="30951713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0951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4032316630355833E-2"/>
          <c:y val="2.6636436230892124E-2"/>
          <c:w val="0.79188489469862022"/>
          <c:h val="0.23242128678986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9807524059492E-2"/>
          <c:y val="5.0925925925925923E-2"/>
          <c:w val="0.92271019247594055"/>
          <c:h val="0.912615193934091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'G02'!$A$3</c:f>
              <c:strCache>
                <c:ptCount val="1"/>
                <c:pt idx="0">
                  <c:v>vplyv príjmových opatrení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1225604996096799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15-4F0D-BAB9-4BE400176E40}"/>
                </c:ext>
              </c:extLst>
            </c:dLbl>
            <c:dLbl>
              <c:idx val="1"/>
              <c:layout>
                <c:manualLayout>
                  <c:x val="6.2451209992193599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5-4F0D-BAB9-4BE400176E40}"/>
                </c:ext>
              </c:extLst>
            </c:dLbl>
            <c:dLbl>
              <c:idx val="2"/>
              <c:layout>
                <c:manualLayout>
                  <c:x val="6.245120999219245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15-4F0D-BAB9-4BE400176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'G02'!$C$2:$E$2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'G02'!$C$3:$E$3</c:f>
              <c:numCache>
                <c:formatCode>0.00</c:formatCode>
                <c:ptCount val="3"/>
                <c:pt idx="0">
                  <c:v>0.65885246432064104</c:v>
                </c:pt>
                <c:pt idx="1">
                  <c:v>0.61643490236351628</c:v>
                </c:pt>
                <c:pt idx="2">
                  <c:v>0.59038360774320608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15-4F0D-BAB9-4BE400176E40}"/>
            </c:ext>
          </c:extLst>
        </c:ser>
        <c:ser>
          <c:idx val="2"/>
          <c:order val="2"/>
          <c:tx>
            <c:strRef>
              <c:f>'G02'!$A$4</c:f>
              <c:strCache>
                <c:ptCount val="1"/>
                <c:pt idx="0">
                  <c:v>vplyv výdavkových opatrení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421275577962829E-3"/>
                  <c:y val="-5.265004261355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15-4F0D-BAB9-4BE400176E40}"/>
                </c:ext>
              </c:extLst>
            </c:dLbl>
            <c:dLbl>
              <c:idx val="1"/>
              <c:layout>
                <c:manualLayout>
                  <c:x val="6.1703078482095624E-3"/>
                  <c:y val="-5.9969673315974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15-4F0D-BAB9-4BE400176E40}"/>
                </c:ext>
              </c:extLst>
            </c:dLbl>
            <c:dLbl>
              <c:idx val="2"/>
              <c:layout>
                <c:manualLayout>
                  <c:x val="9.6671009648973735E-3"/>
                  <c:y val="-8.5522870698473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15-4F0D-BAB9-4BE400176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'G02'!$C$2:$E$2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'G02'!$C$4:$E$4</c:f>
              <c:numCache>
                <c:formatCode>0.00</c:formatCode>
                <c:ptCount val="3"/>
                <c:pt idx="0">
                  <c:v>-0.90619615435519407</c:v>
                </c:pt>
                <c:pt idx="1">
                  <c:v>-1.0599210204454215</c:v>
                </c:pt>
                <c:pt idx="2">
                  <c:v>-1.1428778544089908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15-4F0D-BAB9-4BE400176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overlap val="100"/>
        <c:axId val="457811984"/>
        <c:axId val="457812376"/>
      </c:barChart>
      <c:lineChart>
        <c:grouping val="standard"/>
        <c:varyColors val="0"/>
        <c:ser>
          <c:idx val="3"/>
          <c:order val="0"/>
          <c:tx>
            <c:strRef>
              <c:f>'G02'!$A$5</c:f>
              <c:strCache>
                <c:ptCount val="1"/>
                <c:pt idx="0">
                  <c:v>celkový vplyv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9525">
                <a:solidFill>
                  <a:srgbClr val="58595B"/>
                </a:solidFill>
              </a:ln>
              <a:effectLst/>
            </c:spPr>
          </c:marker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95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4015-4F0D-BAB9-4BE400176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'G02'!$C$2:$E$2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'G02'!$C$5:$E$5</c:f>
              <c:numCache>
                <c:formatCode>0.00</c:formatCode>
                <c:ptCount val="3"/>
                <c:pt idx="0">
                  <c:v>-0.24734369003455303</c:v>
                </c:pt>
                <c:pt idx="1">
                  <c:v>-0.44348611808190519</c:v>
                </c:pt>
                <c:pt idx="2">
                  <c:v>-0.55249424666578473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15-4F0D-BAB9-4BE400176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811984"/>
        <c:axId val="457812376"/>
      </c:lineChart>
      <c:catAx>
        <c:axId val="45781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12376"/>
        <c:crosses val="autoZero"/>
        <c:auto val="1"/>
        <c:lblAlgn val="ctr"/>
        <c:lblOffset val="100"/>
        <c:noMultiLvlLbl val="0"/>
      </c:catAx>
      <c:valAx>
        <c:axId val="457812376"/>
        <c:scaling>
          <c:orientation val="minMax"/>
          <c:max val="1"/>
          <c:min val="-1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1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27470936636516E-2"/>
          <c:y val="0.81633791420185886"/>
          <c:w val="0.47626805642100489"/>
          <c:h val="0.163623684517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8408613102467"/>
          <c:y val="5.0925925925925923E-2"/>
          <c:w val="0.84208354552695841"/>
          <c:h val="0.83299358413531654"/>
        </c:manualLayout>
      </c:layout>
      <c:areaChart>
        <c:grouping val="standard"/>
        <c:varyColors val="0"/>
        <c:ser>
          <c:idx val="1"/>
          <c:order val="1"/>
          <c:tx>
            <c:strRef>
              <c:f>'G24'!$A$4</c:f>
              <c:strCache>
                <c:ptCount val="1"/>
                <c:pt idx="0">
                  <c:v>Odhad vlády</c:v>
                </c:pt>
              </c:strCache>
            </c:strRef>
          </c:tx>
          <c:spPr>
            <a:solidFill>
              <a:srgbClr val="B1E8F9"/>
            </a:solidFill>
            <a:ln w="25400">
              <a:noFill/>
            </a:ln>
            <a:effectLst/>
          </c:spPr>
          <c:cat>
            <c:numRef>
              <c:f>'G24'!$B$2:$AB$2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 formatCode="General">
                  <c:v>2017</c:v>
                </c:pt>
                <c:pt idx="12" formatCode="General">
                  <c:v>2018</c:v>
                </c:pt>
                <c:pt idx="13">
                  <c:v>2019</c:v>
                </c:pt>
                <c:pt idx="14">
                  <c:v>2020</c:v>
                </c:pt>
                <c:pt idx="15" formatCode="General">
                  <c:v>2021</c:v>
                </c:pt>
              </c:numCache>
            </c:numRef>
          </c:cat>
          <c:val>
            <c:numRef>
              <c:f>'G24'!$B$4:$AB$4</c:f>
              <c:numCache>
                <c:formatCode>#\ ##0.0</c:formatCode>
                <c:ptCount val="16"/>
                <c:pt idx="0">
                  <c:v>31</c:v>
                </c:pt>
                <c:pt idx="1">
                  <c:v>30.1</c:v>
                </c:pt>
                <c:pt idx="2">
                  <c:v>28.5</c:v>
                </c:pt>
                <c:pt idx="3">
                  <c:v>36.299999999999997</c:v>
                </c:pt>
                <c:pt idx="4">
                  <c:v>41.2</c:v>
                </c:pt>
                <c:pt idx="5">
                  <c:v>43.7</c:v>
                </c:pt>
                <c:pt idx="6">
                  <c:v>52.2</c:v>
                </c:pt>
                <c:pt idx="7">
                  <c:v>54.7</c:v>
                </c:pt>
                <c:pt idx="8">
                  <c:v>53.5</c:v>
                </c:pt>
                <c:pt idx="9">
                  <c:v>52.3</c:v>
                </c:pt>
                <c:pt idx="10">
                  <c:v>51.818786034437302</c:v>
                </c:pt>
                <c:pt idx="11">
                  <c:v>50.867685278630645</c:v>
                </c:pt>
                <c:pt idx="12">
                  <c:v>48.60298802392164</c:v>
                </c:pt>
                <c:pt idx="13">
                  <c:v>47.186328285226345</c:v>
                </c:pt>
                <c:pt idx="14">
                  <c:v>45.916883937711169</c:v>
                </c:pt>
                <c:pt idx="15">
                  <c:v>44.744868002525152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0-4457-B668-6B8110A0BDA8}"/>
            </c:ext>
          </c:extLst>
        </c:ser>
        <c:ser>
          <c:idx val="0"/>
          <c:order val="2"/>
          <c:tx>
            <c:strRef>
              <c:f>'G24'!$A$3</c:f>
              <c:strCache>
                <c:ptCount val="1"/>
                <c:pt idx="0">
                  <c:v>Skutočnosť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numRef>
              <c:f>'G24'!$B$2:$AB$2</c:f>
              <c:numCache>
                <c:formatCode>@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 formatCode="General">
                  <c:v>2017</c:v>
                </c:pt>
                <c:pt idx="12" formatCode="General">
                  <c:v>2018</c:v>
                </c:pt>
                <c:pt idx="13">
                  <c:v>2019</c:v>
                </c:pt>
                <c:pt idx="14">
                  <c:v>2020</c:v>
                </c:pt>
                <c:pt idx="15" formatCode="General">
                  <c:v>2021</c:v>
                </c:pt>
              </c:numCache>
            </c:numRef>
          </c:cat>
          <c:val>
            <c:numRef>
              <c:f>'G24'!$B$3:$X$3</c:f>
              <c:numCache>
                <c:formatCode>#\ ##0.0</c:formatCode>
                <c:ptCount val="12"/>
                <c:pt idx="0">
                  <c:v>31</c:v>
                </c:pt>
                <c:pt idx="1">
                  <c:v>30.1</c:v>
                </c:pt>
                <c:pt idx="2">
                  <c:v>28.5</c:v>
                </c:pt>
                <c:pt idx="3">
                  <c:v>36.299999999999997</c:v>
                </c:pt>
                <c:pt idx="4">
                  <c:v>41.2</c:v>
                </c:pt>
                <c:pt idx="5">
                  <c:v>43.7</c:v>
                </c:pt>
                <c:pt idx="6">
                  <c:v>52.2</c:v>
                </c:pt>
                <c:pt idx="7">
                  <c:v>54.7</c:v>
                </c:pt>
                <c:pt idx="8">
                  <c:v>53.5</c:v>
                </c:pt>
                <c:pt idx="9">
                  <c:v>52.3</c:v>
                </c:pt>
                <c:pt idx="10">
                  <c:v>51.8</c:v>
                </c:pt>
                <c:pt idx="11">
                  <c:v>50.867685278630645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0-4457-B668-6B8110A0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572224"/>
        <c:axId val="510573864"/>
      </c:areaChart>
      <c:lineChart>
        <c:grouping val="standard"/>
        <c:varyColors val="0"/>
        <c:ser>
          <c:idx val="2"/>
          <c:order val="0"/>
          <c:tx>
            <c:v>Dlh po zahrnutí rizík</c:v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13B5EA">
                    <a:alpha val="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09-455B-8773-CCC341EBFEC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13B5EA">
                    <a:alpha val="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09-455B-8773-CCC341EBFEC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13B5EA">
                    <a:alpha val="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09-455B-8773-CCC341EBFEC0}"/>
              </c:ext>
            </c:extLst>
          </c:dPt>
          <c:val>
            <c:numRef>
              <c:f>'G24'!$B$5:$AB$5</c:f>
              <c:numCache>
                <c:formatCode>#,##0</c:formatCode>
                <c:ptCount val="16"/>
                <c:pt idx="9" formatCode="#\ ##0.0">
                  <c:v>52.3</c:v>
                </c:pt>
                <c:pt idx="10" formatCode="#\ ##0.0">
                  <c:v>51.8</c:v>
                </c:pt>
                <c:pt idx="11" formatCode="#\ ##0.0">
                  <c:v>50.867685278630645</c:v>
                </c:pt>
                <c:pt idx="12" formatCode="#\ ##0.0">
                  <c:v>48.727553655949222</c:v>
                </c:pt>
                <c:pt idx="13" formatCode="#\ ##0.0">
                  <c:v>48.076143849505115</c:v>
                </c:pt>
                <c:pt idx="14" formatCode="#\ ##0.0">
                  <c:v>47.238240620841033</c:v>
                </c:pt>
                <c:pt idx="15" formatCode="#\ ##0.0">
                  <c:v>46.325902796998726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60-4457-B668-6B8110A0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72224"/>
        <c:axId val="510573864"/>
      </c:lineChart>
      <c:catAx>
        <c:axId val="5105722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105738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1057386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1057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47707655945991"/>
          <c:y val="6.5392971711869349E-2"/>
          <c:w val="0.8545229234405400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36920384951885E-2"/>
          <c:y val="5.0925925925925923E-2"/>
          <c:w val="0.86869641294838151"/>
          <c:h val="0.89814814814814814"/>
        </c:manualLayout>
      </c:layout>
      <c:barChart>
        <c:barDir val="col"/>
        <c:grouping val="clustered"/>
        <c:varyColors val="0"/>
        <c:ser>
          <c:idx val="2"/>
          <c:order val="2"/>
          <c:tx>
            <c:v>Dlh bez jednorazových vplyvov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19-4708-8554-FFBD8B276AA1}"/>
              </c:ext>
            </c:extLst>
          </c:dPt>
          <c:dPt>
            <c:idx val="7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19-4708-8554-FFBD8B276AA1}"/>
              </c:ext>
            </c:extLst>
          </c:dPt>
          <c:dPt>
            <c:idx val="8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19-4708-8554-FFBD8B276AA1}"/>
              </c:ext>
            </c:extLst>
          </c:dPt>
          <c:dPt>
            <c:idx val="9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19-4708-8554-FFBD8B276AA1}"/>
              </c:ext>
            </c:extLst>
          </c:dPt>
          <c:dLbls>
            <c:dLbl>
              <c:idx val="0"/>
              <c:layout>
                <c:manualLayout>
                  <c:x val="-2.8188865398167855E-3"/>
                  <c:y val="0.212962962962962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19-4708-8554-FFBD8B276AA1}"/>
                </c:ext>
              </c:extLst>
            </c:dLbl>
            <c:dLbl>
              <c:idx val="1"/>
              <c:layout>
                <c:manualLayout>
                  <c:x val="-2.8188865398167725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19-4708-8554-FFBD8B276AA1}"/>
                </c:ext>
              </c:extLst>
            </c:dLbl>
            <c:dLbl>
              <c:idx val="2"/>
              <c:layout>
                <c:manualLayout>
                  <c:x val="-2.8188865398168241E-3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19-4708-8554-FFBD8B276AA1}"/>
                </c:ext>
              </c:extLst>
            </c:dLbl>
            <c:dLbl>
              <c:idx val="3"/>
              <c:layout>
                <c:manualLayout>
                  <c:x val="-2.8188865398167725E-3"/>
                  <c:y val="6.0185185185185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19-4708-8554-FFBD8B276AA1}"/>
                </c:ext>
              </c:extLst>
            </c:dLbl>
            <c:dLbl>
              <c:idx val="5"/>
              <c:layout>
                <c:manualLayout>
                  <c:x val="-2.8188865398167725E-3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19-4708-8554-FFBD8B276AA1}"/>
                </c:ext>
              </c:extLst>
            </c:dLbl>
            <c:dLbl>
              <c:idx val="6"/>
              <c:layout>
                <c:manualLayout>
                  <c:x val="2.8188865398166688E-3"/>
                  <c:y val="9.2593321668124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9-4708-8554-FFBD8B276AA1}"/>
                </c:ext>
              </c:extLst>
            </c:dLbl>
            <c:dLbl>
              <c:idx val="7"/>
              <c:layout>
                <c:manualLayout>
                  <c:x val="0"/>
                  <c:y val="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19-4708-8554-FFBD8B276AA1}"/>
                </c:ext>
              </c:extLst>
            </c:dLbl>
            <c:dLbl>
              <c:idx val="8"/>
              <c:layout>
                <c:manualLayout>
                  <c:x val="-2.8188865398166688E-3"/>
                  <c:y val="0.1111111111111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19-4708-8554-FFBD8B276AA1}"/>
                </c:ext>
              </c:extLst>
            </c:dLbl>
            <c:dLbl>
              <c:idx val="9"/>
              <c:layout>
                <c:manualLayout>
                  <c:x val="-2.8188865398166688E-3"/>
                  <c:y val="9.722222222222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19-4708-8554-FFBD8B276A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'G25'!$C$2:$L$2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'G25'!$C$7:$L$7</c:f>
              <c:numCache>
                <c:formatCode>#\ ##0.0</c:formatCode>
                <c:ptCount val="10"/>
                <c:pt idx="0">
                  <c:v>5.1204508551217476</c:v>
                </c:pt>
                <c:pt idx="1">
                  <c:v>3.2956705385753691</c:v>
                </c:pt>
                <c:pt idx="2">
                  <c:v>2.00115520322912</c:v>
                </c:pt>
                <c:pt idx="3">
                  <c:v>0.11000049842868975</c:v>
                </c:pt>
                <c:pt idx="4">
                  <c:v>0.34381401241740384</c:v>
                </c:pt>
                <c:pt idx="5">
                  <c:v>-1.0895226354516039</c:v>
                </c:pt>
                <c:pt idx="6">
                  <c:v>-2.059022415641238</c:v>
                </c:pt>
                <c:pt idx="7">
                  <c:v>-0.83089858491060009</c:v>
                </c:pt>
                <c:pt idx="8">
                  <c:v>-1.1494933187965093</c:v>
                </c:pt>
                <c:pt idx="9">
                  <c:v>-1.1781217191057767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E19-4708-8554-FFBD8B276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9720072"/>
        <c:axId val="349718112"/>
      </c:barChart>
      <c:lineChart>
        <c:grouping val="standard"/>
        <c:varyColors val="0"/>
        <c:ser>
          <c:idx val="0"/>
          <c:order val="0"/>
          <c:tx>
            <c:v>Hrubý dlh</c:v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E19-4708-8554-FFBD8B276AA1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E19-4708-8554-FFBD8B276AA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E19-4708-8554-FFBD8B276AA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9E19-4708-8554-FFBD8B276AA1}"/>
              </c:ext>
            </c:extLst>
          </c:dPt>
          <c:cat>
            <c:numRef>
              <c:f>'G25'!$C$2:$L$2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'G25'!$C$3:$L$3</c:f>
              <c:numCache>
                <c:formatCode>#\ ##0.0</c:formatCode>
                <c:ptCount val="10"/>
                <c:pt idx="0">
                  <c:v>8.4892338693052025</c:v>
                </c:pt>
                <c:pt idx="1">
                  <c:v>2.5743002320916304</c:v>
                </c:pt>
                <c:pt idx="2">
                  <c:v>-1.2154841109417518</c:v>
                </c:pt>
                <c:pt idx="3">
                  <c:v>-1.3428728901587874</c:v>
                </c:pt>
                <c:pt idx="4">
                  <c:v>-0.40777634746286395</c:v>
                </c:pt>
                <c:pt idx="5">
                  <c:v>-0.8251098395294818</c:v>
                </c:pt>
                <c:pt idx="6">
                  <c:v>-2.2204032897048691</c:v>
                </c:pt>
                <c:pt idx="7">
                  <c:v>-0.65140980644411428</c:v>
                </c:pt>
                <c:pt idx="8">
                  <c:v>-0.83790322866407507</c:v>
                </c:pt>
                <c:pt idx="9">
                  <c:v>-0.91233782384230011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E19-4708-8554-FFBD8B276AA1}"/>
            </c:ext>
          </c:extLst>
        </c:ser>
        <c:ser>
          <c:idx val="1"/>
          <c:order val="1"/>
          <c:tx>
            <c:v>Čistý dlh</c:v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DCB47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9E19-4708-8554-FFBD8B276AA1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DCB47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9E19-4708-8554-FFBD8B276AA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DCB47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9E19-4708-8554-FFBD8B276AA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DCB47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9E19-4708-8554-FFBD8B276AA1}"/>
              </c:ext>
            </c:extLst>
          </c:dPt>
          <c:cat>
            <c:numRef>
              <c:f>'G25'!$C$2:$L$2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'G25'!$C$5:$L$5</c:f>
              <c:numCache>
                <c:formatCode>#\ ##0.0</c:formatCode>
                <c:ptCount val="10"/>
                <c:pt idx="0">
                  <c:v>4.3330702475856588</c:v>
                </c:pt>
                <c:pt idx="1">
                  <c:v>2.4269583927612315</c:v>
                </c:pt>
                <c:pt idx="2">
                  <c:v>1.7136700739968385</c:v>
                </c:pt>
                <c:pt idx="3">
                  <c:v>-2.0408805792177569</c:v>
                </c:pt>
                <c:pt idx="4">
                  <c:v>-1.0907182143052871</c:v>
                </c:pt>
                <c:pt idx="5">
                  <c:v>-1.2962252160960048</c:v>
                </c:pt>
                <c:pt idx="6">
                  <c:v>-2.1124941447764609</c:v>
                </c:pt>
                <c:pt idx="7">
                  <c:v>-0.90119208714070975</c:v>
                </c:pt>
                <c:pt idx="8">
                  <c:v>-1.2154963536037622</c:v>
                </c:pt>
                <c:pt idx="9">
                  <c:v>-1.2404497465419189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19-4708-8554-FFBD8B276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20072"/>
        <c:axId val="349718112"/>
      </c:lineChart>
      <c:catAx>
        <c:axId val="34972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49718112"/>
        <c:crosses val="autoZero"/>
        <c:auto val="1"/>
        <c:lblAlgn val="ctr"/>
        <c:lblOffset val="100"/>
        <c:noMultiLvlLbl val="0"/>
      </c:catAx>
      <c:valAx>
        <c:axId val="349718112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4972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666666666666664"/>
          <c:y val="7.8990594925634289E-2"/>
          <c:w val="0.59722222222222221"/>
          <c:h val="0.22164843977836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36701662292212E-2"/>
          <c:y val="5.0925925925925923E-2"/>
          <c:w val="0.90825218722659662"/>
          <c:h val="0.88483741615631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'G26, G27'!$A$12</c:f>
              <c:strCache>
                <c:ptCount val="1"/>
                <c:pt idx="0">
                  <c:v>EK (jeseň 2018)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'G26, G27'!$B$11:$G$11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G27'!$B$12:$G$12</c:f>
              <c:numCache>
                <c:formatCode>0.0</c:formatCode>
                <c:ptCount val="6"/>
                <c:pt idx="0">
                  <c:v>-2.1</c:v>
                </c:pt>
                <c:pt idx="1">
                  <c:v>-0.9</c:v>
                </c:pt>
                <c:pt idx="2">
                  <c:v>-0.8</c:v>
                </c:pt>
                <c:pt idx="3">
                  <c:v>-0.8</c:v>
                </c:pt>
                <c:pt idx="4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C-41F9-9B92-B75B06BEB91E}"/>
            </c:ext>
          </c:extLst>
        </c:ser>
        <c:ser>
          <c:idx val="5"/>
          <c:order val="1"/>
          <c:tx>
            <c:strRef>
              <c:f>'G26, G27'!$A$16</c:f>
              <c:strCache>
                <c:ptCount val="1"/>
                <c:pt idx="0">
                  <c:v>MMF (okt 2018)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'G26, G27'!$B$11:$G$11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G27'!$B$16:$G$16</c:f>
              <c:numCache>
                <c:formatCode>0.0</c:formatCode>
                <c:ptCount val="6"/>
                <c:pt idx="0">
                  <c:v>-2.5870000000000002</c:v>
                </c:pt>
                <c:pt idx="1">
                  <c:v>-1.361</c:v>
                </c:pt>
                <c:pt idx="2">
                  <c:v>-1.032</c:v>
                </c:pt>
                <c:pt idx="3">
                  <c:v>-0.73199999999999998</c:v>
                </c:pt>
                <c:pt idx="4">
                  <c:v>-0.17299999999999999</c:v>
                </c:pt>
                <c:pt idx="5">
                  <c:v>-0.124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C-41F9-9B92-B75B06BEB91E}"/>
            </c:ext>
          </c:extLst>
        </c:ser>
        <c:ser>
          <c:idx val="4"/>
          <c:order val="2"/>
          <c:tx>
            <c:strRef>
              <c:f>'G26, G27'!$A$15</c:f>
              <c:strCache>
                <c:ptCount val="1"/>
                <c:pt idx="0">
                  <c:v>OECD (jún 2018)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cat>
            <c:numRef>
              <c:f>'G26, G27'!$B$11:$G$11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G27'!$B$15:$G$15</c:f>
              <c:numCache>
                <c:formatCode>0.0</c:formatCode>
                <c:ptCount val="6"/>
                <c:pt idx="0">
                  <c:v>-2.1799999999999997</c:v>
                </c:pt>
                <c:pt idx="1">
                  <c:v>-1.03</c:v>
                </c:pt>
                <c:pt idx="2">
                  <c:v>-0.85</c:v>
                </c:pt>
                <c:pt idx="3">
                  <c:v>-0.55000000000000004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C-41F9-9B92-B75B06BEB91E}"/>
            </c:ext>
          </c:extLst>
        </c:ser>
        <c:ser>
          <c:idx val="1"/>
          <c:order val="3"/>
          <c:tx>
            <c:strRef>
              <c:f>'G26, G27'!$A$13</c:f>
              <c:strCache>
                <c:ptCount val="1"/>
                <c:pt idx="0">
                  <c:v>MF SR(DBP)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'G26, G27'!$B$11:$G$11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G27'!$B$13:$G$13</c:f>
              <c:numCache>
                <c:formatCode>0.0</c:formatCode>
                <c:ptCount val="6"/>
                <c:pt idx="0">
                  <c:v>-2.1009864074983864</c:v>
                </c:pt>
                <c:pt idx="1">
                  <c:v>-0.83153846998002012</c:v>
                </c:pt>
                <c:pt idx="2">
                  <c:v>-0.81748292666450073</c:v>
                </c:pt>
                <c:pt idx="3">
                  <c:v>-0.57470191992028918</c:v>
                </c:pt>
                <c:pt idx="4">
                  <c:v>-0.50392028055833749</c:v>
                </c:pt>
                <c:pt idx="5">
                  <c:v>-0.285663740111401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4C-41F9-9B92-B75B06BEB91E}"/>
            </c:ext>
          </c:extLst>
        </c:ser>
        <c:ser>
          <c:idx val="3"/>
          <c:order val="4"/>
          <c:tx>
            <c:strRef>
              <c:f>'G26, G27'!$A$14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'G26, G27'!$B$11:$G$11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G27'!$B$14:$G$14</c:f>
              <c:numCache>
                <c:formatCode>0.0</c:formatCode>
                <c:ptCount val="6"/>
                <c:pt idx="0">
                  <c:v>-1.8490274543212348</c:v>
                </c:pt>
                <c:pt idx="1">
                  <c:v>-0.83633882821086614</c:v>
                </c:pt>
                <c:pt idx="2">
                  <c:v>-1.1024911910217388</c:v>
                </c:pt>
                <c:pt idx="3">
                  <c:v>-0.90218873771692698</c:v>
                </c:pt>
                <c:pt idx="4">
                  <c:v>-0.79113149651803527</c:v>
                </c:pt>
                <c:pt idx="5">
                  <c:v>-0.22951379331353308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4C-41F9-9B92-B75B06BEB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28448"/>
        <c:axId val="457828840"/>
      </c:barChart>
      <c:catAx>
        <c:axId val="4578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8840"/>
        <c:crosses val="autoZero"/>
        <c:auto val="1"/>
        <c:lblAlgn val="ctr"/>
        <c:lblOffset val="100"/>
        <c:noMultiLvlLbl val="0"/>
      </c:catAx>
      <c:valAx>
        <c:axId val="45782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151546846117919"/>
          <c:y val="0.65382559154897923"/>
          <c:w val="0.36501744974185918"/>
          <c:h val="0.2426340636445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50883771107566E-2"/>
          <c:y val="8.9536407215971642E-2"/>
          <c:w val="0.91864911622889245"/>
          <c:h val="0.88344011522992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'G26, G27'!$A$12</c:f>
              <c:strCache>
                <c:ptCount val="1"/>
                <c:pt idx="0">
                  <c:v>EK (jeseň 2018)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'G26, G27'!$B$2:$G$2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G27'!$B$3:$G$3</c:f>
              <c:numCache>
                <c:formatCode>0.0</c:formatCode>
                <c:ptCount val="6"/>
                <c:pt idx="0">
                  <c:v>-2.2000000000000002</c:v>
                </c:pt>
                <c:pt idx="1">
                  <c:v>-0.78</c:v>
                </c:pt>
                <c:pt idx="2">
                  <c:v>-0.6</c:v>
                </c:pt>
                <c:pt idx="3">
                  <c:v>-0.3</c:v>
                </c:pt>
                <c:pt idx="4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E-4F22-B457-1DEA18138F1E}"/>
            </c:ext>
          </c:extLst>
        </c:ser>
        <c:ser>
          <c:idx val="5"/>
          <c:order val="1"/>
          <c:tx>
            <c:strRef>
              <c:f>'G26, G27'!$A$16</c:f>
              <c:strCache>
                <c:ptCount val="1"/>
                <c:pt idx="0">
                  <c:v>MMF (okt 2018)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'G26, G27'!$B$2:$G$2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G27'!$B$7:$G$7</c:f>
              <c:numCache>
                <c:formatCode>0.0</c:formatCode>
                <c:ptCount val="6"/>
                <c:pt idx="0">
                  <c:v>-2.2069999999999999</c:v>
                </c:pt>
                <c:pt idx="1">
                  <c:v>-1.0409999999999999</c:v>
                </c:pt>
                <c:pt idx="2">
                  <c:v>-0.74299999999999999</c:v>
                </c:pt>
                <c:pt idx="3">
                  <c:v>-0.47499999999999998</c:v>
                </c:pt>
                <c:pt idx="4">
                  <c:v>2.5000000000000001E-2</c:v>
                </c:pt>
                <c:pt idx="5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E-4F22-B457-1DEA18138F1E}"/>
            </c:ext>
          </c:extLst>
        </c:ser>
        <c:ser>
          <c:idx val="4"/>
          <c:order val="2"/>
          <c:tx>
            <c:strRef>
              <c:f>'G26, G27'!$A$15</c:f>
              <c:strCache>
                <c:ptCount val="1"/>
                <c:pt idx="0">
                  <c:v>OECD (jún 2018)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cat>
            <c:numRef>
              <c:f>'G26, G27'!$B$2:$G$2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G27'!$B$6:$G$6</c:f>
              <c:numCache>
                <c:formatCode>0.0</c:formatCode>
                <c:ptCount val="6"/>
                <c:pt idx="0">
                  <c:v>-2.21</c:v>
                </c:pt>
                <c:pt idx="1">
                  <c:v>-1.04</c:v>
                </c:pt>
                <c:pt idx="2">
                  <c:v>-0.79</c:v>
                </c:pt>
                <c:pt idx="3">
                  <c:v>-0.34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E-4F22-B457-1DEA18138F1E}"/>
            </c:ext>
          </c:extLst>
        </c:ser>
        <c:ser>
          <c:idx val="1"/>
          <c:order val="3"/>
          <c:tx>
            <c:strRef>
              <c:f>'G26, G27'!$A$4</c:f>
              <c:strCache>
                <c:ptCount val="1"/>
                <c:pt idx="0">
                  <c:v>MF SR(DBP)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'G26, G27'!$B$2:$G$2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G27'!$B$4:$G$4</c:f>
              <c:numCache>
                <c:formatCode>0.0</c:formatCode>
                <c:ptCount val="6"/>
                <c:pt idx="0">
                  <c:v>-2.2218395317473991</c:v>
                </c:pt>
                <c:pt idx="1">
                  <c:v>-0.76739457038474512</c:v>
                </c:pt>
                <c:pt idx="2">
                  <c:v>-0.60115523541851701</c:v>
                </c:pt>
                <c:pt idx="3">
                  <c:v>-0.10015793408854279</c:v>
                </c:pt>
                <c:pt idx="4">
                  <c:v>0</c:v>
                </c:pt>
                <c:pt idx="5">
                  <c:v>0.20031684202898248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E-4F22-B457-1DEA18138F1E}"/>
            </c:ext>
          </c:extLst>
        </c:ser>
        <c:ser>
          <c:idx val="3"/>
          <c:order val="4"/>
          <c:tx>
            <c:strRef>
              <c:f>'G26, G27'!$A$14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'G26, G27'!$B$2:$G$2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'G26, G27'!$B$5:$G$5</c:f>
              <c:numCache>
                <c:formatCode>0.0</c:formatCode>
                <c:ptCount val="6"/>
                <c:pt idx="0">
                  <c:v>-2.2218395317473991</c:v>
                </c:pt>
                <c:pt idx="1">
                  <c:v>-0.77696312238339715</c:v>
                </c:pt>
                <c:pt idx="2">
                  <c:v>-0.91906030830530994</c:v>
                </c:pt>
                <c:pt idx="3">
                  <c:v>-0.69619112472082978</c:v>
                </c:pt>
                <c:pt idx="4">
                  <c:v>-0.56411018069720364</c:v>
                </c:pt>
                <c:pt idx="5">
                  <c:v>-0.17785920837563068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BE-4F22-B457-1DEA18138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31976"/>
        <c:axId val="457832368"/>
      </c:barChart>
      <c:catAx>
        <c:axId val="45783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32368"/>
        <c:crosses val="autoZero"/>
        <c:auto val="1"/>
        <c:lblAlgn val="ctr"/>
        <c:lblOffset val="100"/>
        <c:noMultiLvlLbl val="0"/>
      </c:catAx>
      <c:valAx>
        <c:axId val="4578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3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16407817443872"/>
          <c:y val="0.65382559154897923"/>
          <c:w val="0.3683592182556128"/>
          <c:h val="0.31119439470587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38622668965358E-2"/>
          <c:y val="0.13410041486749641"/>
          <c:w val="0.91869673781174277"/>
          <c:h val="0.72020015240030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'G28'!$A$3</c:f>
              <c:strCache>
                <c:ptCount val="1"/>
                <c:pt idx="0">
                  <c:v>Cyklická zložka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'G28'!$B$1:$X$1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'G28'!$B$3:$X$3</c:f>
              <c:numCache>
                <c:formatCode>0.0</c:formatCode>
                <c:ptCount val="23"/>
                <c:pt idx="0">
                  <c:v>0.26431343959497233</c:v>
                </c:pt>
                <c:pt idx="1">
                  <c:v>0.31388827301732053</c:v>
                </c:pt>
                <c:pt idx="2">
                  <c:v>0.59768421935988136</c:v>
                </c:pt>
                <c:pt idx="3">
                  <c:v>0.23660065294428922</c:v>
                </c:pt>
                <c:pt idx="4">
                  <c:v>0.36348253440645778</c:v>
                </c:pt>
                <c:pt idx="5">
                  <c:v>0.62638457855429386</c:v>
                </c:pt>
                <c:pt idx="6">
                  <c:v>3.9405469127987258E-2</c:v>
                </c:pt>
                <c:pt idx="7">
                  <c:v>-0.17854509758709261</c:v>
                </c:pt>
                <c:pt idx="8">
                  <c:v>-1.0431171127651553</c:v>
                </c:pt>
                <c:pt idx="9">
                  <c:v>-1.1169682679796002</c:v>
                </c:pt>
                <c:pt idx="10">
                  <c:v>-0.3510342151764147</c:v>
                </c:pt>
                <c:pt idx="11">
                  <c:v>-0.23711399392316196</c:v>
                </c:pt>
                <c:pt idx="12">
                  <c:v>-0.12668598318037383</c:v>
                </c:pt>
                <c:pt idx="13">
                  <c:v>7.9853272952222124E-2</c:v>
                </c:pt>
                <c:pt idx="14">
                  <c:v>0.48442112877869109</c:v>
                </c:pt>
                <c:pt idx="15">
                  <c:v>0.40374393294586797</c:v>
                </c:pt>
                <c:pt idx="16">
                  <c:v>0.26320271918415256</c:v>
                </c:pt>
                <c:pt idx="17">
                  <c:v>0.22841883398210858</c:v>
                </c:pt>
                <c:pt idx="18">
                  <c:v>-7.4346970979326132E-2</c:v>
                </c:pt>
                <c:pt idx="19">
                  <c:v>-0.14176242308922402</c:v>
                </c:pt>
                <c:pt idx="20">
                  <c:v>-0.21186781722435485</c:v>
                </c:pt>
                <c:pt idx="21">
                  <c:v>-0.23264003146889167</c:v>
                </c:pt>
                <c:pt idx="22">
                  <c:v>-5.7010025035629616E-2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3-45A6-8FCC-3E2A1B192FFB}"/>
            </c:ext>
          </c:extLst>
        </c:ser>
        <c:ser>
          <c:idx val="1"/>
          <c:order val="1"/>
          <c:tx>
            <c:strRef>
              <c:f>'G28'!$A$4</c:f>
              <c:strCache>
                <c:ptCount val="1"/>
                <c:pt idx="0">
                  <c:v>Jednorazové efekty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'G28'!$B$1:$X$1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'G28'!$B$4:$X$4</c:f>
              <c:numCache>
                <c:formatCode>0.0</c:formatCode>
                <c:ptCount val="23"/>
                <c:pt idx="0">
                  <c:v>-8.0125799677304044E-2</c:v>
                </c:pt>
                <c:pt idx="1">
                  <c:v>5.0452693602405922</c:v>
                </c:pt>
                <c:pt idx="2">
                  <c:v>-0.5172013494829677</c:v>
                </c:pt>
                <c:pt idx="3">
                  <c:v>2.453083887847741</c:v>
                </c:pt>
                <c:pt idx="4">
                  <c:v>0.42209578675629755</c:v>
                </c:pt>
                <c:pt idx="5">
                  <c:v>-8.7567598357425336E-2</c:v>
                </c:pt>
                <c:pt idx="6">
                  <c:v>0.49693846413174708</c:v>
                </c:pt>
                <c:pt idx="7">
                  <c:v>0.41564379595869277</c:v>
                </c:pt>
                <c:pt idx="8">
                  <c:v>-0.51769907547526739</c:v>
                </c:pt>
                <c:pt idx="9">
                  <c:v>0.43708995157698599</c:v>
                </c:pt>
                <c:pt idx="10">
                  <c:v>0.53995352755924531</c:v>
                </c:pt>
                <c:pt idx="11">
                  <c:v>0.47758519104821129</c:v>
                </c:pt>
                <c:pt idx="12">
                  <c:v>-0.87857703557715472</c:v>
                </c:pt>
                <c:pt idx="13">
                  <c:v>-0.25872088464280946</c:v>
                </c:pt>
                <c:pt idx="14">
                  <c:v>-0.1802834784414421</c:v>
                </c:pt>
                <c:pt idx="15">
                  <c:v>-0.31689208067691021</c:v>
                </c:pt>
                <c:pt idx="16">
                  <c:v>-8.0360478566102074E-3</c:v>
                </c:pt>
                <c:pt idx="17">
                  <c:v>0.14437731465855855</c:v>
                </c:pt>
                <c:pt idx="18">
                  <c:v>1.497124237046705E-2</c:v>
                </c:pt>
                <c:pt idx="19">
                  <c:v>6.4082835653038834E-3</c:v>
                </c:pt>
                <c:pt idx="20">
                  <c:v>5.9832193467282699E-3</c:v>
                </c:pt>
                <c:pt idx="21">
                  <c:v>5.6180247430092931E-3</c:v>
                </c:pt>
                <c:pt idx="22">
                  <c:v>5.3052166668059175E-3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3-45A6-8FCC-3E2A1B192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801605296"/>
        <c:axId val="801602344"/>
      </c:barChart>
      <c:lineChart>
        <c:grouping val="standard"/>
        <c:varyColors val="0"/>
        <c:ser>
          <c:idx val="2"/>
          <c:order val="2"/>
          <c:tx>
            <c:strRef>
              <c:f>'G28'!$A$2</c:f>
              <c:strCache>
                <c:ptCount val="1"/>
                <c:pt idx="0">
                  <c:v>Saldo VS (pr.os)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1.3888244763258688E-2"/>
                  <c:y val="-4.9494538989077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43-45A6-8FCC-3E2A1B192FFB}"/>
                </c:ext>
              </c:extLst>
            </c:dLbl>
            <c:dLbl>
              <c:idx val="9"/>
              <c:layout>
                <c:manualLayout>
                  <c:x val="-6.5513961843117882E-3"/>
                  <c:y val="-3.6591313182626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3-45A6-8FCC-3E2A1B192FFB}"/>
                </c:ext>
              </c:extLst>
            </c:dLbl>
            <c:dLbl>
              <c:idx val="10"/>
              <c:layout>
                <c:manualLayout>
                  <c:x val="-3.2198036705079022E-2"/>
                  <c:y val="4.0828041656083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43-45A6-8FCC-3E2A1B192FFB}"/>
                </c:ext>
              </c:extLst>
            </c:dLbl>
            <c:dLbl>
              <c:idx val="11"/>
              <c:layout>
                <c:manualLayout>
                  <c:x val="-1.4656490601927063E-2"/>
                  <c:y val="4.94301921937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3-45A6-8FCC-3E2A1B192FFB}"/>
                </c:ext>
              </c:extLst>
            </c:dLbl>
            <c:dLbl>
              <c:idx val="12"/>
              <c:layout>
                <c:manualLayout>
                  <c:x val="-5.0725599120852595E-2"/>
                  <c:y val="-3.2290237913809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43-45A6-8FCC-3E2A1B192FFB}"/>
                </c:ext>
              </c:extLst>
            </c:dLbl>
            <c:dLbl>
              <c:idx val="13"/>
              <c:layout>
                <c:manualLayout>
                  <c:x val="-4.2189534246759489E-2"/>
                  <c:y val="-7.530099060198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43-45A6-8FCC-3E2A1B192FFB}"/>
                </c:ext>
              </c:extLst>
            </c:dLbl>
            <c:dLbl>
              <c:idx val="19"/>
              <c:layout>
                <c:manualLayout>
                  <c:x val="-2.7498899385336242E-2"/>
                  <c:y val="-4.5193463720260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43-45A6-8FCC-3E2A1B192FFB}"/>
                </c:ext>
              </c:extLst>
            </c:dLbl>
            <c:dLbl>
              <c:idx val="20"/>
              <c:layout>
                <c:manualLayout>
                  <c:x val="-2.5778915919761114E-2"/>
                  <c:y val="-4.5193463720260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43-45A6-8FCC-3E2A1B192FFB}"/>
                </c:ext>
              </c:extLst>
            </c:dLbl>
            <c:dLbl>
              <c:idx val="21"/>
              <c:layout>
                <c:manualLayout>
                  <c:x val="-9.3853697225105524E-3"/>
                  <c:y val="-3.6591313182626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43-45A6-8FCC-3E2A1B192F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'G28'!$B$2:$X$2</c:f>
              <c:numCache>
                <c:formatCode>0.0</c:formatCode>
                <c:ptCount val="23"/>
                <c:pt idx="0">
                  <c:v>-7.2762661139151783</c:v>
                </c:pt>
                <c:pt idx="1">
                  <c:v>-12.023561319624777</c:v>
                </c:pt>
                <c:pt idx="2">
                  <c:v>-6.4012246703076388</c:v>
                </c:pt>
                <c:pt idx="3">
                  <c:v>-8.0880171112313182</c:v>
                </c:pt>
                <c:pt idx="4">
                  <c:v>-2.7030978825266248</c:v>
                </c:pt>
                <c:pt idx="5">
                  <c:v>-2.3083834077773604</c:v>
                </c:pt>
                <c:pt idx="6">
                  <c:v>-2.8832636068580419</c:v>
                </c:pt>
                <c:pt idx="7">
                  <c:v>-3.5919756617837155</c:v>
                </c:pt>
                <c:pt idx="8">
                  <c:v>-1.9488094325421548</c:v>
                </c:pt>
                <c:pt idx="9">
                  <c:v>-2.3453458540611178</c:v>
                </c:pt>
                <c:pt idx="10">
                  <c:v>-7.8292338562302586</c:v>
                </c:pt>
                <c:pt idx="11">
                  <c:v>-7.4849112027105908</c:v>
                </c:pt>
                <c:pt idx="12">
                  <c:v>-4.276963813023607</c:v>
                </c:pt>
                <c:pt idx="13">
                  <c:v>-4.3449069648120027</c:v>
                </c:pt>
                <c:pt idx="14">
                  <c:v>-2.7199722992649589</c:v>
                </c:pt>
                <c:pt idx="15">
                  <c:v>-2.7022732911847389</c:v>
                </c:pt>
                <c:pt idx="16">
                  <c:v>-2.5612143368057132</c:v>
                </c:pt>
                <c:pt idx="17">
                  <c:v>-2.2218235270342319</c:v>
                </c:pt>
                <c:pt idx="18">
                  <c:v>-0.77696312238339471</c:v>
                </c:pt>
                <c:pt idx="19">
                  <c:v>-0.91894875113976826</c:v>
                </c:pt>
                <c:pt idx="20">
                  <c:v>-0.69630420475980503</c:v>
                </c:pt>
                <c:pt idx="21">
                  <c:v>-0.56410956107767629</c:v>
                </c:pt>
                <c:pt idx="22">
                  <c:v>-0.17780900241371267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43-45A6-8FCC-3E2A1B192FFB}"/>
            </c:ext>
          </c:extLst>
        </c:ser>
        <c:ser>
          <c:idx val="3"/>
          <c:order val="3"/>
          <c:tx>
            <c:strRef>
              <c:f>'G28'!$A$5</c:f>
              <c:strCache>
                <c:ptCount val="1"/>
                <c:pt idx="0">
                  <c:v>Štrukturálne saldo (pr.os)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3.3230967767953465E-2"/>
                  <c:y val="3.22902379138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43-45A6-8FCC-3E2A1B192FFB}"/>
                </c:ext>
              </c:extLst>
            </c:dLbl>
            <c:dLbl>
              <c:idx val="9"/>
              <c:layout>
                <c:manualLayout>
                  <c:x val="-3.539482660698149E-2"/>
                  <c:y val="8.820421640843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43-45A6-8FCC-3E2A1B192FFB}"/>
                </c:ext>
              </c:extLst>
            </c:dLbl>
            <c:dLbl>
              <c:idx val="12"/>
              <c:layout>
                <c:manualLayout>
                  <c:x val="-2.2987689919041873E-2"/>
                  <c:y val="6.2397764795529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43-45A6-8FCC-3E2A1B192FFB}"/>
                </c:ext>
              </c:extLst>
            </c:dLbl>
            <c:dLbl>
              <c:idx val="13"/>
              <c:layout>
                <c:manualLayout>
                  <c:x val="-2.0140811463867914E-2"/>
                  <c:y val="4.0892388451443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43-45A6-8FCC-3E2A1B192FFB}"/>
                </c:ext>
              </c:extLst>
            </c:dLbl>
            <c:dLbl>
              <c:idx val="19"/>
              <c:layout>
                <c:manualLayout>
                  <c:x val="-2.5864276568501921E-2"/>
                  <c:y val="2.3688087376174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43-45A6-8FCC-3E2A1B192FFB}"/>
                </c:ext>
              </c:extLst>
            </c:dLbl>
            <c:dLbl>
              <c:idx val="20"/>
              <c:layout>
                <c:manualLayout>
                  <c:x val="-2.1976132624907288E-2"/>
                  <c:y val="5.3795614257895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43-45A6-8FCC-3E2A1B192FFB}"/>
                </c:ext>
              </c:extLst>
            </c:dLbl>
            <c:dLbl>
              <c:idx val="21"/>
              <c:layout>
                <c:manualLayout>
                  <c:x val="-2.5778915919760989E-2"/>
                  <c:y val="4.9494538989077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43-45A6-8FCC-3E2A1B192F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'G28'!$B$5:$X$5</c:f>
              <c:numCache>
                <c:formatCode>0.0</c:formatCode>
                <c:ptCount val="23"/>
                <c:pt idx="0">
                  <c:v>-7.0920784739975096</c:v>
                </c:pt>
                <c:pt idx="1">
                  <c:v>-6.6644036863668639</c:v>
                </c:pt>
                <c:pt idx="2">
                  <c:v>-6.3207418004307252</c:v>
                </c:pt>
                <c:pt idx="3">
                  <c:v>-5.3983325704392886</c:v>
                </c:pt>
                <c:pt idx="4">
                  <c:v>-1.9175195613638696</c:v>
                </c:pt>
                <c:pt idx="5">
                  <c:v>-1.7695664275804919</c:v>
                </c:pt>
                <c:pt idx="6">
                  <c:v>-2.346919673598308</c:v>
                </c:pt>
                <c:pt idx="7">
                  <c:v>-3.3548769634121154</c:v>
                </c:pt>
                <c:pt idx="8">
                  <c:v>-3.5096256207825771</c:v>
                </c:pt>
                <c:pt idx="9">
                  <c:v>-3.0252241704637322</c:v>
                </c:pt>
                <c:pt idx="10">
                  <c:v>-7.6403145438474276</c:v>
                </c:pt>
                <c:pt idx="11">
                  <c:v>-7.2444400055855418</c:v>
                </c:pt>
                <c:pt idx="12">
                  <c:v>-5.2822268317811352</c:v>
                </c:pt>
                <c:pt idx="13">
                  <c:v>-4.5237745765025892</c:v>
                </c:pt>
                <c:pt idx="14">
                  <c:v>-2.41583464892771</c:v>
                </c:pt>
                <c:pt idx="15">
                  <c:v>-2.615421438915781</c:v>
                </c:pt>
                <c:pt idx="16">
                  <c:v>-2.3060476654781712</c:v>
                </c:pt>
                <c:pt idx="17">
                  <c:v>-1.8490273783935649</c:v>
                </c:pt>
                <c:pt idx="18">
                  <c:v>-0.8363388509922538</c:v>
                </c:pt>
                <c:pt idx="19">
                  <c:v>-1.0543028906636884</c:v>
                </c:pt>
                <c:pt idx="20">
                  <c:v>-0.90218880263743162</c:v>
                </c:pt>
                <c:pt idx="21">
                  <c:v>-0.79113156780355864</c:v>
                </c:pt>
                <c:pt idx="22">
                  <c:v>-0.22951381078253638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E43-45A6-8FCC-3E2A1B192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559048"/>
        <c:axId val="801559376"/>
      </c:lineChart>
      <c:catAx>
        <c:axId val="80160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801602344"/>
        <c:crosses val="autoZero"/>
        <c:auto val="1"/>
        <c:lblAlgn val="ctr"/>
        <c:lblOffset val="100"/>
        <c:noMultiLvlLbl val="0"/>
      </c:catAx>
      <c:valAx>
        <c:axId val="80160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801605296"/>
        <c:crosses val="autoZero"/>
        <c:crossBetween val="between"/>
      </c:valAx>
      <c:valAx>
        <c:axId val="801559376"/>
        <c:scaling>
          <c:orientation val="minMax"/>
          <c:min val="-1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801559048"/>
        <c:crosses val="max"/>
        <c:crossBetween val="between"/>
      </c:valAx>
      <c:catAx>
        <c:axId val="80155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8015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242481373567104E-2"/>
          <c:y val="0.88010701888070442"/>
          <c:w val="0.7547784823952064"/>
          <c:h val="8.9785454237575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6175478065237E-2"/>
          <c:y val="0.12132611330560424"/>
          <c:w val="0.8871037730453184"/>
          <c:h val="0.79175591423165126"/>
        </c:manualLayout>
      </c:layout>
      <c:scatterChart>
        <c:scatterStyle val="smoothMarker"/>
        <c:varyColors val="0"/>
        <c:ser>
          <c:idx val="0"/>
          <c:order val="0"/>
          <c:tx>
            <c:v>NRVS 2019-2021</c:v>
          </c:tx>
          <c:spPr>
            <a:ln>
              <a:solidFill>
                <a:srgbClr val="58595B"/>
              </a:solidFill>
            </a:ln>
          </c:spPr>
          <c:marker>
            <c:symbol val="diamond"/>
            <c:size val="7"/>
            <c:spPr>
              <a:solidFill>
                <a:srgbClr val="58595B"/>
              </a:solidFill>
              <a:ln>
                <a:solidFill>
                  <a:srgbClr val="58595B"/>
                </a:solidFill>
              </a:ln>
            </c:spPr>
          </c:marker>
          <c:dLbls>
            <c:dLbl>
              <c:idx val="0"/>
              <c:layout>
                <c:manualLayout>
                  <c:x val="0.49526326813706517"/>
                  <c:y val="0.1162396953901889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DCB47B"/>
                        </a:solidFill>
                      </a:rPr>
                      <a:t>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01-4FEE-9F40-BD8DEEBF79DD}"/>
                </c:ext>
              </c:extLst>
            </c:dLbl>
            <c:dLbl>
              <c:idx val="1"/>
              <c:layout>
                <c:manualLayout>
                  <c:x val="0.29551657150249866"/>
                  <c:y val="-2.7980481313075304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DCB47B"/>
                        </a:solidFill>
                      </a:rPr>
                      <a:t>2019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01-4FEE-9F40-BD8DEEBF79DD}"/>
                </c:ext>
              </c:extLst>
            </c:dLbl>
            <c:dLbl>
              <c:idx val="2"/>
              <c:layout>
                <c:manualLayout>
                  <c:x val="-0.11375215492678652"/>
                  <c:y val="0.411432849062881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01-4FEE-9F40-BD8DEEBF79DD}"/>
                </c:ext>
              </c:extLst>
            </c:dLbl>
            <c:dLbl>
              <c:idx val="3"/>
              <c:layout>
                <c:manualLayout>
                  <c:x val="-0.56611453994174121"/>
                  <c:y val="-0.149278400059147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01-4FEE-9F40-BD8DEEBF79DD}"/>
                </c:ext>
              </c:extLst>
            </c:dLbl>
            <c:dLbl>
              <c:idx val="4"/>
              <c:layout>
                <c:manualLayout>
                  <c:x val="-0.3780711877946179"/>
                  <c:y val="-0.264756201249491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01-4FEE-9F40-BD8DEEBF79DD}"/>
                </c:ext>
              </c:extLst>
            </c:dLbl>
            <c:dLbl>
              <c:idx val="5"/>
              <c:layout>
                <c:manualLayout>
                  <c:x val="-0.11424863225700135"/>
                  <c:y val="-1.81159471972918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01-4FEE-9F40-BD8DEEBF79D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01-4FEE-9F40-BD8DEEBF7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DCB47B"/>
                    </a:solidFill>
                    <a:latin typeface="Constantia" panose="02030602050306030303" pitchFamily="18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'G29'!$B$8:$F$8</c:f>
              <c:numCache>
                <c:formatCode>#\ ##0.0</c:formatCode>
                <c:ptCount val="5"/>
                <c:pt idx="0">
                  <c:v>0.13851173470652545</c:v>
                </c:pt>
                <c:pt idx="1">
                  <c:v>0.55284119144566346</c:v>
                </c:pt>
                <c:pt idx="2">
                  <c:v>1.2066913895963918</c:v>
                </c:pt>
                <c:pt idx="3">
                  <c:v>1.2809644075061895</c:v>
                </c:pt>
                <c:pt idx="4">
                  <c:v>1.2345563159508914</c:v>
                </c:pt>
              </c:numCache>
            </c:numRef>
          </c:xVal>
          <c:yVal>
            <c:numRef>
              <c:f>'G29'!$B$7:$F$7</c:f>
              <c:numCache>
                <c:formatCode>#\ ##0.0</c:formatCode>
                <c:ptCount val="5"/>
                <c:pt idx="0">
                  <c:v>0.61759631382791635</c:v>
                </c:pt>
                <c:pt idx="1">
                  <c:v>0.64975532477782127</c:v>
                </c:pt>
                <c:pt idx="2">
                  <c:v>0.30794696754348005</c:v>
                </c:pt>
                <c:pt idx="3">
                  <c:v>-0.97148399661967577</c:v>
                </c:pt>
                <c:pt idx="4">
                  <c:v>-0.91331318112625026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601-4FEE-9F40-BD8DEEBF79DD}"/>
            </c:ext>
          </c:extLst>
        </c:ser>
        <c:ser>
          <c:idx val="1"/>
          <c:order val="1"/>
          <c:tx>
            <c:v>VpMP</c:v>
          </c:tx>
          <c:spPr>
            <a:ln>
              <a:solidFill>
                <a:srgbClr val="DCB47B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DCB47B"/>
              </a:solidFill>
              <a:ln>
                <a:solidFill>
                  <a:srgbClr val="DCB47B"/>
                </a:solidFill>
                <a:prstDash val="sysDash"/>
              </a:ln>
            </c:spPr>
          </c:marker>
          <c:dLbls>
            <c:dLbl>
              <c:idx val="0"/>
              <c:layout>
                <c:manualLayout>
                  <c:x val="0.37783297790089854"/>
                  <c:y val="0.1694336623415030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chemeClr val="bg1">
                            <a:lumMod val="50000"/>
                          </a:schemeClr>
                        </a:solidFill>
                        <a:latin typeface="Constantia" panose="02030602050306030303" pitchFamily="18" charset="0"/>
                      </a:defRPr>
                    </a:pPr>
                    <a:r>
                      <a:rPr lang="en-US" sz="900" b="1">
                        <a:solidFill>
                          <a:schemeClr val="bg1">
                            <a:lumMod val="50000"/>
                          </a:schemeClr>
                        </a:solidFill>
                        <a:latin typeface="Constantia" panose="02030602050306030303" pitchFamily="18" charset="0"/>
                      </a:rPr>
                      <a:t>2021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01-4FEE-9F40-BD8DEEBF79DD}"/>
                </c:ext>
              </c:extLst>
            </c:dLbl>
            <c:dLbl>
              <c:idx val="1"/>
              <c:layout>
                <c:manualLayout>
                  <c:x val="0.28887313372302553"/>
                  <c:y val="3.8860300913090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chemeClr val="bg1">
                            <a:lumMod val="50000"/>
                          </a:schemeClr>
                        </a:solidFill>
                        <a:latin typeface="Constantia" panose="02030602050306030303" pitchFamily="18" charset="0"/>
                      </a:defRPr>
                    </a:pPr>
                    <a:r>
                      <a:rPr lang="en-US" sz="900" b="1">
                        <a:solidFill>
                          <a:schemeClr val="bg1">
                            <a:lumMod val="50000"/>
                          </a:schemeClr>
                        </a:solidFill>
                        <a:latin typeface="Constantia" panose="02030602050306030303" pitchFamily="18" charset="0"/>
                      </a:rPr>
                      <a:t>2019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01-4FEE-9F40-BD8DEEBF79DD}"/>
                </c:ext>
              </c:extLst>
            </c:dLbl>
            <c:dLbl>
              <c:idx val="2"/>
              <c:layout>
                <c:manualLayout>
                  <c:x val="2.0582566937493399E-2"/>
                  <c:y val="0.235056374995379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chemeClr val="bg1">
                            <a:lumMod val="50000"/>
                          </a:schemeClr>
                        </a:solidFill>
                        <a:latin typeface="Constantia" panose="02030602050306030303" pitchFamily="18" charset="0"/>
                      </a:defRPr>
                    </a:pPr>
                    <a:r>
                      <a:rPr lang="en-US" sz="900" b="1">
                        <a:solidFill>
                          <a:schemeClr val="bg1">
                            <a:lumMod val="50000"/>
                          </a:schemeClr>
                        </a:solidFill>
                        <a:latin typeface="Constantia" panose="02030602050306030303" pitchFamily="18" charset="0"/>
                      </a:rPr>
                      <a:t>2020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01-4FEE-9F40-BD8DEEBF79DD}"/>
                </c:ext>
              </c:extLst>
            </c:dLbl>
            <c:dLbl>
              <c:idx val="3"/>
              <c:layout>
                <c:manualLayout>
                  <c:x val="-0.56863448231958935"/>
                  <c:y val="-0.1878096928024841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chemeClr val="bg1">
                            <a:lumMod val="50000"/>
                          </a:schemeClr>
                        </a:solidFill>
                        <a:latin typeface="Constantia" panose="02030602050306030303" pitchFamily="18" charset="0"/>
                      </a:defRPr>
                    </a:pPr>
                    <a:r>
                      <a:rPr lang="en-US" sz="900" b="1">
                        <a:solidFill>
                          <a:schemeClr val="bg1">
                            <a:lumMod val="50000"/>
                          </a:schemeClr>
                        </a:solidFill>
                        <a:latin typeface="Constantia" panose="02030602050306030303" pitchFamily="18" charset="0"/>
                      </a:rPr>
                      <a:t>2017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01-4FEE-9F40-BD8DEEBF79DD}"/>
                </c:ext>
              </c:extLst>
            </c:dLbl>
            <c:dLbl>
              <c:idx val="4"/>
              <c:layout>
                <c:manualLayout>
                  <c:x val="-0.34716448085131291"/>
                  <c:y val="-0.5392466082584748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r>
                      <a:rPr lang="en-US" b="1">
                        <a:latin typeface="Constantia" panose="02030602050306030303" pitchFamily="18" charset="0"/>
                      </a:rPr>
                      <a:t>2018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934697632583808E-2"/>
                      <c:h val="7.03522975121067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0601-4FEE-9F40-BD8DEEBF7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'G29'!$B$12:$F$12</c:f>
              <c:numCache>
                <c:formatCode>#\ ##0.0</c:formatCode>
                <c:ptCount val="5"/>
                <c:pt idx="0">
                  <c:v>0.13851173470652545</c:v>
                </c:pt>
                <c:pt idx="1">
                  <c:v>0.55284119144566346</c:v>
                </c:pt>
                <c:pt idx="2">
                  <c:v>1.2066913895963918</c:v>
                </c:pt>
                <c:pt idx="3">
                  <c:v>1.2809644075061895</c:v>
                </c:pt>
                <c:pt idx="4">
                  <c:v>1.2345563159508914</c:v>
                </c:pt>
              </c:numCache>
            </c:numRef>
          </c:xVal>
          <c:yVal>
            <c:numRef>
              <c:f>'G29'!$B$11:$F$11</c:f>
              <c:numCache>
                <c:formatCode>#\ ##0.0</c:formatCode>
                <c:ptCount val="5"/>
                <c:pt idx="0">
                  <c:v>8.8516366660843226E-2</c:v>
                </c:pt>
                <c:pt idx="1">
                  <c:v>0.60120040719829282</c:v>
                </c:pt>
                <c:pt idx="2">
                  <c:v>0.31030314778693957</c:v>
                </c:pt>
                <c:pt idx="3">
                  <c:v>3.5515257573415226E-4</c:v>
                </c:pt>
                <c:pt idx="4">
                  <c:v>-1.7270717560365536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601-4FEE-9F40-BD8DEEBF79DD}"/>
            </c:ext>
          </c:extLst>
        </c:ser>
        <c:ser>
          <c:idx val="2"/>
          <c:order val="2"/>
          <c:tx>
            <c:v>RRZ</c:v>
          </c:tx>
          <c:spPr>
            <a:ln>
              <a:solidFill>
                <a:srgbClr val="13B5EA"/>
              </a:solidFill>
            </a:ln>
          </c:spPr>
          <c:marker>
            <c:symbol val="circle"/>
            <c:size val="5"/>
            <c:spPr>
              <a:solidFill>
                <a:srgbClr val="13B5EA"/>
              </a:solidFill>
              <a:ln>
                <a:solidFill>
                  <a:srgbClr val="13B5EA"/>
                </a:solidFill>
              </a:ln>
            </c:spPr>
          </c:marker>
          <c:dLbls>
            <c:dLbl>
              <c:idx val="0"/>
              <c:layout>
                <c:manualLayout>
                  <c:x val="-1.5100145698206547E-2"/>
                  <c:y val="0.38891020664670439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rgbClr val="13B5EA"/>
                        </a:solidFill>
                        <a:latin typeface="Constantia" panose="02030602050306030303" pitchFamily="18" charset="0"/>
                      </a:rPr>
                      <a:t>2018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01-4FEE-9F40-BD8DEEBF79DD}"/>
                </c:ext>
              </c:extLst>
            </c:dLbl>
            <c:dLbl>
              <c:idx val="1"/>
              <c:layout>
                <c:manualLayout>
                  <c:x val="-0.23693695959980737"/>
                  <c:y val="-0.3131599571180362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13B5EA"/>
                        </a:solidFill>
                        <a:latin typeface="Constantia" panose="02030602050306030303" pitchFamily="18" charset="0"/>
                      </a:defRPr>
                    </a:pPr>
                    <a:r>
                      <a:rPr lang="en-US" sz="900"/>
                      <a:t>2021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01-4FEE-9F40-BD8DEEBF79DD}"/>
                </c:ext>
              </c:extLst>
            </c:dLbl>
            <c:dLbl>
              <c:idx val="2"/>
              <c:layout>
                <c:manualLayout>
                  <c:x val="-0.30947751945466367"/>
                  <c:y val="-0.3162260175224576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rgbClr val="13B5EA"/>
                        </a:solidFill>
                        <a:latin typeface="Constantia" panose="02030602050306030303" pitchFamily="18" charset="0"/>
                      </a:rPr>
                      <a:t>2017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01-4FEE-9F40-BD8DEEBF79DD}"/>
                </c:ext>
              </c:extLst>
            </c:dLbl>
            <c:dLbl>
              <c:idx val="3"/>
              <c:layout>
                <c:manualLayout>
                  <c:x val="-0.14801369398858852"/>
                  <c:y val="3.333277882518206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sz="900">
                        <a:solidFill>
                          <a:srgbClr val="13B5EA"/>
                        </a:solidFill>
                        <a:latin typeface="Constantia" panose="02030602050306030303" pitchFamily="18" charset="0"/>
                      </a:rPr>
                      <a:t>2019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35047657380244"/>
                      <c:h val="5.15485389726394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0601-4FEE-9F40-BD8DEEBF79DD}"/>
                </c:ext>
              </c:extLst>
            </c:dLbl>
            <c:dLbl>
              <c:idx val="4"/>
              <c:layout>
                <c:manualLayout>
                  <c:x val="0.25671787837126026"/>
                  <c:y val="0.11784592066836708"/>
                </c:manualLayout>
              </c:layout>
              <c:tx>
                <c:rich>
                  <a:bodyPr/>
                  <a:lstStyle/>
                  <a:p>
                    <a:r>
                      <a:rPr lang="en-US" sz="900" b="1">
                        <a:solidFill>
                          <a:srgbClr val="13B5EA"/>
                        </a:solidFill>
                        <a:latin typeface="Constantia" panose="02030602050306030303" pitchFamily="18" charset="0"/>
                      </a:rPr>
                      <a:t>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01-4FEE-9F40-BD8DEEBF79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'G29'!$B$4:$F$4</c:f>
              <c:numCache>
                <c:formatCode>#\ ##0.0</c:formatCode>
                <c:ptCount val="5"/>
                <c:pt idx="0">
                  <c:v>0.55156160455017667</c:v>
                </c:pt>
                <c:pt idx="1">
                  <c:v>0.75538746534938961</c:v>
                </c:pt>
                <c:pt idx="2">
                  <c:v>1.0104015259348129</c:v>
                </c:pt>
                <c:pt idx="3">
                  <c:v>1.0535118541309312</c:v>
                </c:pt>
                <c:pt idx="4">
                  <c:v>0.41287426611458161</c:v>
                </c:pt>
              </c:numCache>
            </c:numRef>
          </c:xVal>
          <c:yVal>
            <c:numRef>
              <c:f>'G29'!$B$3:$F$3</c:f>
              <c:numCache>
                <c:formatCode>#\ ##0.0</c:formatCode>
                <c:ptCount val="5"/>
                <c:pt idx="0">
                  <c:v>1.251658468036094</c:v>
                </c:pt>
                <c:pt idx="1">
                  <c:v>-0.58988908425776876</c:v>
                </c:pt>
                <c:pt idx="2">
                  <c:v>-0.28632901310966952</c:v>
                </c:pt>
                <c:pt idx="3">
                  <c:v>-1.334431210938658E-2</c:v>
                </c:pt>
                <c:pt idx="4">
                  <c:v>0.72177637399402306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601-4FEE-9F40-BD8DEEBF7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35504"/>
        <c:axId val="457835896"/>
      </c:scatterChart>
      <c:valAx>
        <c:axId val="457835504"/>
        <c:scaling>
          <c:orientation val="minMax"/>
          <c:max val="1.5"/>
          <c:min val="-0.5"/>
        </c:scaling>
        <c:delete val="0"/>
        <c:axPos val="b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sk-SK"/>
          </a:p>
        </c:txPr>
        <c:crossAx val="457835896"/>
        <c:crosses val="autoZero"/>
        <c:crossBetween val="midCat"/>
        <c:majorUnit val="0.5"/>
      </c:valAx>
      <c:valAx>
        <c:axId val="457835896"/>
        <c:scaling>
          <c:orientation val="minMax"/>
          <c:min val="-2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\ ##0.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ysDot"/>
          </a:ln>
        </c:spPr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sk-SK"/>
          </a:p>
        </c:txPr>
        <c:crossAx val="457835504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57177587529301355"/>
          <c:y val="0.14462310792362371"/>
          <c:w val="0.38264543381409977"/>
          <c:h val="0.16014327268920445"/>
        </c:manualLayout>
      </c:layout>
      <c:overlay val="0"/>
      <c:txPr>
        <a:bodyPr/>
        <a:lstStyle/>
        <a:p>
          <a:pPr>
            <a:defRPr sz="8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58253902472714E-2"/>
          <c:y val="5.7856641159291705E-2"/>
          <c:w val="0.9302417460975273"/>
          <c:h val="0.85670548223725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'G30'!$A$2</c:f>
              <c:strCache>
                <c:ptCount val="1"/>
                <c:pt idx="0">
                  <c:v>Príjmy z rozpočtu EÚ (NRVS 2019-2021)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'G30'!$F$1:$J$1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'G30'!$F$2:$J$2</c:f>
              <c:numCache>
                <c:formatCode>0.0</c:formatCode>
                <c:ptCount val="5"/>
                <c:pt idx="0">
                  <c:v>1.6878105463003248</c:v>
                </c:pt>
                <c:pt idx="1">
                  <c:v>1.6246781377184965</c:v>
                </c:pt>
                <c:pt idx="2">
                  <c:v>1.7211999869204884</c:v>
                </c:pt>
                <c:pt idx="3">
                  <c:v>2.7381522681289292</c:v>
                </c:pt>
                <c:pt idx="4">
                  <c:v>2.0047916992665118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5-432B-9946-5754BE4BECFF}"/>
            </c:ext>
          </c:extLst>
        </c:ser>
        <c:ser>
          <c:idx val="1"/>
          <c:order val="1"/>
          <c:tx>
            <c:strRef>
              <c:f>'G30'!$A$3</c:f>
              <c:strCache>
                <c:ptCount val="1"/>
                <c:pt idx="0">
                  <c:v>Príjmy z rozpočtu EÚ (VpMP)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'G30'!$F$1:$J$1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'G30'!$F$3:$J$3</c:f>
              <c:numCache>
                <c:formatCode>#\ ##0.0</c:formatCode>
                <c:ptCount val="5"/>
                <c:pt idx="0">
                  <c:v>2.2168904934673979</c:v>
                </c:pt>
                <c:pt idx="1">
                  <c:v>2.2023130024650981</c:v>
                </c:pt>
                <c:pt idx="2">
                  <c:v>2.2964786714236305</c:v>
                </c:pt>
                <c:pt idx="3">
                  <c:v>2.3415918034366614</c:v>
                </c:pt>
                <c:pt idx="4">
                  <c:v>2.4219898094845473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5-432B-9946-5754BE4BECFF}"/>
            </c:ext>
          </c:extLst>
        </c:ser>
        <c:ser>
          <c:idx val="2"/>
          <c:order val="2"/>
          <c:tx>
            <c:strRef>
              <c:f>'G30'!$A$4</c:f>
              <c:strCache>
                <c:ptCount val="1"/>
                <c:pt idx="0">
                  <c:v>Príjmy z rozpočtu EÚ (RRZ)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'G30'!$F$1:$J$1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'G30'!$F$4:$J$4</c:f>
              <c:numCache>
                <c:formatCode>#\ ##0.0</c:formatCode>
                <c:ptCount val="5"/>
                <c:pt idx="0">
                  <c:v>1.6878106572243443</c:v>
                </c:pt>
                <c:pt idx="1">
                  <c:v>2.0906761038678385</c:v>
                </c:pt>
                <c:pt idx="2">
                  <c:v>2.4328997306783453</c:v>
                </c:pt>
                <c:pt idx="3">
                  <c:v>2.5000692378364122</c:v>
                </c:pt>
                <c:pt idx="4">
                  <c:v>2.4262297446217151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15-432B-9946-5754BE4BE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8"/>
        <c:axId val="457833152"/>
        <c:axId val="457833544"/>
      </c:barChart>
      <c:catAx>
        <c:axId val="4578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33544"/>
        <c:crosses val="autoZero"/>
        <c:auto val="1"/>
        <c:lblAlgn val="ctr"/>
        <c:lblOffset val="100"/>
        <c:noMultiLvlLbl val="0"/>
      </c:catAx>
      <c:valAx>
        <c:axId val="45783354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331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52029774846479"/>
          <c:y val="8.4064225067951914E-2"/>
          <c:w val="0.63441487577669298"/>
          <c:h val="0.17615826491439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795637072312056E-2"/>
          <c:y val="4.7790277777777779E-2"/>
          <c:w val="0.84361314117172481"/>
          <c:h val="0.82951909512939548"/>
        </c:manualLayout>
      </c:layout>
      <c:areaChart>
        <c:grouping val="stacked"/>
        <c:varyColors val="0"/>
        <c:ser>
          <c:idx val="0"/>
          <c:order val="0"/>
          <c:tx>
            <c:strRef>
              <c:f>'G31'!$B$2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'G31'!$A$3:$A$7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'G31'!$B$3:$B$7</c:f>
              <c:numCache>
                <c:formatCode>0.000</c:formatCode>
                <c:ptCount val="5"/>
                <c:pt idx="0">
                  <c:v>-7.7701002582176507E-3</c:v>
                </c:pt>
                <c:pt idx="1">
                  <c:v>-7.8840436048639977E-3</c:v>
                </c:pt>
                <c:pt idx="2">
                  <c:v>-6.889735580053959E-3</c:v>
                </c:pt>
                <c:pt idx="3">
                  <c:v>-1.5187260466886567E-2</c:v>
                </c:pt>
                <c:pt idx="4">
                  <c:v>-2.6732965247032947E-2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5-4012-AEE9-98B6C0A0328B}"/>
            </c:ext>
          </c:extLst>
        </c:ser>
        <c:ser>
          <c:idx val="6"/>
          <c:order val="1"/>
          <c:tx>
            <c:strRef>
              <c:f>'G31'!$C$2</c:f>
              <c:strCache>
                <c:ptCount val="1"/>
                <c:pt idx="0">
                  <c:v>d80</c:v>
                </c:pt>
              </c:strCache>
            </c:strRef>
          </c:tx>
          <c:spPr>
            <a:solidFill>
              <a:srgbClr val="9FE2F7"/>
            </a:solidFill>
          </c:spPr>
          <c:cat>
            <c:numRef>
              <c:f>'G31'!$A$3:$A$7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'G31'!$C$3:$C$7</c:f>
              <c:numCache>
                <c:formatCode>0.000</c:formatCode>
                <c:ptCount val="5"/>
                <c:pt idx="1">
                  <c:v>6.4289652981754965E-4</c:v>
                </c:pt>
                <c:pt idx="2">
                  <c:v>2.0089273182707255E-3</c:v>
                </c:pt>
                <c:pt idx="3">
                  <c:v>5.151147236962238E-3</c:v>
                </c:pt>
                <c:pt idx="4">
                  <c:v>9.7841890643255575E-3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5-4012-AEE9-98B6C0A0328B}"/>
            </c:ext>
          </c:extLst>
        </c:ser>
        <c:ser>
          <c:idx val="7"/>
          <c:order val="2"/>
          <c:tx>
            <c:strRef>
              <c:f>'G31'!$D$2</c:f>
              <c:strCache>
                <c:ptCount val="1"/>
                <c:pt idx="0">
                  <c:v>d60</c:v>
                </c:pt>
              </c:strCache>
            </c:strRef>
          </c:tx>
          <c:spPr>
            <a:solidFill>
              <a:srgbClr val="64D0F2"/>
            </a:solidFill>
          </c:spPr>
          <c:cat>
            <c:numRef>
              <c:f>'G31'!$A$3:$A$7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'G31'!$D$3:$D$7</c:f>
              <c:numCache>
                <c:formatCode>0.000</c:formatCode>
                <c:ptCount val="5"/>
                <c:pt idx="1">
                  <c:v>4.6606630949815563E-4</c:v>
                </c:pt>
                <c:pt idx="2">
                  <c:v>1.456895117182104E-3</c:v>
                </c:pt>
                <c:pt idx="3">
                  <c:v>3.7541546386445097E-3</c:v>
                </c:pt>
                <c:pt idx="4">
                  <c:v>7.1047442545557355E-3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5-4012-AEE9-98B6C0A0328B}"/>
            </c:ext>
          </c:extLst>
        </c:ser>
        <c:ser>
          <c:idx val="8"/>
          <c:order val="3"/>
          <c:tx>
            <c:strRef>
              <c:f>'G31'!$E$2</c:f>
              <c:strCache>
                <c:ptCount val="1"/>
                <c:pt idx="0">
                  <c:v>d40</c:v>
                </c:pt>
              </c:strCache>
            </c:strRef>
          </c:tx>
          <c:spPr>
            <a:solidFill>
              <a:srgbClr val="13B5EA"/>
            </a:solidFill>
          </c:spPr>
          <c:cat>
            <c:numRef>
              <c:f>'G31'!$A$3:$A$7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'G31'!$E$3:$E$7</c:f>
              <c:numCache>
                <c:formatCode>0.000</c:formatCode>
                <c:ptCount val="5"/>
                <c:pt idx="1">
                  <c:v>7.7508076554829233E-4</c:v>
                </c:pt>
                <c:pt idx="2">
                  <c:v>2.4239131446011294E-3</c:v>
                </c:pt>
                <c:pt idx="3">
                  <c:v>6.2819585912798192E-3</c:v>
                </c:pt>
                <c:pt idx="4">
                  <c:v>1.1844031928151654E-2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95-4012-AEE9-98B6C0A0328B}"/>
            </c:ext>
          </c:extLst>
        </c:ser>
        <c:ser>
          <c:idx val="5"/>
          <c:order val="4"/>
          <c:tx>
            <c:strRef>
              <c:f>'G31'!$F$2</c:f>
              <c:strCache>
                <c:ptCount val="1"/>
                <c:pt idx="0">
                  <c:v>h40</c:v>
                </c:pt>
              </c:strCache>
            </c:strRef>
          </c:tx>
          <c:spPr>
            <a:solidFill>
              <a:srgbClr val="13B5EA"/>
            </a:solidFill>
          </c:spPr>
          <c:cat>
            <c:numRef>
              <c:f>'G31'!$A$3:$A$7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'G31'!$F$3:$F$7</c:f>
              <c:numCache>
                <c:formatCode>0.000</c:formatCode>
                <c:ptCount val="5"/>
                <c:pt idx="1">
                  <c:v>3.6562873949537011E-4</c:v>
                </c:pt>
                <c:pt idx="2">
                  <c:v>1.1785978032401981E-3</c:v>
                </c:pt>
                <c:pt idx="3">
                  <c:v>3.0924689343873849E-3</c:v>
                </c:pt>
                <c:pt idx="4">
                  <c:v>5.8506502635307812E-3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95-4012-AEE9-98B6C0A0328B}"/>
            </c:ext>
          </c:extLst>
        </c:ser>
        <c:ser>
          <c:idx val="2"/>
          <c:order val="5"/>
          <c:tx>
            <c:strRef>
              <c:f>'G31'!$G$2</c:f>
              <c:strCache>
                <c:ptCount val="1"/>
                <c:pt idx="0">
                  <c:v>h60</c:v>
                </c:pt>
              </c:strCache>
            </c:strRef>
          </c:tx>
          <c:spPr>
            <a:solidFill>
              <a:srgbClr val="64D0F2"/>
            </a:solidFill>
          </c:spPr>
          <c:cat>
            <c:numRef>
              <c:f>'G31'!$A$3:$A$7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'G31'!$G$3:$G$7</c:f>
              <c:numCache>
                <c:formatCode>0.000</c:formatCode>
                <c:ptCount val="5"/>
                <c:pt idx="1">
                  <c:v>4.0339550918928359E-4</c:v>
                </c:pt>
                <c:pt idx="2">
                  <c:v>1.2702106796432747E-3</c:v>
                </c:pt>
                <c:pt idx="3">
                  <c:v>3.3432835339663541E-3</c:v>
                </c:pt>
                <c:pt idx="4">
                  <c:v>6.3010771225186692E-3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95-4012-AEE9-98B6C0A0328B}"/>
            </c:ext>
          </c:extLst>
        </c:ser>
        <c:ser>
          <c:idx val="3"/>
          <c:order val="6"/>
          <c:tx>
            <c:strRef>
              <c:f>'G31'!$H$2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9FE2F7"/>
            </a:solidFill>
          </c:spPr>
          <c:cat>
            <c:numRef>
              <c:f>'G31'!$A$3:$A$7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'G31'!$H$3:$H$7</c:f>
              <c:numCache>
                <c:formatCode>0.000</c:formatCode>
                <c:ptCount val="5"/>
                <c:pt idx="1">
                  <c:v>4.720910843355507E-4</c:v>
                </c:pt>
                <c:pt idx="2">
                  <c:v>1.4974696764427956E-3</c:v>
                </c:pt>
                <c:pt idx="3">
                  <c:v>3.9793275203484184E-3</c:v>
                </c:pt>
                <c:pt idx="4">
                  <c:v>7.5162197845070524E-3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95-4012-AEE9-98B6C0A03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42592"/>
        <c:axId val="244243152"/>
      </c:areaChart>
      <c:lineChart>
        <c:grouping val="standard"/>
        <c:varyColors val="0"/>
        <c:ser>
          <c:idx val="4"/>
          <c:order val="7"/>
          <c:tx>
            <c:strRef>
              <c:f>'G31'!$I$2</c:f>
              <c:strCache>
                <c:ptCount val="1"/>
                <c:pt idx="0">
                  <c:v>NRVS 2019-2021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'G31'!$A$3:$A$7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'G31'!$I$3:$I$7</c:f>
              <c:numCache>
                <c:formatCode>0.000</c:formatCode>
                <c:ptCount val="5"/>
                <c:pt idx="0">
                  <c:v>-7.7701002582176507E-3</c:v>
                </c:pt>
                <c:pt idx="1">
                  <c:v>-6.0000000000000001E-3</c:v>
                </c:pt>
                <c:pt idx="2">
                  <c:v>-1E-3</c:v>
                </c:pt>
                <c:pt idx="3">
                  <c:v>0</c:v>
                </c:pt>
                <c:pt idx="4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95-4012-AEE9-98B6C0A03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42592"/>
        <c:axId val="244243152"/>
      </c:lineChart>
      <c:catAx>
        <c:axId val="2442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3152"/>
        <c:crosses val="autoZero"/>
        <c:auto val="1"/>
        <c:lblAlgn val="ctr"/>
        <c:lblOffset val="100"/>
        <c:noMultiLvlLbl val="0"/>
      </c:catAx>
      <c:valAx>
        <c:axId val="24424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15000"/>
                  <a:lumOff val="85000"/>
                </a:sys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deficit k HDP v</a:t>
                </a:r>
                <a:r>
                  <a:rPr lang="sk-SK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0707433464827229"/>
              <c:y val="4.9358568144179181E-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25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968688345094588"/>
          <c:y val="5.8634999615276101E-2"/>
          <c:w val="0.64708263078475603"/>
          <c:h val="8.4076961529870972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u="none" strike="noStrike" baseline="0">
          <a:solidFill>
            <a:schemeClr val="tx1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795637072312056E-2"/>
          <c:y val="4.7790277777777779E-2"/>
          <c:w val="0.84361314117172481"/>
          <c:h val="0.82951909512939548"/>
        </c:manualLayout>
      </c:layout>
      <c:areaChart>
        <c:grouping val="stacked"/>
        <c:varyColors val="0"/>
        <c:ser>
          <c:idx val="0"/>
          <c:order val="0"/>
          <c:tx>
            <c:strRef>
              <c:f>'G32'!$B$2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'G32'!$A$3:$A$7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'G32'!$B$3:$B$7</c:f>
              <c:numCache>
                <c:formatCode>0.000</c:formatCode>
                <c:ptCount val="5"/>
                <c:pt idx="0">
                  <c:v>0.50947956945654083</c:v>
                </c:pt>
                <c:pt idx="1">
                  <c:v>0.48076672571454188</c:v>
                </c:pt>
                <c:pt idx="2">
                  <c:v>0.45973366967661589</c:v>
                </c:pt>
                <c:pt idx="3">
                  <c:v>0.42944154788761801</c:v>
                </c:pt>
                <c:pt idx="4">
                  <c:v>0.39908749272983063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3-4581-B2B9-5465112E3AAD}"/>
            </c:ext>
          </c:extLst>
        </c:ser>
        <c:ser>
          <c:idx val="6"/>
          <c:order val="1"/>
          <c:tx>
            <c:strRef>
              <c:f>'G32'!$C$2</c:f>
              <c:strCache>
                <c:ptCount val="1"/>
                <c:pt idx="0">
                  <c:v>d80</c:v>
                </c:pt>
              </c:strCache>
            </c:strRef>
          </c:tx>
          <c:spPr>
            <a:solidFill>
              <a:srgbClr val="9FE2F7"/>
            </a:solidFill>
          </c:spPr>
          <c:cat>
            <c:numRef>
              <c:f>'G32'!$A$3:$A$7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'G32'!$C$3:$C$7</c:f>
              <c:numCache>
                <c:formatCode>0.000</c:formatCode>
                <c:ptCount val="5"/>
                <c:pt idx="1">
                  <c:v>2.057529970594496E-3</c:v>
                </c:pt>
                <c:pt idx="2">
                  <c:v>4.3846173122097376E-3</c:v>
                </c:pt>
                <c:pt idx="3">
                  <c:v>1.0272753697621817E-2</c:v>
                </c:pt>
                <c:pt idx="4">
                  <c:v>1.6526337095516097E-2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3-4581-B2B9-5465112E3AAD}"/>
            </c:ext>
          </c:extLst>
        </c:ser>
        <c:ser>
          <c:idx val="7"/>
          <c:order val="2"/>
          <c:tx>
            <c:strRef>
              <c:f>'G32'!$D$2</c:f>
              <c:strCache>
                <c:ptCount val="1"/>
                <c:pt idx="0">
                  <c:v>d60</c:v>
                </c:pt>
              </c:strCache>
            </c:strRef>
          </c:tx>
          <c:spPr>
            <a:solidFill>
              <a:srgbClr val="64D0F2"/>
            </a:solidFill>
          </c:spPr>
          <c:cat>
            <c:numRef>
              <c:f>'G32'!$A$3:$A$7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'G32'!$D$3:$D$7</c:f>
              <c:numCache>
                <c:formatCode>0.000</c:formatCode>
                <c:ptCount val="5"/>
                <c:pt idx="1">
                  <c:v>1.4916014562234015E-3</c:v>
                </c:pt>
                <c:pt idx="2">
                  <c:v>3.1852026813293244E-3</c:v>
                </c:pt>
                <c:pt idx="3">
                  <c:v>7.5236867589429379E-3</c:v>
                </c:pt>
                <c:pt idx="4">
                  <c:v>1.2117132856033885E-2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3-4581-B2B9-5465112E3AAD}"/>
            </c:ext>
          </c:extLst>
        </c:ser>
        <c:ser>
          <c:idx val="8"/>
          <c:order val="3"/>
          <c:tx>
            <c:strRef>
              <c:f>'G32'!$E$2</c:f>
              <c:strCache>
                <c:ptCount val="1"/>
                <c:pt idx="0">
                  <c:v>d40</c:v>
                </c:pt>
              </c:strCache>
            </c:strRef>
          </c:tx>
          <c:spPr>
            <a:solidFill>
              <a:srgbClr val="13B5EA"/>
            </a:solidFill>
          </c:spPr>
          <c:cat>
            <c:numRef>
              <c:f>'G32'!$A$3:$A$7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'G32'!$E$3:$E$7</c:f>
              <c:numCache>
                <c:formatCode>0.000</c:formatCode>
                <c:ptCount val="5"/>
                <c:pt idx="1">
                  <c:v>2.4805732039018813E-3</c:v>
                </c:pt>
                <c:pt idx="2">
                  <c:v>5.3094595175531278E-3</c:v>
                </c:pt>
                <c:pt idx="3">
                  <c:v>1.2658718847533834E-2</c:v>
                </c:pt>
                <c:pt idx="4">
                  <c:v>2.0420002379245128E-2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93-4581-B2B9-5465112E3AAD}"/>
            </c:ext>
          </c:extLst>
        </c:ser>
        <c:ser>
          <c:idx val="5"/>
          <c:order val="4"/>
          <c:tx>
            <c:strRef>
              <c:f>'G32'!$F$2</c:f>
              <c:strCache>
                <c:ptCount val="1"/>
                <c:pt idx="0">
                  <c:v>h40</c:v>
                </c:pt>
              </c:strCache>
            </c:strRef>
          </c:tx>
          <c:spPr>
            <a:solidFill>
              <a:srgbClr val="13B5EA"/>
            </a:solidFill>
          </c:spPr>
          <c:cat>
            <c:numRef>
              <c:f>'G32'!$A$3:$A$7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'G32'!$F$3:$F$7</c:f>
              <c:numCache>
                <c:formatCode>0.000</c:formatCode>
                <c:ptCount val="5"/>
                <c:pt idx="1">
                  <c:v>2.4991879592957678E-3</c:v>
                </c:pt>
                <c:pt idx="2">
                  <c:v>5.3651134954666446E-3</c:v>
                </c:pt>
                <c:pt idx="3">
                  <c:v>1.2944903684768139E-2</c:v>
                </c:pt>
                <c:pt idx="4">
                  <c:v>2.0934178529075032E-2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93-4581-B2B9-5465112E3AAD}"/>
            </c:ext>
          </c:extLst>
        </c:ser>
        <c:ser>
          <c:idx val="2"/>
          <c:order val="5"/>
          <c:tx>
            <c:strRef>
              <c:f>'G32'!$G$2</c:f>
              <c:strCache>
                <c:ptCount val="1"/>
                <c:pt idx="0">
                  <c:v>h60</c:v>
                </c:pt>
              </c:strCache>
            </c:strRef>
          </c:tx>
          <c:spPr>
            <a:solidFill>
              <a:srgbClr val="64D0F2"/>
            </a:solidFill>
          </c:spPr>
          <c:cat>
            <c:numRef>
              <c:f>'G32'!$A$3:$A$7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'G32'!$G$3:$G$7</c:f>
              <c:numCache>
                <c:formatCode>0.000</c:formatCode>
                <c:ptCount val="5"/>
                <c:pt idx="1">
                  <c:v>1.5209350930444065E-3</c:v>
                </c:pt>
                <c:pt idx="2">
                  <c:v>3.272908642555028E-3</c:v>
                </c:pt>
                <c:pt idx="3">
                  <c:v>7.9748823682110892E-3</c:v>
                </c:pt>
                <c:pt idx="4">
                  <c:v>1.2928284003498491E-2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93-4581-B2B9-5465112E3AAD}"/>
            </c:ext>
          </c:extLst>
        </c:ser>
        <c:ser>
          <c:idx val="3"/>
          <c:order val="6"/>
          <c:tx>
            <c:strRef>
              <c:f>'G32'!$H$2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9FE2F7"/>
            </a:solidFill>
          </c:spPr>
          <c:cat>
            <c:numRef>
              <c:f>'G32'!$A$3:$A$7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'G32'!$H$3:$H$7</c:f>
              <c:numCache>
                <c:formatCode>0.000</c:formatCode>
                <c:ptCount val="5"/>
                <c:pt idx="1">
                  <c:v>2.1207633181977714E-3</c:v>
                </c:pt>
                <c:pt idx="2">
                  <c:v>4.573701990022605E-3</c:v>
                </c:pt>
                <c:pt idx="3">
                  <c:v>1.1246285306449222E-2</c:v>
                </c:pt>
                <c:pt idx="4">
                  <c:v>1.8278650471105495E-2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93-4581-B2B9-5465112E3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42592"/>
        <c:axId val="244243152"/>
      </c:areaChart>
      <c:lineChart>
        <c:grouping val="standard"/>
        <c:varyColors val="0"/>
        <c:ser>
          <c:idx val="4"/>
          <c:order val="7"/>
          <c:tx>
            <c:strRef>
              <c:f>'G32'!$I$2</c:f>
              <c:strCache>
                <c:ptCount val="1"/>
                <c:pt idx="0">
                  <c:v>NRVS 2019-2021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'G32'!$A$3:$A$7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'G32'!$I$3:$I$7</c:f>
              <c:numCache>
                <c:formatCode>0.000</c:formatCode>
                <c:ptCount val="5"/>
                <c:pt idx="0">
                  <c:v>0.50947956945654083</c:v>
                </c:pt>
                <c:pt idx="1">
                  <c:v>0.48679643034526165</c:v>
                </c:pt>
                <c:pt idx="2">
                  <c:v>0.47261294918770808</c:v>
                </c:pt>
                <c:pt idx="3">
                  <c:v>0.4598967071917166</c:v>
                </c:pt>
                <c:pt idx="4">
                  <c:v>0.44815096506062574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93-4581-B2B9-5465112E3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42592"/>
        <c:axId val="244243152"/>
      </c:lineChart>
      <c:catAx>
        <c:axId val="2442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3152"/>
        <c:crosses val="autoZero"/>
        <c:auto val="1"/>
        <c:lblAlgn val="ctr"/>
        <c:lblOffset val="100"/>
        <c:noMultiLvlLbl val="0"/>
      </c:catAx>
      <c:valAx>
        <c:axId val="244243152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15000"/>
                  <a:lumOff val="85000"/>
                </a:sys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dlh </a:t>
                </a:r>
                <a:r>
                  <a:rPr lang="en-US"/>
                  <a:t>k HDP v</a:t>
                </a:r>
                <a:r>
                  <a:rPr lang="sk-SK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0456334958289966"/>
              <c:y val="0.2367223382833828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25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5920396632828343"/>
          <c:y val="0.68608591560361776"/>
          <c:w val="0.64708263078475603"/>
          <c:h val="8.4076961529870972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u="none" strike="noStrike" baseline="0">
          <a:solidFill>
            <a:schemeClr val="tx1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795637072312056E-2"/>
          <c:y val="4.7790277777777779E-2"/>
          <c:w val="0.84361314117172481"/>
          <c:h val="0.82951909512939548"/>
        </c:manualLayout>
      </c:layout>
      <c:areaChart>
        <c:grouping val="stacked"/>
        <c:varyColors val="0"/>
        <c:ser>
          <c:idx val="0"/>
          <c:order val="0"/>
          <c:tx>
            <c:strRef>
              <c:f>'G33'!$B$2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'G33'!$A$3:$A$7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'G33'!$B$3:$B$7</c:f>
              <c:numCache>
                <c:formatCode>0.000</c:formatCode>
                <c:ptCount val="5"/>
                <c:pt idx="0">
                  <c:v>1</c:v>
                </c:pt>
                <c:pt idx="1">
                  <c:v>1.0613694642190052</c:v>
                </c:pt>
                <c:pt idx="2">
                  <c:v>1.1136625602186105</c:v>
                </c:pt>
                <c:pt idx="3">
                  <c:v>1.1445512576579413</c:v>
                </c:pt>
                <c:pt idx="4">
                  <c:v>1.151256838554116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B-48CB-8BDD-2853E6006CC7}"/>
            </c:ext>
          </c:extLst>
        </c:ser>
        <c:ser>
          <c:idx val="6"/>
          <c:order val="1"/>
          <c:tx>
            <c:strRef>
              <c:f>'G33'!$C$2</c:f>
              <c:strCache>
                <c:ptCount val="1"/>
                <c:pt idx="0">
                  <c:v>d80</c:v>
                </c:pt>
              </c:strCache>
            </c:strRef>
          </c:tx>
          <c:spPr>
            <a:solidFill>
              <a:srgbClr val="A7E2FF"/>
            </a:solidFill>
            <a:ln>
              <a:noFill/>
            </a:ln>
          </c:spPr>
          <c:cat>
            <c:numRef>
              <c:f>'G33'!$A$3:$A$7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'G33'!$C$3:$C$7</c:f>
              <c:numCache>
                <c:formatCode>0.000</c:formatCode>
                <c:ptCount val="5"/>
                <c:pt idx="1">
                  <c:v>1.9685641764686235E-3</c:v>
                </c:pt>
                <c:pt idx="2">
                  <c:v>7.9118236974855538E-3</c:v>
                </c:pt>
                <c:pt idx="3">
                  <c:v>2.0977158883874969E-2</c:v>
                </c:pt>
                <c:pt idx="4">
                  <c:v>4.0196181915237439E-2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B-48CB-8BDD-2853E6006CC7}"/>
            </c:ext>
          </c:extLst>
        </c:ser>
        <c:ser>
          <c:idx val="7"/>
          <c:order val="2"/>
          <c:tx>
            <c:strRef>
              <c:f>'G33'!$D$2</c:f>
              <c:strCache>
                <c:ptCount val="1"/>
                <c:pt idx="0">
                  <c:v>d60</c:v>
                </c:pt>
              </c:strCache>
            </c:strRef>
          </c:tx>
          <c:spPr>
            <a:solidFill>
              <a:srgbClr val="71D0FF"/>
            </a:solidFill>
            <a:ln>
              <a:noFill/>
            </a:ln>
          </c:spPr>
          <c:cat>
            <c:numRef>
              <c:f>'G33'!$A$3:$A$7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'G33'!$D$3:$D$7</c:f>
              <c:numCache>
                <c:formatCode>0.000</c:formatCode>
                <c:ptCount val="5"/>
                <c:pt idx="1">
                  <c:v>1.4194732705277158E-3</c:v>
                </c:pt>
                <c:pt idx="2">
                  <c:v>5.7184132984982039E-3</c:v>
                </c:pt>
                <c:pt idx="3">
                  <c:v>1.5252534161172004E-2</c:v>
                </c:pt>
                <c:pt idx="4">
                  <c:v>2.9541636826639239E-2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7B-48CB-8BDD-2853E6006CC7}"/>
            </c:ext>
          </c:extLst>
        </c:ser>
        <c:ser>
          <c:idx val="8"/>
          <c:order val="3"/>
          <c:tx>
            <c:strRef>
              <c:f>'G33'!$E$2</c:f>
              <c:strCache>
                <c:ptCount val="1"/>
                <c:pt idx="0">
                  <c:v>d40-h40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</c:spPr>
          <c:cat>
            <c:numRef>
              <c:f>'G33'!$A$3:$A$7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'G33'!$E$3:$E$7</c:f>
              <c:numCache>
                <c:formatCode>0.000</c:formatCode>
                <c:ptCount val="5"/>
                <c:pt idx="1">
                  <c:v>4.6930888298255535E-3</c:v>
                </c:pt>
                <c:pt idx="2">
                  <c:v>1.898644382902015E-2</c:v>
                </c:pt>
                <c:pt idx="3">
                  <c:v>5.1186703526144628E-2</c:v>
                </c:pt>
                <c:pt idx="4">
                  <c:v>0.10105054398704438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7B-48CB-8BDD-2853E6006CC7}"/>
            </c:ext>
          </c:extLst>
        </c:ser>
        <c:ser>
          <c:idx val="5"/>
          <c:order val="4"/>
          <c:tx>
            <c:strRef>
              <c:f>'G33'!$F$2</c:f>
              <c:strCache>
                <c:ptCount val="1"/>
                <c:pt idx="0">
                  <c:v>h40</c:v>
                </c:pt>
              </c:strCache>
            </c:strRef>
          </c:tx>
          <c:spPr>
            <a:solidFill>
              <a:srgbClr val="71D0FF"/>
            </a:solidFill>
            <a:ln>
              <a:noFill/>
            </a:ln>
          </c:spPr>
          <c:cat>
            <c:numRef>
              <c:f>'G33'!$A$3:$A$7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'G33'!$F$3:$F$7</c:f>
              <c:numCache>
                <c:formatCode>0.000</c:formatCode>
                <c:ptCount val="5"/>
                <c:pt idx="1">
                  <c:v>1.4194732705277158E-3</c:v>
                </c:pt>
                <c:pt idx="2">
                  <c:v>5.7668794351026786E-3</c:v>
                </c:pt>
                <c:pt idx="3">
                  <c:v>1.5712423898737615E-2</c:v>
                </c:pt>
                <c:pt idx="4">
                  <c:v>3.1601461809611875E-2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7B-48CB-8BDD-2853E6006CC7}"/>
            </c:ext>
          </c:extLst>
        </c:ser>
        <c:ser>
          <c:idx val="2"/>
          <c:order val="5"/>
          <c:tx>
            <c:strRef>
              <c:f>'G33'!$G$2</c:f>
              <c:strCache>
                <c:ptCount val="1"/>
                <c:pt idx="0">
                  <c:v>h60</c:v>
                </c:pt>
              </c:strCache>
            </c:strRef>
          </c:tx>
          <c:spPr>
            <a:solidFill>
              <a:srgbClr val="A7E2FF"/>
            </a:solidFill>
            <a:ln>
              <a:noFill/>
            </a:ln>
          </c:spPr>
          <c:cat>
            <c:numRef>
              <c:f>'G33'!$A$3:$A$7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'G33'!$G$3:$G$7</c:f>
              <c:numCache>
                <c:formatCode>0.000</c:formatCode>
                <c:ptCount val="5"/>
                <c:pt idx="1">
                  <c:v>1.9685641764686235E-3</c:v>
                </c:pt>
                <c:pt idx="2">
                  <c:v>8.0162929504723479E-3</c:v>
                </c:pt>
                <c:pt idx="3">
                  <c:v>2.1968455915275742E-2</c:v>
                </c:pt>
                <c:pt idx="4">
                  <c:v>4.463629423223292E-2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7B-48CB-8BDD-2853E6006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42592"/>
        <c:axId val="244243152"/>
      </c:areaChart>
      <c:lineChart>
        <c:grouping val="standard"/>
        <c:varyColors val="0"/>
        <c:ser>
          <c:idx val="4"/>
          <c:order val="6"/>
          <c:tx>
            <c:strRef>
              <c:f>'G33'!$H$2</c:f>
              <c:strCache>
                <c:ptCount val="1"/>
                <c:pt idx="0">
                  <c:v>VpDP (sept. 2018)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9.032327922942128E-2"/>
                  <c:y val="-1.9645662845911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7B-48CB-8BDD-2853E6006CC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'G33'!$A$3:$A$7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'G33'!$H$3:$H$7</c:f>
              <c:numCache>
                <c:formatCode>0.000</c:formatCode>
                <c:ptCount val="5"/>
                <c:pt idx="0">
                  <c:v>1</c:v>
                </c:pt>
                <c:pt idx="1">
                  <c:v>1.0671040460809142</c:v>
                </c:pt>
                <c:pt idx="2">
                  <c:v>1.1367706405765603</c:v>
                </c:pt>
                <c:pt idx="3">
                  <c:v>1.2062283771047875</c:v>
                </c:pt>
                <c:pt idx="4">
                  <c:v>1.270866346869717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7B-48CB-8BDD-2853E6006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42592"/>
        <c:axId val="244243152"/>
      </c:lineChart>
      <c:catAx>
        <c:axId val="2442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3152"/>
        <c:crosses val="autoZero"/>
        <c:auto val="1"/>
        <c:lblAlgn val="ctr"/>
        <c:lblOffset val="100"/>
        <c:noMultiLvlLbl val="0"/>
      </c:catAx>
      <c:valAx>
        <c:axId val="244243152"/>
        <c:scaling>
          <c:orientation val="minMax"/>
          <c:max val="1.4"/>
          <c:min val="0.9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15000"/>
                  <a:lumOff val="85000"/>
                </a:sys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kumulatívny index 2017=1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2008424256036628E-2"/>
              <c:y val="3.6286677204234737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2592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5920396632828343"/>
          <c:y val="0.68608591560361776"/>
          <c:w val="0.64708263078475603"/>
          <c:h val="8.4076961529870972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u="none" strike="noStrike" baseline="0">
          <a:solidFill>
            <a:schemeClr val="tx1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en-US" b="1"/>
              <a:t>201</a:t>
            </a:r>
            <a:r>
              <a:rPr lang="sk-SK" b="1"/>
              <a:t>9</a:t>
            </a:r>
            <a:endParaRPr lang="en-US" b="1"/>
          </a:p>
        </c:rich>
      </c:tx>
      <c:layout>
        <c:manualLayout>
          <c:xMode val="edge"/>
          <c:yMode val="edge"/>
          <c:x val="0.684653733858554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38637693015645774"/>
          <c:y val="9.9939729756002724E-2"/>
          <c:w val="0.57210803195055171"/>
          <c:h val="0.824234470691163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'G03'!$B$2</c:f>
              <c:strCache>
                <c:ptCount val="1"/>
                <c:pt idx="0">
                  <c:v>vysvetlené</c:v>
                </c:pt>
              </c:strCache>
            </c:strRef>
          </c:tx>
          <c:spPr>
            <a:solidFill>
              <a:srgbClr val="B2E4F8"/>
            </a:solidFill>
            <a:ln w="9525">
              <a:solidFill>
                <a:srgbClr val="13B5E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3682648040792335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39-40AC-92FB-C00043E43F3F}"/>
                </c:ext>
              </c:extLst>
            </c:dLbl>
            <c:dLbl>
              <c:idx val="1"/>
              <c:layout>
                <c:manualLayout>
                  <c:x val="-1.3160459762340052E-2"/>
                  <c:y val="4.950451713457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39-40AC-92FB-C00043E43F3F}"/>
                </c:ext>
              </c:extLst>
            </c:dLbl>
            <c:dLbl>
              <c:idx val="2"/>
              <c:layout>
                <c:manualLayout>
                  <c:x val="-4.7365296081585536E-3"/>
                  <c:y val="-5.416666666666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39-40AC-92FB-C00043E43F3F}"/>
                </c:ext>
              </c:extLst>
            </c:dLbl>
            <c:dLbl>
              <c:idx val="3"/>
              <c:layout>
                <c:manualLayout>
                  <c:x val="0.10033359466430322"/>
                  <c:y val="6.2951945821587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39-40AC-92FB-C00043E43F3F}"/>
                </c:ext>
              </c:extLst>
            </c:dLbl>
            <c:dLbl>
              <c:idx val="4"/>
              <c:layout>
                <c:manualLayout>
                  <c:x val="2.9968753905761779E-2"/>
                  <c:y val="5.3089660088785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39-40AC-92FB-C00043E43F3F}"/>
                </c:ext>
              </c:extLst>
            </c:dLbl>
            <c:dLbl>
              <c:idx val="5"/>
              <c:layout>
                <c:manualLayout>
                  <c:x val="1.3991660133392311E-2"/>
                  <c:y val="4.8883704351770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39-40AC-92FB-C00043E43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'G03'!$A$3:$A$8</c:f>
              <c:strCache>
                <c:ptCount val="6"/>
                <c:pt idx="0">
                  <c:v>Daňové opatrenia</c:v>
                </c:pt>
                <c:pt idx="1">
                  <c:v>Nedaňové a iné príjmy</c:v>
                </c:pt>
                <c:pt idx="2">
                  <c:v>Mzdy</c:v>
                </c:pt>
                <c:pt idx="3">
                  <c:v>Výdavky na tovary a služby</c:v>
                </c:pt>
                <c:pt idx="4">
                  <c:v>Bežné transfery</c:v>
                </c:pt>
                <c:pt idx="5">
                  <c:v>Investície</c:v>
                </c:pt>
              </c:strCache>
            </c:strRef>
          </c:cat>
          <c:val>
            <c:numRef>
              <c:f>'G03'!$B$3:$B$8</c:f>
              <c:numCache>
                <c:formatCode>0.00</c:formatCode>
                <c:ptCount val="6"/>
                <c:pt idx="0">
                  <c:v>0.36594743615706038</c:v>
                </c:pt>
                <c:pt idx="1">
                  <c:v>0.14031551606129924</c:v>
                </c:pt>
                <c:pt idx="2">
                  <c:v>-0.41659967110243079</c:v>
                </c:pt>
                <c:pt idx="3">
                  <c:v>-0.53650498288734838</c:v>
                </c:pt>
                <c:pt idx="4">
                  <c:v>-0.27265764702498696</c:v>
                </c:pt>
                <c:pt idx="5">
                  <c:v>-1.3342224574400575E-2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39-40AC-92FB-C00043E43F3F}"/>
            </c:ext>
          </c:extLst>
        </c:ser>
        <c:ser>
          <c:idx val="1"/>
          <c:order val="1"/>
          <c:tx>
            <c:strRef>
              <c:f>'G03'!$C$2</c:f>
              <c:strCache>
                <c:ptCount val="1"/>
                <c:pt idx="0">
                  <c:v>nevysvetlené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430325167849706E-2"/>
                  <c:y val="-5.8099117635056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39-40AC-92FB-C00043E43F3F}"/>
                </c:ext>
              </c:extLst>
            </c:dLbl>
            <c:dLbl>
              <c:idx val="1"/>
              <c:layout>
                <c:manualLayout>
                  <c:x val="1.0111849698356601E-2"/>
                  <c:y val="4.9479176950832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39-40AC-92FB-C00043E43F3F}"/>
                </c:ext>
              </c:extLst>
            </c:dLbl>
            <c:dLbl>
              <c:idx val="2"/>
              <c:layout>
                <c:manualLayout>
                  <c:x val="4.0629682195378464E-2"/>
                  <c:y val="4.5188421135593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39-40AC-92FB-C00043E43F3F}"/>
                </c:ext>
              </c:extLst>
            </c:dLbl>
            <c:dLbl>
              <c:idx val="3"/>
              <c:layout>
                <c:manualLayout>
                  <c:x val="-3.1582238017999482E-2"/>
                  <c:y val="-4.988181250409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39-40AC-92FB-C00043E43F3F}"/>
                </c:ext>
              </c:extLst>
            </c:dLbl>
            <c:dLbl>
              <c:idx val="4"/>
              <c:layout>
                <c:manualLayout>
                  <c:x val="6.2935314903817784E-3"/>
                  <c:y val="-4.7745698454359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39-40AC-92FB-C00043E43F3F}"/>
                </c:ext>
              </c:extLst>
            </c:dLbl>
            <c:dLbl>
              <c:idx val="5"/>
              <c:layout>
                <c:manualLayout>
                  <c:x val="-3.2440217414280742E-2"/>
                  <c:y val="5.4155592677279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39-40AC-92FB-C00043E43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'G03'!$A$3:$A$8</c:f>
              <c:strCache>
                <c:ptCount val="6"/>
                <c:pt idx="0">
                  <c:v>Daňové opatrenia</c:v>
                </c:pt>
                <c:pt idx="1">
                  <c:v>Nedaňové a iné príjmy</c:v>
                </c:pt>
                <c:pt idx="2">
                  <c:v>Mzdy</c:v>
                </c:pt>
                <c:pt idx="3">
                  <c:v>Výdavky na tovary a služby</c:v>
                </c:pt>
                <c:pt idx="4">
                  <c:v>Bežné transfery</c:v>
                </c:pt>
                <c:pt idx="5">
                  <c:v>Investície</c:v>
                </c:pt>
              </c:strCache>
            </c:strRef>
          </c:cat>
          <c:val>
            <c:numRef>
              <c:f>'G03'!$C$3:$C$8</c:f>
              <c:numCache>
                <c:formatCode>0.00</c:formatCode>
                <c:ptCount val="6"/>
                <c:pt idx="0">
                  <c:v>-3.7724596745064565E-3</c:v>
                </c:pt>
                <c:pt idx="1">
                  <c:v>0.15636197177678787</c:v>
                </c:pt>
                <c:pt idx="2">
                  <c:v>5.5511151231257827E-16</c:v>
                </c:pt>
                <c:pt idx="3">
                  <c:v>0.3329094049622664</c:v>
                </c:pt>
                <c:pt idx="4">
                  <c:v>0.11327442134864546</c:v>
                </c:pt>
                <c:pt idx="5">
                  <c:v>-0.11327545507693973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39-40AC-92FB-C00043E43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100"/>
        <c:axId val="457820216"/>
        <c:axId val="457820608"/>
      </c:barChart>
      <c:barChart>
        <c:barDir val="bar"/>
        <c:grouping val="stacked"/>
        <c:varyColors val="0"/>
        <c:ser>
          <c:idx val="2"/>
          <c:order val="2"/>
          <c:tx>
            <c:strRef>
              <c:f>'G03'!$D$2</c:f>
              <c:strCache>
                <c:ptCount val="1"/>
                <c:pt idx="0">
                  <c:v>celkovo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556093892999457"/>
                  <c:y val="3.84745984164156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onstantia" panose="02030602050306030303" pitchFamily="18" charset="0"/>
                        <a:ea typeface="+mn-ea"/>
                        <a:cs typeface="+mn-cs"/>
                      </a:defRPr>
                    </a:pPr>
                    <a:r>
                      <a:rPr lang="en-US"/>
                      <a:t>0,36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370578677665293E-2"/>
                      <c:h val="6.66164414633356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A739-40AC-92FB-C00043E43F3F}"/>
                </c:ext>
              </c:extLst>
            </c:dLbl>
            <c:dLbl>
              <c:idx val="1"/>
              <c:layout>
                <c:manualLayout>
                  <c:x val="0.13455808541651085"/>
                  <c:y val="4.506603586063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39-40AC-92FB-C00043E43F3F}"/>
                </c:ext>
              </c:extLst>
            </c:dLbl>
            <c:dLbl>
              <c:idx val="2"/>
              <c:layout>
                <c:manualLayout>
                  <c:x val="-0.1519173739646181"/>
                  <c:y val="8.65817698713586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39-40AC-92FB-C00043E43F3F}"/>
                </c:ext>
              </c:extLst>
            </c:dLbl>
            <c:dLbl>
              <c:idx val="3"/>
              <c:layout>
                <c:manualLayout>
                  <c:x val="-9.8222082552978512E-2"/>
                  <c:y val="8.6347498825136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39-40AC-92FB-C00043E43F3F}"/>
                </c:ext>
              </c:extLst>
            </c:dLbl>
            <c:dLbl>
              <c:idx val="4"/>
              <c:layout>
                <c:manualLayout>
                  <c:x val="-8.4192604513540006E-2"/>
                  <c:y val="4.46777057721647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39-40AC-92FB-C00043E43F3F}"/>
                </c:ext>
              </c:extLst>
            </c:dLbl>
            <c:dLbl>
              <c:idx val="5"/>
              <c:layout>
                <c:manualLayout>
                  <c:x val="-7.4721949381799185E-2"/>
                  <c:y val="2.353510701455777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512998869336764E-2"/>
                      <c:h val="5.46099746405199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739-40AC-92FB-C00043E43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'G03'!$A$3:$A$8</c:f>
              <c:strCache>
                <c:ptCount val="6"/>
                <c:pt idx="0">
                  <c:v>Daňové opatrenia</c:v>
                </c:pt>
                <c:pt idx="1">
                  <c:v>Nedaňové a iné príjmy</c:v>
                </c:pt>
                <c:pt idx="2">
                  <c:v>Mzdy</c:v>
                </c:pt>
                <c:pt idx="3">
                  <c:v>Výdavky na tovary a služby</c:v>
                </c:pt>
                <c:pt idx="4">
                  <c:v>Bežné transfery</c:v>
                </c:pt>
                <c:pt idx="5">
                  <c:v>Investície</c:v>
                </c:pt>
              </c:strCache>
            </c:strRef>
          </c:cat>
          <c:val>
            <c:numRef>
              <c:f>'G03'!$D$3:$D$8</c:f>
              <c:numCache>
                <c:formatCode>0.00</c:formatCode>
                <c:ptCount val="6"/>
                <c:pt idx="0">
                  <c:v>0.36217497648255392</c:v>
                </c:pt>
                <c:pt idx="1">
                  <c:v>0.29667748783808712</c:v>
                </c:pt>
                <c:pt idx="2">
                  <c:v>-0.41659967110243024</c:v>
                </c:pt>
                <c:pt idx="3">
                  <c:v>-0.20359557792508198</c:v>
                </c:pt>
                <c:pt idx="4">
                  <c:v>-0.1593832256763415</c:v>
                </c:pt>
                <c:pt idx="5">
                  <c:v>-0.1266176796513403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739-40AC-92FB-C00043E43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0"/>
        <c:overlap val="46"/>
        <c:axId val="457821392"/>
        <c:axId val="457821000"/>
      </c:barChart>
      <c:catAx>
        <c:axId val="457820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0608"/>
        <c:crosses val="autoZero"/>
        <c:auto val="1"/>
        <c:lblAlgn val="ctr"/>
        <c:lblOffset val="100"/>
        <c:noMultiLvlLbl val="0"/>
      </c:catAx>
      <c:valAx>
        <c:axId val="457820608"/>
        <c:scaling>
          <c:orientation val="minMax"/>
          <c:max val="0.5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0216"/>
        <c:crosses val="autoZero"/>
        <c:crossBetween val="between"/>
      </c:valAx>
      <c:valAx>
        <c:axId val="457821000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457821392"/>
        <c:crosses val="max"/>
        <c:crossBetween val="between"/>
      </c:valAx>
      <c:catAx>
        <c:axId val="457821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7821000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1066149201513125E-5"/>
          <c:y val="4.4208547780664673E-4"/>
          <c:w val="0.48798828845206249"/>
          <c:h val="5.6982665613167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795637072312056E-2"/>
          <c:y val="4.7790277777777779E-2"/>
          <c:w val="0.84361314117172481"/>
          <c:h val="0.82951909512939548"/>
        </c:manualLayout>
      </c:layout>
      <c:areaChart>
        <c:grouping val="stacked"/>
        <c:varyColors val="0"/>
        <c:ser>
          <c:idx val="0"/>
          <c:order val="0"/>
          <c:tx>
            <c:strRef>
              <c:f>'G34'!$B$2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'G34'!$A$3:$A$7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'G34'!$B$3:$B$7</c:f>
              <c:numCache>
                <c:formatCode>0.000</c:formatCode>
                <c:ptCount val="5"/>
                <c:pt idx="0">
                  <c:v>25488.691837199258</c:v>
                </c:pt>
                <c:pt idx="1">
                  <c:v>27378.130339302701</c:v>
                </c:pt>
                <c:pt idx="2">
                  <c:v>28514.314960745309</c:v>
                </c:pt>
                <c:pt idx="3">
                  <c:v>29289.830916853552</c:v>
                </c:pt>
                <c:pt idx="4">
                  <c:v>29317.66869373485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A-4D37-9BD4-0D5531EEA939}"/>
            </c:ext>
          </c:extLst>
        </c:ser>
        <c:ser>
          <c:idx val="6"/>
          <c:order val="1"/>
          <c:tx>
            <c:strRef>
              <c:f>'G34'!$C$2</c:f>
              <c:strCache>
                <c:ptCount val="1"/>
                <c:pt idx="0">
                  <c:v>d80</c:v>
                </c:pt>
              </c:strCache>
            </c:strRef>
          </c:tx>
          <c:spPr>
            <a:solidFill>
              <a:srgbClr val="A7E2FF"/>
            </a:solidFill>
            <a:ln>
              <a:noFill/>
            </a:ln>
          </c:spPr>
          <c:cat>
            <c:numRef>
              <c:f>'G34'!$A$3:$A$7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'G34'!$C$3:$C$7</c:f>
              <c:numCache>
                <c:formatCode>0.000</c:formatCode>
                <c:ptCount val="5"/>
                <c:pt idx="1">
                  <c:v>50.779307697812328</c:v>
                </c:pt>
                <c:pt idx="2">
                  <c:v>202.57503563709906</c:v>
                </c:pt>
                <c:pt idx="3">
                  <c:v>536.81950258997676</c:v>
                </c:pt>
                <c:pt idx="4">
                  <c:v>1023.62766037861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A-4D37-9BD4-0D5531EEA939}"/>
            </c:ext>
          </c:extLst>
        </c:ser>
        <c:ser>
          <c:idx val="7"/>
          <c:order val="2"/>
          <c:tx>
            <c:strRef>
              <c:f>'G34'!$D$2</c:f>
              <c:strCache>
                <c:ptCount val="1"/>
                <c:pt idx="0">
                  <c:v>d60</c:v>
                </c:pt>
              </c:strCache>
            </c:strRef>
          </c:tx>
          <c:spPr>
            <a:solidFill>
              <a:srgbClr val="71D0FF"/>
            </a:solidFill>
            <a:ln>
              <a:noFill/>
            </a:ln>
          </c:spPr>
          <c:cat>
            <c:numRef>
              <c:f>'G34'!$A$3:$A$7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'G34'!$D$3:$D$7</c:f>
              <c:numCache>
                <c:formatCode>0.000</c:formatCode>
                <c:ptCount val="5"/>
                <c:pt idx="1">
                  <c:v>36.615453453108785</c:v>
                </c:pt>
                <c:pt idx="2">
                  <c:v>146.41476125145709</c:v>
                </c:pt>
                <c:pt idx="3">
                  <c:v>390.32253352149564</c:v>
                </c:pt>
                <c:pt idx="4">
                  <c:v>752.30121737368972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A-4D37-9BD4-0D5531EEA939}"/>
            </c:ext>
          </c:extLst>
        </c:ser>
        <c:ser>
          <c:idx val="8"/>
          <c:order val="3"/>
          <c:tx>
            <c:strRef>
              <c:f>'G34'!$E$2</c:f>
              <c:strCache>
                <c:ptCount val="1"/>
                <c:pt idx="0">
                  <c:v>d40-h40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</c:spPr>
          <c:cat>
            <c:numRef>
              <c:f>'G34'!$A$3:$A$7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'G34'!$E$3:$E$7</c:f>
              <c:numCache>
                <c:formatCode>0.000</c:formatCode>
                <c:ptCount val="5"/>
                <c:pt idx="1">
                  <c:v>121.05869069018081</c:v>
                </c:pt>
                <c:pt idx="2">
                  <c:v>486.13059167483152</c:v>
                </c:pt>
                <c:pt idx="3">
                  <c:v>1309.90192133444</c:v>
                </c:pt>
                <c:pt idx="4">
                  <c:v>2573.3322667204156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A-4D37-9BD4-0D5531EEA939}"/>
            </c:ext>
          </c:extLst>
        </c:ser>
        <c:ser>
          <c:idx val="5"/>
          <c:order val="4"/>
          <c:tx>
            <c:strRef>
              <c:f>'G34'!$F$2</c:f>
              <c:strCache>
                <c:ptCount val="1"/>
                <c:pt idx="0">
                  <c:v>h40</c:v>
                </c:pt>
              </c:strCache>
            </c:strRef>
          </c:tx>
          <c:spPr>
            <a:solidFill>
              <a:srgbClr val="71D0FF"/>
            </a:solidFill>
            <a:ln>
              <a:noFill/>
            </a:ln>
          </c:spPr>
          <c:cat>
            <c:numRef>
              <c:f>'G34'!$A$3:$A$7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'G34'!$F$3:$F$7</c:f>
              <c:numCache>
                <c:formatCode>0.000</c:formatCode>
                <c:ptCount val="5"/>
                <c:pt idx="1">
                  <c:v>36.615453453112423</c:v>
                </c:pt>
                <c:pt idx="2">
                  <c:v>147.65569251145644</c:v>
                </c:pt>
                <c:pt idx="3">
                  <c:v>402.09141898081361</c:v>
                </c:pt>
                <c:pt idx="4">
                  <c:v>804.75629463839141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3A-4D37-9BD4-0D5531EEA939}"/>
            </c:ext>
          </c:extLst>
        </c:ser>
        <c:ser>
          <c:idx val="2"/>
          <c:order val="5"/>
          <c:tx>
            <c:strRef>
              <c:f>'G34'!$G$2</c:f>
              <c:strCache>
                <c:ptCount val="1"/>
                <c:pt idx="0">
                  <c:v>h60</c:v>
                </c:pt>
              </c:strCache>
            </c:strRef>
          </c:tx>
          <c:spPr>
            <a:solidFill>
              <a:srgbClr val="A7E2FF"/>
            </a:solidFill>
            <a:ln>
              <a:noFill/>
            </a:ln>
          </c:spPr>
          <c:cat>
            <c:numRef>
              <c:f>'G34'!$A$3:$A$7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'G34'!$G$3:$G$7</c:f>
              <c:numCache>
                <c:formatCode>0.000</c:formatCode>
                <c:ptCount val="5"/>
                <c:pt idx="1">
                  <c:v>50.779307697812328</c:v>
                </c:pt>
                <c:pt idx="2">
                  <c:v>205.2498756557834</c:v>
                </c:pt>
                <c:pt idx="3">
                  <c:v>562.18745552685141</c:v>
                </c:pt>
                <c:pt idx="4">
                  <c:v>1136.6986429024837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3A-4D37-9BD4-0D5531EEA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42592"/>
        <c:axId val="244243152"/>
      </c:areaChart>
      <c:lineChart>
        <c:grouping val="standard"/>
        <c:varyColors val="0"/>
        <c:ser>
          <c:idx val="4"/>
          <c:order val="6"/>
          <c:tx>
            <c:strRef>
              <c:f>'G34'!$H$2</c:f>
              <c:strCache>
                <c:ptCount val="1"/>
                <c:pt idx="0">
                  <c:v>VpDP (sept. 2018)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692905832349181E-2"/>
                  <c:y val="-0.107145634138571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3A-4D37-9BD4-0D5531EEA939}"/>
                </c:ext>
              </c:extLst>
            </c:dLbl>
            <c:dLbl>
              <c:idx val="4"/>
              <c:layout>
                <c:manualLayout>
                  <c:x val="-9.032327922942128E-2"/>
                  <c:y val="-1.9645662845911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3A-4D37-9BD4-0D5531EEA9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'G34'!$A$3:$A$7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'G34'!$H$3:$H$7</c:f>
              <c:numCache>
                <c:formatCode>0.000</c:formatCode>
                <c:ptCount val="5"/>
                <c:pt idx="0">
                  <c:v>25488.691837199258</c:v>
                </c:pt>
                <c:pt idx="1">
                  <c:v>27526.054445798709</c:v>
                </c:pt>
                <c:pt idx="2">
                  <c:v>29105.976299648042</c:v>
                </c:pt>
                <c:pt idx="3">
                  <c:v>30868.189586200799</c:v>
                </c:pt>
                <c:pt idx="4">
                  <c:v>32363.619710035782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03A-4D37-9BD4-0D5531EEA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42592"/>
        <c:axId val="244243152"/>
      </c:lineChart>
      <c:catAx>
        <c:axId val="2442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3152"/>
        <c:crosses val="autoZero"/>
        <c:auto val="1"/>
        <c:lblAlgn val="ctr"/>
        <c:lblOffset val="100"/>
        <c:noMultiLvlLbl val="0"/>
      </c:catAx>
      <c:valAx>
        <c:axId val="244243152"/>
        <c:scaling>
          <c:orientation val="minMax"/>
          <c:min val="22000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15000"/>
                  <a:lumOff val="85000"/>
                </a:sys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mil. eur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2008424256036628E-2"/>
              <c:y val="3.6286677204234737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2442425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5658954112715945"/>
          <c:y val="6.1086266047812955E-2"/>
          <c:w val="0.64708263078475603"/>
          <c:h val="8.4076961529870972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u="none" strike="noStrike" baseline="0">
          <a:solidFill>
            <a:schemeClr val="tx1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9019685039370078"/>
          <c:h val="0.84688247302420527"/>
        </c:manualLayout>
      </c:layout>
      <c:lineChart>
        <c:grouping val="standard"/>
        <c:varyColors val="0"/>
        <c:ser>
          <c:idx val="0"/>
          <c:order val="0"/>
          <c:tx>
            <c:strRef>
              <c:f>'G35'!$A$3</c:f>
              <c:strCache>
                <c:ptCount val="1"/>
                <c:pt idx="0">
                  <c:v>Súkromný sektor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none"/>
          </c:marker>
          <c:cat>
            <c:numRef>
              <c:f>'G35'!$B$2:$N$2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'G35'!$B$3:$N$3</c:f>
              <c:numCache>
                <c:formatCode>#,##0</c:formatCode>
                <c:ptCount val="13"/>
                <c:pt idx="0">
                  <c:v>100</c:v>
                </c:pt>
                <c:pt idx="1">
                  <c:v>103.46893360134379</c:v>
                </c:pt>
                <c:pt idx="2">
                  <c:v>106.26716362273807</c:v>
                </c:pt>
                <c:pt idx="3">
                  <c:v>108.56796700105222</c:v>
                </c:pt>
                <c:pt idx="4">
                  <c:v>110.76637641242277</c:v>
                </c:pt>
                <c:pt idx="5">
                  <c:v>115.18803607513443</c:v>
                </c:pt>
                <c:pt idx="6">
                  <c:v>118.4216116323003</c:v>
                </c:pt>
                <c:pt idx="7">
                  <c:v>121.48666260274989</c:v>
                </c:pt>
                <c:pt idx="8">
                  <c:v>127.04430289384332</c:v>
                </c:pt>
                <c:pt idx="9">
                  <c:v>134.80225326126467</c:v>
                </c:pt>
                <c:pt idx="10">
                  <c:v>142.72169202863702</c:v>
                </c:pt>
                <c:pt idx="11">
                  <c:v>150.97806078680401</c:v>
                </c:pt>
                <c:pt idx="12">
                  <c:v>159.23446457769148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6-497E-8A96-3ABEFAA477F7}"/>
            </c:ext>
          </c:extLst>
        </c:ser>
        <c:ser>
          <c:idx val="3"/>
          <c:order val="1"/>
          <c:tx>
            <c:strRef>
              <c:f>'G35'!$A$4</c:f>
              <c:strCache>
                <c:ptCount val="1"/>
                <c:pt idx="0">
                  <c:v>Štátne RO - odhad RRZ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'G35'!$B$2:$N$2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'G35'!$B$4:$N$4</c:f>
              <c:numCache>
                <c:formatCode>#,##0</c:formatCode>
                <c:ptCount val="13"/>
                <c:pt idx="0">
                  <c:v>100</c:v>
                </c:pt>
                <c:pt idx="1">
                  <c:v>102.52371805627931</c:v>
                </c:pt>
                <c:pt idx="2">
                  <c:v>101.8603185679313</c:v>
                </c:pt>
                <c:pt idx="3">
                  <c:v>103.55425074565221</c:v>
                </c:pt>
                <c:pt idx="4">
                  <c:v>105.515259674384</c:v>
                </c:pt>
                <c:pt idx="5">
                  <c:v>109.41305287150985</c:v>
                </c:pt>
                <c:pt idx="6">
                  <c:v>112.14743311508789</c:v>
                </c:pt>
                <c:pt idx="7">
                  <c:v>121.05180164707953</c:v>
                </c:pt>
                <c:pt idx="8">
                  <c:v>127.49378509225785</c:v>
                </c:pt>
                <c:pt idx="9">
                  <c:v>138.79749439626499</c:v>
                </c:pt>
                <c:pt idx="10">
                  <c:v>155.88813310345077</c:v>
                </c:pt>
                <c:pt idx="11">
                  <c:v>171.574970338665</c:v>
                </c:pt>
                <c:pt idx="12">
                  <c:v>175.86434459713161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6-497E-8A96-3ABEFAA47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671824"/>
        <c:axId val="530672216"/>
      </c:lineChart>
      <c:catAx>
        <c:axId val="5306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0672216"/>
        <c:crosses val="autoZero"/>
        <c:auto val="1"/>
        <c:lblAlgn val="ctr"/>
        <c:lblOffset val="100"/>
        <c:noMultiLvlLbl val="0"/>
      </c:catAx>
      <c:valAx>
        <c:axId val="530672216"/>
        <c:scaling>
          <c:orientation val="minMax"/>
          <c:max val="1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067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42060367454068"/>
          <c:y val="7.0022601341498986E-2"/>
          <c:w val="0.42180161854768161"/>
          <c:h val="0.18923665791776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45144356955376E-2"/>
          <c:y val="5.0925925925925923E-2"/>
          <c:w val="0.88859930008748911"/>
          <c:h val="0.84688247302420527"/>
        </c:manualLayout>
      </c:layout>
      <c:barChart>
        <c:barDir val="col"/>
        <c:grouping val="stacked"/>
        <c:varyColors val="0"/>
        <c:ser>
          <c:idx val="11"/>
          <c:order val="1"/>
          <c:tx>
            <c:v>Kapitálové výdavky (bez obrany)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93-4D44-8951-EE5596293330}"/>
              </c:ext>
            </c:extLst>
          </c:dPt>
          <c:dPt>
            <c:idx val="5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93-4D44-8951-EE5596293330}"/>
              </c:ext>
            </c:extLst>
          </c:dPt>
          <c:dPt>
            <c:idx val="6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93-4D44-8951-EE5596293330}"/>
              </c:ext>
            </c:extLst>
          </c:dPt>
          <c:dPt>
            <c:idx val="7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93-4D44-8951-EE5596293330}"/>
              </c:ext>
            </c:extLst>
          </c:dPt>
          <c:cat>
            <c:numRef>
              <c:f>'G36'!$D$2:$Q$2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'G36'!$D$3:$Q$3</c:f>
              <c:numCache>
                <c:formatCode>#\ ##0.0</c:formatCode>
                <c:ptCount val="10"/>
                <c:pt idx="0">
                  <c:v>0.44049164620685388</c:v>
                </c:pt>
                <c:pt idx="1">
                  <c:v>0.32324493763642664</c:v>
                </c:pt>
                <c:pt idx="2">
                  <c:v>0.30248476102607769</c:v>
                </c:pt>
                <c:pt idx="3">
                  <c:v>0.37997050215219019</c:v>
                </c:pt>
                <c:pt idx="4">
                  <c:v>0.49512422027532149</c:v>
                </c:pt>
                <c:pt idx="5">
                  <c:v>0.46388915615509091</c:v>
                </c:pt>
                <c:pt idx="6">
                  <c:v>0.34242671781839018</c:v>
                </c:pt>
                <c:pt idx="7">
                  <c:v>0.31828521842929519</c:v>
                </c:pt>
                <c:pt idx="8">
                  <c:v>0.23866485205958402</c:v>
                </c:pt>
                <c:pt idx="9">
                  <c:v>0.22759456027896721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56-4B59-B23F-179696714A7A}"/>
            </c:ext>
          </c:extLst>
        </c:ser>
        <c:ser>
          <c:idx val="2"/>
          <c:order val="2"/>
          <c:tx>
            <c:strRef>
              <c:f>'G36'!$A$6</c:f>
              <c:strCache>
                <c:ptCount val="1"/>
                <c:pt idx="0">
                  <c:v>Riziká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'G36'!$D$2:$Q$2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'G36'!$D$6:$Q$6</c:f>
              <c:numCache>
                <c:formatCode>General</c:formatCode>
                <c:ptCount val="10"/>
                <c:pt idx="6" formatCode="#,##0.00">
                  <c:v>0.17484490571935762</c:v>
                </c:pt>
                <c:pt idx="7" formatCode="#,##0.00">
                  <c:v>7.0459304379063808E-2</c:v>
                </c:pt>
                <c:pt idx="8" formatCode="#,##0.00">
                  <c:v>0.15007967074877496</c:v>
                </c:pt>
                <c:pt idx="9" formatCode="#,##0.00">
                  <c:v>0.16114996252939176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56-4B59-B23F-179696714A7A}"/>
            </c:ext>
          </c:extLst>
        </c:ser>
        <c:ser>
          <c:idx val="0"/>
          <c:order val="3"/>
          <c:tx>
            <c:strRef>
              <c:f>'G36'!$A$4</c:f>
              <c:strCache>
                <c:ptCount val="1"/>
                <c:pt idx="0">
                  <c:v>Obrana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'G36'!$D$2:$Q$2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'G36'!$D$4:$Q$4</c:f>
              <c:numCache>
                <c:formatCode>#\ ##0.0</c:formatCode>
                <c:ptCount val="10"/>
                <c:pt idx="0">
                  <c:v>5.8690434435756189E-3</c:v>
                </c:pt>
                <c:pt idx="1">
                  <c:v>6.0428826248923083E-3</c:v>
                </c:pt>
                <c:pt idx="2">
                  <c:v>1.1343474249485463E-2</c:v>
                </c:pt>
                <c:pt idx="3">
                  <c:v>0.2278621077767807</c:v>
                </c:pt>
                <c:pt idx="4">
                  <c:v>0.21627901709695865</c:v>
                </c:pt>
                <c:pt idx="5">
                  <c:v>0.17847713695435172</c:v>
                </c:pt>
                <c:pt idx="6">
                  <c:v>0.27401271831365515</c:v>
                </c:pt>
                <c:pt idx="7">
                  <c:v>0.37903848033436655</c:v>
                </c:pt>
                <c:pt idx="8">
                  <c:v>0.26209940428181483</c:v>
                </c:pt>
                <c:pt idx="9">
                  <c:v>0.21206982462784785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56-4B59-B23F-17969671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531488"/>
        <c:axId val="530667328"/>
      </c:barChart>
      <c:lineChart>
        <c:grouping val="standard"/>
        <c:varyColors val="0"/>
        <c:ser>
          <c:idx val="1"/>
          <c:order val="0"/>
          <c:tx>
            <c:v>Priemer 2008-2017 (bez obrany)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'G36'!$D$2:$P$2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'G36'!$D$5:$P$5</c:f>
              <c:numCache>
                <c:formatCode>#\ ##0.0</c:formatCode>
                <c:ptCount val="9"/>
                <c:pt idx="0">
                  <c:v>0.48874452280835906</c:v>
                </c:pt>
                <c:pt idx="1">
                  <c:v>0.48874452280835906</c:v>
                </c:pt>
                <c:pt idx="2">
                  <c:v>0.48874452280835906</c:v>
                </c:pt>
                <c:pt idx="3">
                  <c:v>0.48874452280835906</c:v>
                </c:pt>
                <c:pt idx="4">
                  <c:v>0.48874452280835906</c:v>
                </c:pt>
                <c:pt idx="5">
                  <c:v>0.48874452280835906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56-4B59-B23F-17969671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31488"/>
        <c:axId val="530667328"/>
      </c:lineChart>
      <c:catAx>
        <c:axId val="53153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0667328"/>
        <c:crosses val="autoZero"/>
        <c:auto val="1"/>
        <c:lblAlgn val="ctr"/>
        <c:lblOffset val="100"/>
        <c:noMultiLvlLbl val="0"/>
      </c:catAx>
      <c:valAx>
        <c:axId val="530667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153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490376202974634E-2"/>
          <c:y val="4.4393444721848793E-2"/>
          <c:w val="0.429253280839895"/>
          <c:h val="0.19207413097753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en-US" b="1"/>
              <a:t>20</a:t>
            </a:r>
            <a:r>
              <a:rPr lang="sk-SK" b="1"/>
              <a:t>20</a:t>
            </a:r>
            <a:endParaRPr lang="en-US" b="1"/>
          </a:p>
        </c:rich>
      </c:tx>
      <c:layout>
        <c:manualLayout>
          <c:xMode val="edge"/>
          <c:yMode val="edge"/>
          <c:x val="0.494392433321102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8.5495605925248769E-2"/>
          <c:y val="9.2311679790026246E-2"/>
          <c:w val="0.8413751152727531"/>
          <c:h val="0.83186220472440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B2E4F8"/>
            </a:solidFill>
            <a:ln w="9525">
              <a:solidFill>
                <a:srgbClr val="13B5E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875726740958208E-3"/>
                  <c:y val="-6.3132635109041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79915461140619E-2"/>
                      <c:h val="5.89914948752363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7F6-46B2-B1CB-1E2A60786D73}"/>
                </c:ext>
              </c:extLst>
            </c:dLbl>
            <c:dLbl>
              <c:idx val="1"/>
              <c:layout>
                <c:manualLayout>
                  <c:x val="3.9768536186463868E-4"/>
                  <c:y val="-5.9331460692701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F6-46B2-B1CB-1E2A60786D73}"/>
                </c:ext>
              </c:extLst>
            </c:dLbl>
            <c:dLbl>
              <c:idx val="2"/>
              <c:layout>
                <c:manualLayout>
                  <c:x val="0.17750159979528088"/>
                  <c:y val="5.9017226753455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F6-46B2-B1CB-1E2A60786D73}"/>
                </c:ext>
              </c:extLst>
            </c:dLbl>
            <c:dLbl>
              <c:idx val="3"/>
              <c:layout>
                <c:manualLayout>
                  <c:x val="9.4563019292864467E-3"/>
                  <c:y val="5.5504870295980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F6-46B2-B1CB-1E2A60786D73}"/>
                </c:ext>
              </c:extLst>
            </c:dLbl>
            <c:dLbl>
              <c:idx val="4"/>
              <c:layout>
                <c:manualLayout>
                  <c:x val="3.9829350614652793E-2"/>
                  <c:y val="5.081743734300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F6-46B2-B1CB-1E2A60786D73}"/>
                </c:ext>
              </c:extLst>
            </c:dLbl>
            <c:dLbl>
              <c:idx val="5"/>
              <c:layout>
                <c:manualLayout>
                  <c:x val="-2.6862885377141571E-2"/>
                  <c:y val="-4.562615647210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F6-46B2-B1CB-1E2A60786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'G03'!$A$3:$A$8</c:f>
              <c:strCache>
                <c:ptCount val="6"/>
                <c:pt idx="0">
                  <c:v>Daňové opatrenia</c:v>
                </c:pt>
                <c:pt idx="1">
                  <c:v>Nedaňové a iné príjmy</c:v>
                </c:pt>
                <c:pt idx="2">
                  <c:v>Mzdy</c:v>
                </c:pt>
                <c:pt idx="3">
                  <c:v>Výdavky na tovary a služby</c:v>
                </c:pt>
                <c:pt idx="4">
                  <c:v>Bežné transfery</c:v>
                </c:pt>
                <c:pt idx="5">
                  <c:v>Investície</c:v>
                </c:pt>
              </c:strCache>
            </c:strRef>
          </c:cat>
          <c:val>
            <c:numRef>
              <c:f>'G03'!$E$3:$E$8</c:f>
              <c:numCache>
                <c:formatCode>0.00</c:formatCode>
                <c:ptCount val="6"/>
                <c:pt idx="0">
                  <c:v>0.39073512456972903</c:v>
                </c:pt>
                <c:pt idx="1">
                  <c:v>0.15270189176202117</c:v>
                </c:pt>
                <c:pt idx="2">
                  <c:v>-0.68455146981447879</c:v>
                </c:pt>
                <c:pt idx="3">
                  <c:v>-0.50375861119934739</c:v>
                </c:pt>
                <c:pt idx="4">
                  <c:v>-0.24373910089757289</c:v>
                </c:pt>
                <c:pt idx="5">
                  <c:v>0.24827866283794428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F6-46B2-B1CB-1E2A60786D73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  <a:ln w="9525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4097724002943118E-3"/>
                  <c:y val="5.8910611666925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F6-46B2-B1CB-1E2A60786D73}"/>
                </c:ext>
              </c:extLst>
            </c:dLbl>
            <c:dLbl>
              <c:idx val="1"/>
              <c:layout>
                <c:manualLayout>
                  <c:x val="-2.1678293724805148E-2"/>
                  <c:y val="-6.354820289214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F6-46B2-B1CB-1E2A60786D73}"/>
                </c:ext>
              </c:extLst>
            </c:dLbl>
            <c:dLbl>
              <c:idx val="2"/>
              <c:layout>
                <c:manualLayout>
                  <c:x val="0.5784422418384817"/>
                  <c:y val="5.3298961245581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F6-46B2-B1CB-1E2A60786D73}"/>
                </c:ext>
              </c:extLst>
            </c:dLbl>
            <c:dLbl>
              <c:idx val="3"/>
              <c:layout>
                <c:manualLayout>
                  <c:x val="1.2619164676246875E-2"/>
                  <c:y val="-5.34864453605933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21118930431734E-2"/>
                      <c:h val="5.89914948752363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17F6-46B2-B1CB-1E2A60786D73}"/>
                </c:ext>
              </c:extLst>
            </c:dLbl>
            <c:dLbl>
              <c:idx val="4"/>
              <c:layout>
                <c:manualLayout>
                  <c:x val="3.5035602064547339E-2"/>
                  <c:y val="-4.0982443168877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F6-46B2-B1CB-1E2A60786D73}"/>
                </c:ext>
              </c:extLst>
            </c:dLbl>
            <c:dLbl>
              <c:idx val="5"/>
              <c:layout>
                <c:manualLayout>
                  <c:x val="-2.0340717958739801E-2"/>
                  <c:y val="4.151353813552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F6-46B2-B1CB-1E2A60786D73}"/>
                </c:ext>
              </c:extLst>
            </c:dLbl>
            <c:dLbl>
              <c:idx val="6"/>
              <c:layout>
                <c:manualLayout>
                  <c:x val="-1.3017016417840078E-2"/>
                  <c:y val="3.37454866241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F6-46B2-B1CB-1E2A60786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'G03'!$A$3:$A$8</c:f>
              <c:strCache>
                <c:ptCount val="6"/>
                <c:pt idx="0">
                  <c:v>Daňové opatrenia</c:v>
                </c:pt>
                <c:pt idx="1">
                  <c:v>Nedaňové a iné príjmy</c:v>
                </c:pt>
                <c:pt idx="2">
                  <c:v>Mzdy</c:v>
                </c:pt>
                <c:pt idx="3">
                  <c:v>Výdavky na tovary a služby</c:v>
                </c:pt>
                <c:pt idx="4">
                  <c:v>Bežné transfery</c:v>
                </c:pt>
                <c:pt idx="5">
                  <c:v>Investície</c:v>
                </c:pt>
              </c:strCache>
            </c:strRef>
          </c:cat>
          <c:val>
            <c:numRef>
              <c:f>'G03'!$F$3:$F$8</c:f>
              <c:numCache>
                <c:formatCode>0.00</c:formatCode>
                <c:ptCount val="6"/>
                <c:pt idx="0">
                  <c:v>-0.10740051008154516</c:v>
                </c:pt>
                <c:pt idx="1">
                  <c:v>0.18039839611331124</c:v>
                </c:pt>
                <c:pt idx="2">
                  <c:v>-8.8817841970012523E-16</c:v>
                </c:pt>
                <c:pt idx="3">
                  <c:v>0.12384949862803285</c:v>
                </c:pt>
                <c:pt idx="4">
                  <c:v>7.5927032965757896E-2</c:v>
                </c:pt>
                <c:pt idx="5">
                  <c:v>-7.5927032965756619E-2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F6-46B2-B1CB-1E2A60786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100"/>
        <c:axId val="457822176"/>
        <c:axId val="457822568"/>
      </c:barChart>
      <c:barChart>
        <c:barDir val="bar"/>
        <c:grouping val="stacked"/>
        <c:varyColors val="0"/>
        <c:ser>
          <c:idx val="2"/>
          <c:order val="2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5023650190466664"/>
                  <c:y val="-4.260917223987508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95175374392351"/>
                      <c:h val="7.56410914491887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7F6-46B2-B1CB-1E2A60786D73}"/>
                </c:ext>
              </c:extLst>
            </c:dLbl>
            <c:dLbl>
              <c:idx val="1"/>
              <c:layout>
                <c:manualLayout>
                  <c:x val="0.14261021796858078"/>
                  <c:y val="-1.23153141666846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51766329096986"/>
                      <c:h val="7.54483541994035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7F6-46B2-B1CB-1E2A60786D73}"/>
                </c:ext>
              </c:extLst>
            </c:dLbl>
            <c:dLbl>
              <c:idx val="2"/>
              <c:layout>
                <c:manualLayout>
                  <c:x val="-0.29780108010524314"/>
                  <c:y val="3.6836667667894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F6-46B2-B1CB-1E2A60786D73}"/>
                </c:ext>
              </c:extLst>
            </c:dLbl>
            <c:dLbl>
              <c:idx val="3"/>
              <c:layout>
                <c:manualLayout>
                  <c:x val="-0.2194369062265433"/>
                  <c:y val="8.12189108097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F6-46B2-B1CB-1E2A60786D73}"/>
                </c:ext>
              </c:extLst>
            </c:dLbl>
            <c:dLbl>
              <c:idx val="4"/>
              <c:layout>
                <c:manualLayout>
                  <c:x val="-0.14443922093300954"/>
                  <c:y val="1.28939889556012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59816367821937"/>
                      <c:h val="6.71166507737381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7F6-46B2-B1CB-1E2A60786D73}"/>
                </c:ext>
              </c:extLst>
            </c:dLbl>
            <c:dLbl>
              <c:idx val="5"/>
              <c:layout>
                <c:manualLayout>
                  <c:x val="0.12572033494400453"/>
                  <c:y val="-6.089272805891225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28083341703855"/>
                      <c:h val="6.32096807032612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17F6-46B2-B1CB-1E2A60786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'G03'!$A$3:$A$8</c:f>
              <c:strCache>
                <c:ptCount val="6"/>
                <c:pt idx="0">
                  <c:v>Daňové opatrenia</c:v>
                </c:pt>
                <c:pt idx="1">
                  <c:v>Nedaňové a iné príjmy</c:v>
                </c:pt>
                <c:pt idx="2">
                  <c:v>Mzdy</c:v>
                </c:pt>
                <c:pt idx="3">
                  <c:v>Výdavky na tovary a služby</c:v>
                </c:pt>
                <c:pt idx="4">
                  <c:v>Bežné transfery</c:v>
                </c:pt>
                <c:pt idx="5">
                  <c:v>Investície</c:v>
                </c:pt>
              </c:strCache>
            </c:strRef>
          </c:cat>
          <c:val>
            <c:numRef>
              <c:f>'G03'!$G$3:$G$8</c:f>
              <c:numCache>
                <c:formatCode>0.00</c:formatCode>
                <c:ptCount val="6"/>
                <c:pt idx="0">
                  <c:v>0.28333461448818387</c:v>
                </c:pt>
                <c:pt idx="1">
                  <c:v>0.33310028787533241</c:v>
                </c:pt>
                <c:pt idx="2">
                  <c:v>-0.68455146981447967</c:v>
                </c:pt>
                <c:pt idx="3">
                  <c:v>-0.37990911257131454</c:v>
                </c:pt>
                <c:pt idx="4">
                  <c:v>-0.167812067931815</c:v>
                </c:pt>
                <c:pt idx="5">
                  <c:v>0.17235162987218766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7F6-46B2-B1CB-1E2A60786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0"/>
        <c:overlap val="46"/>
        <c:axId val="457823352"/>
        <c:axId val="457822960"/>
      </c:barChart>
      <c:catAx>
        <c:axId val="457822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457822568"/>
        <c:crosses val="autoZero"/>
        <c:auto val="1"/>
        <c:lblAlgn val="ctr"/>
        <c:lblOffset val="100"/>
        <c:noMultiLvlLbl val="0"/>
      </c:catAx>
      <c:valAx>
        <c:axId val="457822568"/>
        <c:scaling>
          <c:orientation val="minMax"/>
          <c:max val="0.4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2176"/>
        <c:crosses val="autoZero"/>
        <c:crossBetween val="between"/>
        <c:majorUnit val="0.2"/>
        <c:minorUnit val="0.1"/>
      </c:valAx>
      <c:valAx>
        <c:axId val="457822960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457823352"/>
        <c:crosses val="max"/>
        <c:crossBetween val="between"/>
      </c:valAx>
      <c:catAx>
        <c:axId val="457823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7822960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en-US" b="1"/>
              <a:t>20</a:t>
            </a:r>
            <a:r>
              <a:rPr lang="sk-SK" b="1"/>
              <a:t>21</a:t>
            </a:r>
            <a:endParaRPr lang="en-US" b="1"/>
          </a:p>
        </c:rich>
      </c:tx>
      <c:layout>
        <c:manualLayout>
          <c:xMode val="edge"/>
          <c:yMode val="edge"/>
          <c:x val="0.56742277688826503"/>
          <c:y val="8.51970181043663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812142038946164E-2"/>
          <c:y val="8.694852989274772E-2"/>
          <c:w val="0.85021765037030539"/>
          <c:h val="0.819082790370053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B2E4F8"/>
            </a:solidFill>
            <a:ln w="9525">
              <a:solidFill>
                <a:srgbClr val="13B5E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1568940480378179E-2"/>
                  <c:y val="-5.38701355109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97-4FF9-B43B-FBB18F7FF218}"/>
                </c:ext>
              </c:extLst>
            </c:dLbl>
            <c:dLbl>
              <c:idx val="1"/>
              <c:layout>
                <c:manualLayout>
                  <c:x val="-5.2302225108460223E-3"/>
                  <c:y val="-6.1886910197470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97-4FF9-B43B-FBB18F7FF218}"/>
                </c:ext>
              </c:extLst>
            </c:dLbl>
            <c:dLbl>
              <c:idx val="2"/>
              <c:layout>
                <c:manualLayout>
                  <c:x val="0.14250038332837262"/>
                  <c:y val="5.3806357163976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97-4FF9-B43B-FBB18F7FF218}"/>
                </c:ext>
              </c:extLst>
            </c:dLbl>
            <c:dLbl>
              <c:idx val="3"/>
              <c:layout>
                <c:manualLayout>
                  <c:x val="5.0566514237266734E-2"/>
                  <c:y val="5.347536389635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97-4FF9-B43B-FBB18F7FF218}"/>
                </c:ext>
              </c:extLst>
            </c:dLbl>
            <c:dLbl>
              <c:idx val="4"/>
              <c:layout>
                <c:manualLayout>
                  <c:x val="-3.4108288010390536E-2"/>
                  <c:y val="5.9940035271061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63906830036577"/>
                      <c:h val="7.03274132155286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997-4FF9-B43B-FBB18F7FF218}"/>
                </c:ext>
              </c:extLst>
            </c:dLbl>
            <c:dLbl>
              <c:idx val="5"/>
              <c:layout>
                <c:manualLayout>
                  <c:x val="7.358858493203814E-2"/>
                  <c:y val="-4.59763385603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97-4FF9-B43B-FBB18F7FF2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'G03'!$A$3:$A$8</c:f>
              <c:strCache>
                <c:ptCount val="6"/>
                <c:pt idx="0">
                  <c:v>Daňové opatrenia</c:v>
                </c:pt>
                <c:pt idx="1">
                  <c:v>Nedaňové a iné príjmy</c:v>
                </c:pt>
                <c:pt idx="2">
                  <c:v>Mzdy</c:v>
                </c:pt>
                <c:pt idx="3">
                  <c:v>Výdavky na tovary a služby</c:v>
                </c:pt>
                <c:pt idx="4">
                  <c:v>Bežné transfery</c:v>
                </c:pt>
                <c:pt idx="5">
                  <c:v>Investície</c:v>
                </c:pt>
              </c:strCache>
            </c:strRef>
          </c:cat>
          <c:val>
            <c:numRef>
              <c:f>'G03'!$H$3:$H$8</c:f>
              <c:numCache>
                <c:formatCode>0.00</c:formatCode>
                <c:ptCount val="6"/>
                <c:pt idx="0">
                  <c:v>0.36496348483180813</c:v>
                </c:pt>
                <c:pt idx="1">
                  <c:v>0.15407019549684337</c:v>
                </c:pt>
                <c:pt idx="2">
                  <c:v>-0.50369752031076098</c:v>
                </c:pt>
                <c:pt idx="3">
                  <c:v>-0.47570964928684711</c:v>
                </c:pt>
                <c:pt idx="4">
                  <c:v>-0.24910127755322986</c:v>
                </c:pt>
                <c:pt idx="5">
                  <c:v>6.8482705632212662E-2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97-4FF9-B43B-FBB18F7FF218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  <a:ln w="9525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2496324557368389E-2"/>
                  <c:y val="5.465673512427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97-4FF9-B43B-FBB18F7FF218}"/>
                </c:ext>
              </c:extLst>
            </c:dLbl>
            <c:dLbl>
              <c:idx val="1"/>
              <c:layout>
                <c:manualLayout>
                  <c:x val="1.2041020645615007E-2"/>
                  <c:y val="-5.379065787855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97-4FF9-B43B-FBB18F7FF218}"/>
                </c:ext>
              </c:extLst>
            </c:dLbl>
            <c:dLbl>
              <c:idx val="2"/>
              <c:layout>
                <c:manualLayout>
                  <c:x val="4.5036844621226389E-2"/>
                  <c:y val="-5.42873113142133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29557774350373"/>
                      <c:h val="5.78924232632011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997-4FF9-B43B-FBB18F7FF218}"/>
                </c:ext>
              </c:extLst>
            </c:dLbl>
            <c:dLbl>
              <c:idx val="3"/>
              <c:layout>
                <c:manualLayout>
                  <c:x val="-3.6193774747228763E-2"/>
                  <c:y val="-5.425738455137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97-4FF9-B43B-FBB18F7FF218}"/>
                </c:ext>
              </c:extLst>
            </c:dLbl>
            <c:dLbl>
              <c:idx val="4"/>
              <c:layout>
                <c:manualLayout>
                  <c:x val="0.17566793841491463"/>
                  <c:y val="5.843797343157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97-4FF9-B43B-FBB18F7FF218}"/>
                </c:ext>
              </c:extLst>
            </c:dLbl>
            <c:dLbl>
              <c:idx val="5"/>
              <c:layout>
                <c:manualLayout>
                  <c:x val="-3.7349712729207903E-2"/>
                  <c:y val="5.0026754198904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97-4FF9-B43B-FBB18F7FF218}"/>
                </c:ext>
              </c:extLst>
            </c:dLbl>
            <c:dLbl>
              <c:idx val="6"/>
              <c:layout>
                <c:manualLayout>
                  <c:x val="-1.3481662285421381E-2"/>
                  <c:y val="4.9686605971195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97-4FF9-B43B-FBB18F7FF2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'G03'!$A$3:$A$8</c:f>
              <c:strCache>
                <c:ptCount val="6"/>
                <c:pt idx="0">
                  <c:v>Daňové opatrenia</c:v>
                </c:pt>
                <c:pt idx="1">
                  <c:v>Nedaňové a iné príjmy</c:v>
                </c:pt>
                <c:pt idx="2">
                  <c:v>Mzdy</c:v>
                </c:pt>
                <c:pt idx="3">
                  <c:v>Výdavky na tovary a služby</c:v>
                </c:pt>
                <c:pt idx="4">
                  <c:v>Bežné transfery</c:v>
                </c:pt>
                <c:pt idx="5">
                  <c:v>Investície</c:v>
                </c:pt>
              </c:strCache>
            </c:strRef>
          </c:cat>
          <c:val>
            <c:numRef>
              <c:f>'G03'!$I$3:$I$8</c:f>
              <c:numCache>
                <c:formatCode>0.00</c:formatCode>
                <c:ptCount val="6"/>
                <c:pt idx="0">
                  <c:v>-0.15091614078679444</c:v>
                </c:pt>
                <c:pt idx="1">
                  <c:v>0.22226606820134903</c:v>
                </c:pt>
                <c:pt idx="2">
                  <c:v>0</c:v>
                </c:pt>
                <c:pt idx="3">
                  <c:v>1.714788710963111E-2</c:v>
                </c:pt>
                <c:pt idx="4">
                  <c:v>8.6575700357271385E-2</c:v>
                </c:pt>
                <c:pt idx="5">
                  <c:v>-8.657570035726854E-2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97-4FF9-B43B-FBB18F7F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100"/>
        <c:axId val="457824136"/>
        <c:axId val="457824528"/>
      </c:barChart>
      <c:barChart>
        <c:barDir val="bar"/>
        <c:grouping val="stacked"/>
        <c:varyColors val="0"/>
        <c:ser>
          <c:idx val="2"/>
          <c:order val="2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502787924705288"/>
                  <c:y val="-8.2018954270599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97-4FF9-B43B-FBB18F7FF218}"/>
                </c:ext>
              </c:extLst>
            </c:dLbl>
            <c:dLbl>
              <c:idx val="1"/>
              <c:layout>
                <c:manualLayout>
                  <c:x val="0.20110903662815327"/>
                  <c:y val="-8.4645313894130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97-4FF9-B43B-FBB18F7FF218}"/>
                </c:ext>
              </c:extLst>
            </c:dLbl>
            <c:dLbl>
              <c:idx val="2"/>
              <c:layout>
                <c:manualLayout>
                  <c:x val="-0.27627982069251655"/>
                  <c:y val="3.99759408450925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34362103295009"/>
                      <c:h val="4.96246607275305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997-4FF9-B43B-FBB18F7FF218}"/>
                </c:ext>
              </c:extLst>
            </c:dLbl>
            <c:dLbl>
              <c:idx val="3"/>
              <c:layout>
                <c:manualLayout>
                  <c:x val="-0.28082221681052755"/>
                  <c:y val="4.023923094433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97-4FF9-B43B-FBB18F7FF218}"/>
                </c:ext>
              </c:extLst>
            </c:dLbl>
            <c:dLbl>
              <c:idx val="4"/>
              <c:layout>
                <c:manualLayout>
                  <c:x val="-0.13609546229401737"/>
                  <c:y val="1.230529615393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97-4FF9-B43B-FBB18F7FF218}"/>
                </c:ext>
              </c:extLst>
            </c:dLbl>
            <c:dLbl>
              <c:idx val="5"/>
              <c:layout>
                <c:manualLayout>
                  <c:x val="-7.9199790747806087E-2"/>
                  <c:y val="8.1642825557390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97-4FF9-B43B-FBB18F7FF2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'G03'!$A$3:$A$8</c:f>
              <c:strCache>
                <c:ptCount val="6"/>
                <c:pt idx="0">
                  <c:v>Daňové opatrenia</c:v>
                </c:pt>
                <c:pt idx="1">
                  <c:v>Nedaňové a iné príjmy</c:v>
                </c:pt>
                <c:pt idx="2">
                  <c:v>Mzdy</c:v>
                </c:pt>
                <c:pt idx="3">
                  <c:v>Výdavky na tovary a služby</c:v>
                </c:pt>
                <c:pt idx="4">
                  <c:v>Bežné transfery</c:v>
                </c:pt>
                <c:pt idx="5">
                  <c:v>Investície</c:v>
                </c:pt>
              </c:strCache>
            </c:strRef>
          </c:cat>
          <c:val>
            <c:numRef>
              <c:f>'G03'!$J$3:$J$8</c:f>
              <c:numCache>
                <c:formatCode>#,##0.00</c:formatCode>
                <c:ptCount val="6"/>
                <c:pt idx="0">
                  <c:v>0.21404734404501369</c:v>
                </c:pt>
                <c:pt idx="1">
                  <c:v>0.3763362636981924</c:v>
                </c:pt>
                <c:pt idx="2">
                  <c:v>-0.50369752031076054</c:v>
                </c:pt>
                <c:pt idx="3">
                  <c:v>-0.458561762177216</c:v>
                </c:pt>
                <c:pt idx="4">
                  <c:v>-0.16252557719595848</c:v>
                </c:pt>
                <c:pt idx="5">
                  <c:v>-1.8092994725055878E-2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997-4FF9-B43B-FBB18F7F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0"/>
        <c:overlap val="46"/>
        <c:axId val="457825312"/>
        <c:axId val="457824920"/>
      </c:barChart>
      <c:catAx>
        <c:axId val="457824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457824528"/>
        <c:crosses val="autoZero"/>
        <c:auto val="1"/>
        <c:lblAlgn val="ctr"/>
        <c:lblOffset val="100"/>
        <c:noMultiLvlLbl val="0"/>
      </c:catAx>
      <c:valAx>
        <c:axId val="457824528"/>
        <c:scaling>
          <c:orientation val="minMax"/>
          <c:max val="0.4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4136"/>
        <c:crosses val="autoZero"/>
        <c:crossBetween val="between"/>
        <c:majorUnit val="0.2"/>
        <c:minorUnit val="5.000000000000001E-2"/>
      </c:valAx>
      <c:valAx>
        <c:axId val="457824920"/>
        <c:scaling>
          <c:orientation val="minMax"/>
        </c:scaling>
        <c:delete val="1"/>
        <c:axPos val="t"/>
        <c:numFmt formatCode="#,##0.00" sourceLinked="1"/>
        <c:majorTickMark val="out"/>
        <c:minorTickMark val="none"/>
        <c:tickLblPos val="nextTo"/>
        <c:crossAx val="457825312"/>
        <c:crosses val="max"/>
        <c:crossBetween val="between"/>
      </c:valAx>
      <c:catAx>
        <c:axId val="457825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7824920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07222501442637E-2"/>
          <c:y val="0.10739938757655293"/>
          <c:w val="0.90799277749855734"/>
          <c:h val="0.82526592070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'G04'!$A$3</c:f>
              <c:strCache>
                <c:ptCount val="1"/>
                <c:pt idx="0">
                  <c:v>RVS 2017-2019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9950124688279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F6-4F27-BF5C-11A064A8DD6A}"/>
                </c:ext>
              </c:extLst>
            </c:dLbl>
            <c:dLbl>
              <c:idx val="1"/>
              <c:layout>
                <c:manualLayout>
                  <c:x val="-1.6625103906899419E-2"/>
                  <c:y val="1.7021276595744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F6-4F27-BF5C-11A064A8DD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'G04'!$B$3:$G$3</c:f>
              <c:numCache>
                <c:formatCode>0.00</c:formatCode>
                <c:ptCount val="6"/>
                <c:pt idx="0">
                  <c:v>-1.93</c:v>
                </c:pt>
                <c:pt idx="1">
                  <c:v>-1.29</c:v>
                </c:pt>
                <c:pt idx="2">
                  <c:v>-0.44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F6-4F27-BF5C-11A064A8DD6A}"/>
            </c:ext>
          </c:extLst>
        </c:ser>
        <c:ser>
          <c:idx val="1"/>
          <c:order val="1"/>
          <c:tx>
            <c:strRef>
              <c:f>'G04'!$A$4</c:f>
              <c:strCache>
                <c:ptCount val="1"/>
                <c:pt idx="0">
                  <c:v>RVS 2018-2020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300083125519535E-2"/>
                  <c:y val="-5.106382978723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F6-4F27-BF5C-11A064A8DD6A}"/>
                </c:ext>
              </c:extLst>
            </c:dLbl>
            <c:dLbl>
              <c:idx val="1"/>
              <c:layout>
                <c:manualLayout>
                  <c:x val="-1.3300083125519504E-2"/>
                  <c:y val="-0.10212721282180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F6-4F27-BF5C-11A064A8DD6A}"/>
                </c:ext>
              </c:extLst>
            </c:dLbl>
            <c:dLbl>
              <c:idx val="2"/>
              <c:layout>
                <c:manualLayout>
                  <c:x val="-9.9750623441396506E-3"/>
                  <c:y val="-4.538962416931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F6-4F27-BF5C-11A064A8DD6A}"/>
                </c:ext>
              </c:extLst>
            </c:dLbl>
            <c:dLbl>
              <c:idx val="3"/>
              <c:layout>
                <c:manualLayout>
                  <c:x val="-1.5760441292356302E-2"/>
                  <c:y val="1.503759398496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F6-4F27-BF5C-11A064A8DD6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2E4F8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'G04'!$B$2:$G$2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'G04'!$B$4:$G$4</c:f>
              <c:numCache>
                <c:formatCode>0.00</c:formatCode>
                <c:ptCount val="6"/>
                <c:pt idx="0">
                  <c:v>-2.19</c:v>
                </c:pt>
                <c:pt idx="1">
                  <c:v>-1.29</c:v>
                </c:pt>
                <c:pt idx="2">
                  <c:v>-0.83</c:v>
                </c:pt>
                <c:pt idx="3">
                  <c:v>-0.1</c:v>
                </c:pt>
                <c:pt idx="4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F6-4F27-BF5C-11A064A8DD6A}"/>
            </c:ext>
          </c:extLst>
        </c:ser>
        <c:ser>
          <c:idx val="2"/>
          <c:order val="2"/>
          <c:tx>
            <c:strRef>
              <c:f>'G04'!$A$5</c:f>
              <c:strCache>
                <c:ptCount val="1"/>
                <c:pt idx="0">
                  <c:v>PS 2018-2021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9.4562647754137114E-3"/>
                  <c:y val="1.002506265664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F6-4F27-BF5C-11A064A8DD6A}"/>
                </c:ext>
              </c:extLst>
            </c:dLbl>
            <c:dLbl>
              <c:idx val="4"/>
              <c:layout>
                <c:manualLayout>
                  <c:x val="-3.3250207813798837E-3"/>
                  <c:y val="6.241134751773049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F6-4F27-BF5C-11A064A8DD6A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FF6-4F27-BF5C-11A064A8DD6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'G04'!$B$2:$G$2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'G04'!$B$5:$G$5</c:f>
              <c:numCache>
                <c:formatCode>0.00</c:formatCode>
                <c:ptCount val="6"/>
                <c:pt idx="0">
                  <c:v>-2.21</c:v>
                </c:pt>
                <c:pt idx="1">
                  <c:v>-1.04</c:v>
                </c:pt>
                <c:pt idx="2">
                  <c:v>-0.8</c:v>
                </c:pt>
                <c:pt idx="3">
                  <c:v>-0.32</c:v>
                </c:pt>
                <c:pt idx="4" formatCode="0.0">
                  <c:v>0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F6-4F27-BF5C-11A064A8DD6A}"/>
            </c:ext>
          </c:extLst>
        </c:ser>
        <c:ser>
          <c:idx val="3"/>
          <c:order val="3"/>
          <c:tx>
            <c:strRef>
              <c:f>'G04'!$A$6</c:f>
              <c:strCache>
                <c:ptCount val="1"/>
                <c:pt idx="0">
                  <c:v>NRVS 2019-2021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9750623441396506E-3"/>
                  <c:y val="2.836879432624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F6-4F27-BF5C-11A064A8DD6A}"/>
                </c:ext>
              </c:extLst>
            </c:dLbl>
            <c:dLbl>
              <c:idx val="1"/>
              <c:layout>
                <c:manualLayout>
                  <c:x val="1.6625103906899419E-2"/>
                  <c:y val="5.6737588652482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F6-4F27-BF5C-11A064A8DD6A}"/>
                </c:ext>
              </c:extLst>
            </c:dLbl>
            <c:dLbl>
              <c:idx val="2"/>
              <c:layout>
                <c:manualLayout>
                  <c:x val="1.9950124688279301E-2"/>
                  <c:y val="5.6737588652482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F6-4F27-BF5C-11A064A8DD6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FFF6-4F27-BF5C-11A064A8DD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'G04'!$B$2:$G$2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'G04'!$B$6:$G$6</c:f>
              <c:numCache>
                <c:formatCode>0.00</c:formatCode>
                <c:ptCount val="6"/>
                <c:pt idx="0">
                  <c:v>-2.2200000000000002</c:v>
                </c:pt>
                <c:pt idx="1">
                  <c:v>-0.7770491556751673</c:v>
                </c:pt>
                <c:pt idx="2">
                  <c:v>-0.6</c:v>
                </c:pt>
                <c:pt idx="3">
                  <c:v>-0.1</c:v>
                </c:pt>
                <c:pt idx="4" formatCode="0.0">
                  <c:v>0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FF6-4F27-BF5C-11A064A8D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01400"/>
        <c:axId val="457802184"/>
      </c:barChart>
      <c:catAx>
        <c:axId val="45780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02184"/>
        <c:crosses val="autoZero"/>
        <c:auto val="1"/>
        <c:lblAlgn val="ctr"/>
        <c:lblOffset val="100"/>
        <c:noMultiLvlLbl val="0"/>
      </c:catAx>
      <c:valAx>
        <c:axId val="457802184"/>
        <c:scaling>
          <c:orientation val="minMax"/>
          <c:min val="-3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0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060819080906664"/>
          <c:y val="0.52052716814653477"/>
          <c:w val="0.4196411857495369"/>
          <c:h val="0.23758932261126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59310759913879E-2"/>
          <c:y val="0.10739938757655293"/>
          <c:w val="0.90484068924008609"/>
          <c:h val="0.7951907327373550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'G04'!$A$3</c:f>
              <c:strCache>
                <c:ptCount val="1"/>
                <c:pt idx="0">
                  <c:v>RVS 2017-2019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1687242798353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A5-4335-A79E-101703B08EE4}"/>
                </c:ext>
              </c:extLst>
            </c:dLbl>
            <c:dLbl>
              <c:idx val="3"/>
              <c:layout>
                <c:manualLayout>
                  <c:x val="1.3168724279835391E-2"/>
                  <c:y val="-5.17884789478779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A5-4335-A79E-101703B08E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'G05'!$B$3:$G$3</c:f>
              <c:numCache>
                <c:formatCode>0.0</c:formatCode>
                <c:ptCount val="6"/>
                <c:pt idx="0">
                  <c:v>53.494981921392004</c:v>
                </c:pt>
                <c:pt idx="1">
                  <c:v>52.723970708888864</c:v>
                </c:pt>
                <c:pt idx="2">
                  <c:v>51.402602458171891</c:v>
                </c:pt>
                <c:pt idx="3">
                  <c:v>49.061408450492536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A5-4335-A79E-101703B08EE4}"/>
            </c:ext>
          </c:extLst>
        </c:ser>
        <c:ser>
          <c:idx val="0"/>
          <c:order val="1"/>
          <c:tx>
            <c:strRef>
              <c:f>'G04'!$A$4</c:f>
              <c:strCache>
                <c:ptCount val="1"/>
                <c:pt idx="0">
                  <c:v>RVS 2018-2020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7.7049998379832146E-3"/>
                  <c:y val="-6.342141554339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A5-4335-A79E-101703B08EE4}"/>
                </c:ext>
              </c:extLst>
            </c:dLbl>
            <c:dLbl>
              <c:idx val="1"/>
              <c:layout>
                <c:manualLayout>
                  <c:x val="4.2728362658371105E-3"/>
                  <c:y val="-4.519774011299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A5-4335-A79E-101703B08EE4}"/>
                </c:ext>
              </c:extLst>
            </c:dLbl>
            <c:dLbl>
              <c:idx val="2"/>
              <c:layout>
                <c:manualLayout>
                  <c:x val="3.0190078092090279E-2"/>
                  <c:y val="-5.6497175141242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A5-4335-A79E-101703B08EE4}"/>
                </c:ext>
              </c:extLst>
            </c:dLbl>
            <c:dLbl>
              <c:idx val="3"/>
              <c:layout>
                <c:manualLayout>
                  <c:x val="3.6914422734195144E-2"/>
                  <c:y val="-1.8860714444592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A5-4335-A79E-101703B08EE4}"/>
                </c:ext>
              </c:extLst>
            </c:dLbl>
            <c:dLbl>
              <c:idx val="4"/>
              <c:layout>
                <c:manualLayout>
                  <c:x val="-1.2071191142418955E-16"/>
                  <c:y val="-6.214689265536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A5-4335-A79E-101703B08E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2E4F8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'G04'!$B$2:$G$2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'G05'!$B$4:$G$4</c:f>
              <c:numCache>
                <c:formatCode>0.0</c:formatCode>
                <c:ptCount val="6"/>
                <c:pt idx="0">
                  <c:v>51.94451557871907</c:v>
                </c:pt>
                <c:pt idx="1">
                  <c:v>51.116082340070129</c:v>
                </c:pt>
                <c:pt idx="2">
                  <c:v>49.945843575777936</c:v>
                </c:pt>
                <c:pt idx="3">
                  <c:v>47.827914878975811</c:v>
                </c:pt>
                <c:pt idx="4">
                  <c:v>45.509670510470727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A5-4335-A79E-101703B08EE4}"/>
            </c:ext>
          </c:extLst>
        </c:ser>
        <c:ser>
          <c:idx val="1"/>
          <c:order val="2"/>
          <c:tx>
            <c:strRef>
              <c:f>'G04'!$A$5</c:f>
              <c:strCache>
                <c:ptCount val="1"/>
                <c:pt idx="0">
                  <c:v>PS 2018-2021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9.876543209876543E-3"/>
                  <c:y val="-2.5894239473938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A5-4335-A79E-101703B08EE4}"/>
                </c:ext>
              </c:extLst>
            </c:dLbl>
            <c:dLbl>
              <c:idx val="1"/>
              <c:layout>
                <c:manualLayout>
                  <c:x val="-3.29218106995884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A5-4335-A79E-101703B08EE4}"/>
                </c:ext>
              </c:extLst>
            </c:dLbl>
            <c:dLbl>
              <c:idx val="5"/>
              <c:layout>
                <c:manualLayout>
                  <c:x val="-9.876543209876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A5-4335-A79E-101703B08E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'G04'!$B$2:$G$2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'G05'!$B$5:$G$5</c:f>
              <c:numCache>
                <c:formatCode>0.0</c:formatCode>
                <c:ptCount val="6"/>
                <c:pt idx="0">
                  <c:v>51.8</c:v>
                </c:pt>
                <c:pt idx="1">
                  <c:v>50.9</c:v>
                </c:pt>
                <c:pt idx="2">
                  <c:v>49.3</c:v>
                </c:pt>
                <c:pt idx="3">
                  <c:v>46.5</c:v>
                </c:pt>
                <c:pt idx="4">
                  <c:v>44.9</c:v>
                </c:pt>
                <c:pt idx="5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A5-4335-A79E-101703B08EE4}"/>
            </c:ext>
          </c:extLst>
        </c:ser>
        <c:ser>
          <c:idx val="2"/>
          <c:order val="3"/>
          <c:tx>
            <c:strRef>
              <c:f>'G04'!$A$6</c:f>
              <c:strCache>
                <c:ptCount val="1"/>
                <c:pt idx="0">
                  <c:v>NRVS 2019-2021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8958880139982498E-3"/>
                  <c:y val="-2.5894239473938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A5-4335-A79E-101703B08EE4}"/>
                </c:ext>
              </c:extLst>
            </c:dLbl>
            <c:dLbl>
              <c:idx val="1"/>
              <c:layout>
                <c:manualLayout>
                  <c:x val="2.5496775865979714E-2"/>
                  <c:y val="-5.0126784999332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A5-4335-A79E-101703B08EE4}"/>
                </c:ext>
              </c:extLst>
            </c:dLbl>
            <c:dLbl>
              <c:idx val="2"/>
              <c:layout>
                <c:manualLayout>
                  <c:x val="2.9069181167168917E-2"/>
                  <c:y val="-2.5894239473938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A5-4335-A79E-101703B08EE4}"/>
                </c:ext>
              </c:extLst>
            </c:dLbl>
            <c:dLbl>
              <c:idx val="3"/>
              <c:layout>
                <c:manualLayout>
                  <c:x val="1.89125295508274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A5-4335-A79E-101703B08EE4}"/>
                </c:ext>
              </c:extLst>
            </c:dLbl>
            <c:dLbl>
              <c:idx val="4"/>
              <c:layout>
                <c:manualLayout>
                  <c:x val="3.5653543307086616E-2"/>
                  <c:y val="-5.0126784999332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A5-4335-A79E-101703B08EE4}"/>
                </c:ext>
              </c:extLst>
            </c:dLbl>
            <c:dLbl>
              <c:idx val="5"/>
              <c:layout>
                <c:manualLayout>
                  <c:x val="3.2921810699588477E-3"/>
                  <c:y val="-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A5-4335-A79E-101703B08EE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'G04'!$B$2:$G$2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'G05'!$B$6:$G$6</c:f>
              <c:numCache>
                <c:formatCode>0.0</c:formatCode>
                <c:ptCount val="6"/>
                <c:pt idx="0">
                  <c:v>51.772784829816899</c:v>
                </c:pt>
                <c:pt idx="1">
                  <c:v>50.947662603557362</c:v>
                </c:pt>
                <c:pt idx="2">
                  <c:v>48.679657950939628</c:v>
                </c:pt>
                <c:pt idx="3">
                  <c:v>47.261309400574113</c:v>
                </c:pt>
                <c:pt idx="4">
                  <c:v>45.989684811323947</c:v>
                </c:pt>
                <c:pt idx="5">
                  <c:v>44.815110238301905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1A5-4335-A79E-101703B08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03360"/>
        <c:axId val="457803752"/>
      </c:barChart>
      <c:catAx>
        <c:axId val="4578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03752"/>
        <c:crosses val="autoZero"/>
        <c:auto val="1"/>
        <c:lblAlgn val="ctr"/>
        <c:lblOffset val="100"/>
        <c:noMultiLvlLbl val="0"/>
      </c:catAx>
      <c:valAx>
        <c:axId val="457803752"/>
        <c:scaling>
          <c:orientation val="minMax"/>
          <c:max val="58"/>
          <c:min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0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433906872752021"/>
          <c:y val="7.4643444993104671E-2"/>
          <c:w val="0.34603130164285006"/>
          <c:h val="0.28743004582054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21333076068137"/>
          <c:y val="0.10940608042371376"/>
          <c:w val="0.47362929889704825"/>
          <c:h val="0.81073212868631106"/>
        </c:manualLayout>
      </c:layout>
      <c:doughnutChart>
        <c:varyColors val="1"/>
        <c:ser>
          <c:idx val="0"/>
          <c:order val="0"/>
          <c:spPr>
            <a:gradFill>
              <a:gsLst>
                <a:gs pos="33005">
                  <a:schemeClr val="bg1">
                    <a:lumMod val="50000"/>
                  </a:schemeClr>
                </a:gs>
                <a:gs pos="83000">
                  <a:schemeClr val="bg1">
                    <a:lumMod val="9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4800000" scaled="0"/>
            </a:gradFill>
            <a:ln>
              <a:noFill/>
            </a:ln>
            <a:effectLst>
              <a:glow rad="228600">
                <a:schemeClr val="bg1">
                  <a:alpha val="40000"/>
                </a:schemeClr>
              </a:glow>
              <a:outerShdw blurRad="50800" dist="50800" dir="5400000" algn="ctr" rotWithShape="0">
                <a:schemeClr val="bg1"/>
              </a:outerShdw>
            </a:effectLst>
          </c:spPr>
          <c:explosion val="4"/>
          <c:dPt>
            <c:idx val="0"/>
            <c:bubble3D val="0"/>
            <c:spPr>
              <a:gradFill>
                <a:gsLst>
                  <a:gs pos="33005">
                    <a:schemeClr val="bg1">
                      <a:lumMod val="50000"/>
                    </a:schemeClr>
                  </a:gs>
                  <a:gs pos="83000">
                    <a:schemeClr val="bg1">
                      <a:lumMod val="9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4800000" scaled="0"/>
              </a:gradFill>
              <a:ln>
                <a:noFill/>
              </a:ln>
              <a:effectLst>
                <a:glow rad="228600">
                  <a:schemeClr val="bg1">
                    <a:alpha val="40000"/>
                  </a:schemeClr>
                </a:glow>
                <a:outerShdw blurRad="50800" dist="50800" dir="5400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EBF-44A4-8F50-37C42B94396A}"/>
              </c:ext>
            </c:extLst>
          </c:dPt>
          <c:dPt>
            <c:idx val="1"/>
            <c:bubble3D val="0"/>
            <c:spPr>
              <a:gradFill>
                <a:gsLst>
                  <a:gs pos="33005">
                    <a:schemeClr val="bg1">
                      <a:lumMod val="50000"/>
                    </a:schemeClr>
                  </a:gs>
                  <a:gs pos="83000">
                    <a:schemeClr val="bg1">
                      <a:lumMod val="9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4800000" scaled="0"/>
              </a:gradFill>
              <a:ln>
                <a:noFill/>
              </a:ln>
              <a:effectLst>
                <a:glow rad="228600">
                  <a:schemeClr val="bg1">
                    <a:alpha val="40000"/>
                  </a:schemeClr>
                </a:glow>
                <a:outerShdw blurRad="50800" dist="50800" dir="5400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EBF-44A4-8F50-37C42B94396A}"/>
              </c:ext>
            </c:extLst>
          </c:dPt>
          <c:dPt>
            <c:idx val="2"/>
            <c:bubble3D val="0"/>
            <c:spPr>
              <a:gradFill>
                <a:gsLst>
                  <a:gs pos="33005">
                    <a:schemeClr val="bg1">
                      <a:lumMod val="50000"/>
                    </a:schemeClr>
                  </a:gs>
                  <a:gs pos="83000">
                    <a:schemeClr val="bg1">
                      <a:lumMod val="9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4800000" scaled="0"/>
              </a:gradFill>
              <a:ln>
                <a:noFill/>
              </a:ln>
              <a:effectLst>
                <a:glow rad="228600">
                  <a:schemeClr val="bg1">
                    <a:alpha val="40000"/>
                  </a:schemeClr>
                </a:glow>
                <a:outerShdw blurRad="50800" dist="50800" dir="5400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EBF-44A4-8F50-37C42B94396A}"/>
              </c:ext>
            </c:extLst>
          </c:dPt>
          <c:dPt>
            <c:idx val="3"/>
            <c:bubble3D val="0"/>
            <c:spPr>
              <a:gradFill>
                <a:gsLst>
                  <a:gs pos="33005">
                    <a:schemeClr val="bg1">
                      <a:lumMod val="50000"/>
                    </a:schemeClr>
                  </a:gs>
                  <a:gs pos="83000">
                    <a:schemeClr val="bg1">
                      <a:lumMod val="9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4800000" scaled="0"/>
              </a:gradFill>
              <a:ln>
                <a:noFill/>
              </a:ln>
              <a:effectLst>
                <a:glow rad="228600">
                  <a:schemeClr val="bg1">
                    <a:alpha val="40000"/>
                  </a:schemeClr>
                </a:glow>
                <a:outerShdw blurRad="50800" dist="50800" dir="5400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EBF-44A4-8F50-37C42B94396A}"/>
              </c:ext>
            </c:extLst>
          </c:dPt>
          <c:dPt>
            <c:idx val="4"/>
            <c:bubble3D val="0"/>
            <c:spPr>
              <a:gradFill>
                <a:gsLst>
                  <a:gs pos="33005">
                    <a:schemeClr val="bg1">
                      <a:lumMod val="50000"/>
                    </a:schemeClr>
                  </a:gs>
                  <a:gs pos="83000">
                    <a:schemeClr val="bg1">
                      <a:lumMod val="9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4800000" scaled="0"/>
              </a:gradFill>
              <a:ln>
                <a:noFill/>
              </a:ln>
              <a:effectLst>
                <a:glow rad="228600">
                  <a:schemeClr val="bg1">
                    <a:alpha val="40000"/>
                  </a:schemeClr>
                </a:glow>
                <a:outerShdw blurRad="50800" dist="50800" dir="5400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EBF-44A4-8F50-37C42B94396A}"/>
              </c:ext>
            </c:extLst>
          </c:dPt>
          <c:dLbls>
            <c:dLbl>
              <c:idx val="0"/>
              <c:layout>
                <c:manualLayout>
                  <c:x val="-0.17616926338495048"/>
                  <c:y val="7.086131116328492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70906534002294"/>
                      <c:h val="0.17470943656772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EBF-44A4-8F50-37C42B94396A}"/>
                </c:ext>
              </c:extLst>
            </c:dLbl>
            <c:dLbl>
              <c:idx val="1"/>
              <c:layout>
                <c:manualLayout>
                  <c:x val="-0.11945482133133144"/>
                  <c:y val="3.79596820353563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BF-44A4-8F50-37C42B94396A}"/>
                </c:ext>
              </c:extLst>
            </c:dLbl>
            <c:dLbl>
              <c:idx val="2"/>
              <c:layout>
                <c:manualLayout>
                  <c:x val="-0.22453684661298765"/>
                  <c:y val="-7.866546311559323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71247535012079"/>
                      <c:h val="0.14526714499851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EBF-44A4-8F50-37C42B94396A}"/>
                </c:ext>
              </c:extLst>
            </c:dLbl>
            <c:dLbl>
              <c:idx val="3"/>
              <c:layout>
                <c:manualLayout>
                  <c:x val="9.3999968278975832E-2"/>
                  <c:y val="-0.1470937678870056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BF-44A4-8F50-37C42B94396A}"/>
                </c:ext>
              </c:extLst>
            </c:dLbl>
            <c:dLbl>
              <c:idx val="4"/>
              <c:layout>
                <c:manualLayout>
                  <c:x val="0.10742853517597238"/>
                  <c:y val="0.1376038473781666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BF-44A4-8F50-37C42B9439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'G06'!$A$4:$A$8</c:f>
              <c:strCache>
                <c:ptCount val="5"/>
                <c:pt idx="0">
                  <c:v>Sociálne dávky (štát, SP)</c:v>
                </c:pt>
                <c:pt idx="1">
                  <c:v>Zvyšovanie miezd v ŠR</c:v>
                </c:pt>
                <c:pt idx="2">
                  <c:v>Nové opatrenia vlády (bežné výdavky ŠR)</c:v>
                </c:pt>
                <c:pt idx="3">
                  <c:v>Kapitálové výdavky ŠR</c:v>
                </c:pt>
                <c:pt idx="4">
                  <c:v>Zdravotná starostlivosť</c:v>
                </c:pt>
              </c:strCache>
            </c:strRef>
          </c:cat>
          <c:val>
            <c:numRef>
              <c:f>'G06'!$B$4:$B$8</c:f>
              <c:numCache>
                <c:formatCode>#,##0</c:formatCode>
                <c:ptCount val="5"/>
                <c:pt idx="0">
                  <c:v>-424.79357700000003</c:v>
                </c:pt>
                <c:pt idx="1">
                  <c:v>-397.85869399999996</c:v>
                </c:pt>
                <c:pt idx="2">
                  <c:v>-390.40199999999999</c:v>
                </c:pt>
                <c:pt idx="3">
                  <c:v>-354.95922899999999</c:v>
                </c:pt>
                <c:pt idx="4">
                  <c:v>-88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BF-44A4-8F50-37C42B943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1"/>
        <c:holeSize val="60"/>
      </c:doughnutChart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7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8.xml"/></Relationships>
</file>

<file path=xl/drawings/_rels/drawing55.xml.rels><?xml version="1.0" encoding="UTF-8" standalone="yes"?>
<Relationships xmlns="http://schemas.openxmlformats.org/package/2006/relationships"><Relationship Id="rId8" Type="http://schemas.openxmlformats.org/officeDocument/2006/relationships/hyperlink" Target="#obsah!A1"/><Relationship Id="rId3" Type="http://schemas.openxmlformats.org/officeDocument/2006/relationships/chart" Target="../charts/chart11.xml"/><Relationship Id="rId7" Type="http://schemas.openxmlformats.org/officeDocument/2006/relationships/image" Target="../media/image3.jp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2.jpeg"/><Relationship Id="rId5" Type="http://schemas.openxmlformats.org/officeDocument/2006/relationships/image" Target="../media/image1.jpeg"/><Relationship Id="rId4" Type="http://schemas.openxmlformats.org/officeDocument/2006/relationships/chart" Target="../charts/chart12.xml"/><Relationship Id="rId9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3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4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5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6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7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8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9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1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2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3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4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5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6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7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8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0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1.xml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4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5.xml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6.xml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7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8.xml"/></Relationships>
</file>

<file path=xl/drawings/_rels/drawing89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0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1.xml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2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DD84A1-FE66-4F40-8EC2-A1BA84191DAE}"/>
            </a:ext>
          </a:extLst>
        </xdr:cNvPr>
        <xdr:cNvSpPr/>
      </xdr:nvSpPr>
      <xdr:spPr>
        <a:xfrm>
          <a:off x="74866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05720C-2101-49DF-8E87-4ED662651FD1}"/>
            </a:ext>
          </a:extLst>
        </xdr:cNvPr>
        <xdr:cNvSpPr/>
      </xdr:nvSpPr>
      <xdr:spPr>
        <a:xfrm>
          <a:off x="56197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01E065-6A52-4D92-989A-382D2A657172}"/>
            </a:ext>
          </a:extLst>
        </xdr:cNvPr>
        <xdr:cNvSpPr/>
      </xdr:nvSpPr>
      <xdr:spPr>
        <a:xfrm>
          <a:off x="61436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790EE-995D-4F38-A718-850AF4980B0D}"/>
            </a:ext>
          </a:extLst>
        </xdr:cNvPr>
        <xdr:cNvSpPr/>
      </xdr:nvSpPr>
      <xdr:spPr>
        <a:xfrm>
          <a:off x="73818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10E09-D5B0-41C2-9EA4-1EABCD52E44A}"/>
            </a:ext>
          </a:extLst>
        </xdr:cNvPr>
        <xdr:cNvSpPr/>
      </xdr:nvSpPr>
      <xdr:spPr>
        <a:xfrm>
          <a:off x="51339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514350</xdr:colOff>
      <xdr:row>3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186A30-98E2-4632-B0B5-6D589E1E7123}"/>
            </a:ext>
          </a:extLst>
        </xdr:cNvPr>
        <xdr:cNvSpPr/>
      </xdr:nvSpPr>
      <xdr:spPr>
        <a:xfrm>
          <a:off x="8458200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0CD6F8-7D26-48C7-B2A9-CA57246142AE}"/>
            </a:ext>
          </a:extLst>
        </xdr:cNvPr>
        <xdr:cNvSpPr/>
      </xdr:nvSpPr>
      <xdr:spPr>
        <a:xfrm>
          <a:off x="90773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EA43A-3152-45EA-B0D0-A79215779803}"/>
            </a:ext>
          </a:extLst>
        </xdr:cNvPr>
        <xdr:cNvSpPr/>
      </xdr:nvSpPr>
      <xdr:spPr>
        <a:xfrm>
          <a:off x="56007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0DF89-68E7-45A8-ACEC-C1094DC2CCC9}"/>
            </a:ext>
          </a:extLst>
        </xdr:cNvPr>
        <xdr:cNvSpPr/>
      </xdr:nvSpPr>
      <xdr:spPr>
        <a:xfrm>
          <a:off x="71056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2</xdr:row>
      <xdr:rowOff>66675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D1AEB8-31E6-43B7-AD21-B32C9FE48FE9}"/>
            </a:ext>
          </a:extLst>
        </xdr:cNvPr>
        <xdr:cNvSpPr/>
      </xdr:nvSpPr>
      <xdr:spPr>
        <a:xfrm>
          <a:off x="7600950" y="1809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2</xdr:row>
      <xdr:rowOff>95250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EF08D-BE33-4A34-9349-6412C69F385C}"/>
            </a:ext>
          </a:extLst>
        </xdr:cNvPr>
        <xdr:cNvSpPr/>
      </xdr:nvSpPr>
      <xdr:spPr>
        <a:xfrm>
          <a:off x="7800975" y="1524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5EF2E6-A885-4313-889F-3BF673887189}"/>
            </a:ext>
          </a:extLst>
        </xdr:cNvPr>
        <xdr:cNvSpPr/>
      </xdr:nvSpPr>
      <xdr:spPr>
        <a:xfrm>
          <a:off x="7467600" y="2190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247650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7B782F-40D7-4A99-837B-622042179BF3}"/>
            </a:ext>
          </a:extLst>
        </xdr:cNvPr>
        <xdr:cNvSpPr/>
      </xdr:nvSpPr>
      <xdr:spPr>
        <a:xfrm>
          <a:off x="6086475" y="1524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247650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BE571-AB81-4FCC-BDAE-A809FCA05384}"/>
            </a:ext>
          </a:extLst>
        </xdr:cNvPr>
        <xdr:cNvSpPr/>
      </xdr:nvSpPr>
      <xdr:spPr>
        <a:xfrm>
          <a:off x="63246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514350</xdr:colOff>
      <xdr:row>2</xdr:row>
      <xdr:rowOff>47625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97068-1A3F-4536-9D07-DDF7F95D5E36}"/>
            </a:ext>
          </a:extLst>
        </xdr:cNvPr>
        <xdr:cNvSpPr/>
      </xdr:nvSpPr>
      <xdr:spPr>
        <a:xfrm>
          <a:off x="5419725" y="2000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05BC6-D74C-4630-A533-1BA1A92CC02D}"/>
            </a:ext>
          </a:extLst>
        </xdr:cNvPr>
        <xdr:cNvSpPr/>
      </xdr:nvSpPr>
      <xdr:spPr>
        <a:xfrm>
          <a:off x="83248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247650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2CFA7F-4FA2-4BDC-A768-1485F4FA86A8}"/>
            </a:ext>
          </a:extLst>
        </xdr:cNvPr>
        <xdr:cNvSpPr/>
      </xdr:nvSpPr>
      <xdr:spPr>
        <a:xfrm>
          <a:off x="70389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70A90-DEEE-4190-B29D-A1F3DF4438E3}"/>
            </a:ext>
          </a:extLst>
        </xdr:cNvPr>
        <xdr:cNvSpPr/>
      </xdr:nvSpPr>
      <xdr:spPr>
        <a:xfrm>
          <a:off x="60388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57013-DF92-4D94-8C06-DC6AE5373980}"/>
            </a:ext>
          </a:extLst>
        </xdr:cNvPr>
        <xdr:cNvSpPr/>
      </xdr:nvSpPr>
      <xdr:spPr>
        <a:xfrm>
          <a:off x="58388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E6DC0F-29C3-41E4-BDE8-35656899BE4D}"/>
            </a:ext>
          </a:extLst>
        </xdr:cNvPr>
        <xdr:cNvSpPr/>
      </xdr:nvSpPr>
      <xdr:spPr>
        <a:xfrm>
          <a:off x="62769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33D695-C189-4923-97F2-18B9FC914068}"/>
            </a:ext>
          </a:extLst>
        </xdr:cNvPr>
        <xdr:cNvSpPr/>
      </xdr:nvSpPr>
      <xdr:spPr>
        <a:xfrm>
          <a:off x="80867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49DD14-D39E-42D7-AF9E-451B8CAFED09}"/>
            </a:ext>
          </a:extLst>
        </xdr:cNvPr>
        <xdr:cNvSpPr/>
      </xdr:nvSpPr>
      <xdr:spPr>
        <a:xfrm>
          <a:off x="55149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09EA67-8C1F-4355-B704-54676FE26E47}"/>
            </a:ext>
          </a:extLst>
        </xdr:cNvPr>
        <xdr:cNvSpPr/>
      </xdr:nvSpPr>
      <xdr:spPr>
        <a:xfrm>
          <a:off x="6962775" y="2000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E7DC96-A69E-4DE5-AA3E-4C76A6216094}"/>
            </a:ext>
          </a:extLst>
        </xdr:cNvPr>
        <xdr:cNvSpPr/>
      </xdr:nvSpPr>
      <xdr:spPr>
        <a:xfrm>
          <a:off x="5391150" y="2095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5071C-AB8B-44D9-8420-E0CF8987A623}"/>
            </a:ext>
          </a:extLst>
        </xdr:cNvPr>
        <xdr:cNvSpPr/>
      </xdr:nvSpPr>
      <xdr:spPr>
        <a:xfrm>
          <a:off x="63912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A27F6D-504B-4560-B59C-C1F19626EFF9}"/>
            </a:ext>
          </a:extLst>
        </xdr:cNvPr>
        <xdr:cNvSpPr/>
      </xdr:nvSpPr>
      <xdr:spPr>
        <a:xfrm>
          <a:off x="67913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DE24EE-5200-4D28-B3E5-89B8D2DFB78D}"/>
            </a:ext>
          </a:extLst>
        </xdr:cNvPr>
        <xdr:cNvSpPr/>
      </xdr:nvSpPr>
      <xdr:spPr>
        <a:xfrm>
          <a:off x="60198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543A1-8A73-40C4-AE40-DF32F90AC1F9}"/>
            </a:ext>
          </a:extLst>
        </xdr:cNvPr>
        <xdr:cNvSpPr/>
      </xdr:nvSpPr>
      <xdr:spPr>
        <a:xfrm>
          <a:off x="63817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078833-8300-4630-B355-19CF6400EEB6}"/>
            </a:ext>
          </a:extLst>
        </xdr:cNvPr>
        <xdr:cNvSpPr/>
      </xdr:nvSpPr>
      <xdr:spPr>
        <a:xfrm>
          <a:off x="61436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3303C-3AFA-48AA-B4E7-C2EE6C31F2D9}"/>
            </a:ext>
          </a:extLst>
        </xdr:cNvPr>
        <xdr:cNvSpPr/>
      </xdr:nvSpPr>
      <xdr:spPr>
        <a:xfrm>
          <a:off x="5867400" y="2000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1737A-9795-482A-BCB3-6DB7807A547F}"/>
            </a:ext>
          </a:extLst>
        </xdr:cNvPr>
        <xdr:cNvSpPr/>
      </xdr:nvSpPr>
      <xdr:spPr>
        <a:xfrm>
          <a:off x="70675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E4239-D05D-435B-8B29-4329E4222590}"/>
            </a:ext>
          </a:extLst>
        </xdr:cNvPr>
        <xdr:cNvSpPr/>
      </xdr:nvSpPr>
      <xdr:spPr>
        <a:xfrm>
          <a:off x="60483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9E93C9-6B12-4461-BF8D-DD7DF47EC0A5}"/>
            </a:ext>
          </a:extLst>
        </xdr:cNvPr>
        <xdr:cNvSpPr/>
      </xdr:nvSpPr>
      <xdr:spPr>
        <a:xfrm>
          <a:off x="110299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0CB21-B77C-48A1-B9DF-5D92566713A2}"/>
            </a:ext>
          </a:extLst>
        </xdr:cNvPr>
        <xdr:cNvSpPr/>
      </xdr:nvSpPr>
      <xdr:spPr>
        <a:xfrm>
          <a:off x="6124575" y="2190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FBEED-9D01-4E3E-A9E4-EC709D0035C6}"/>
            </a:ext>
          </a:extLst>
        </xdr:cNvPr>
        <xdr:cNvSpPr/>
      </xdr:nvSpPr>
      <xdr:spPr>
        <a:xfrm>
          <a:off x="96012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C8ABD1-7E92-4A6D-959A-E62428F79640}"/>
            </a:ext>
          </a:extLst>
        </xdr:cNvPr>
        <xdr:cNvSpPr/>
      </xdr:nvSpPr>
      <xdr:spPr>
        <a:xfrm>
          <a:off x="90392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8</xdr:row>
      <xdr:rowOff>152399</xdr:rowOff>
    </xdr:from>
    <xdr:to>
      <xdr:col>6</xdr:col>
      <xdr:colOff>66675</xdr:colOff>
      <xdr:row>23</xdr:row>
      <xdr:rowOff>85724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AD8ABD3-4F4A-441D-BC11-E0BE31755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1078F1-F5FD-4D32-B2FE-7687F81D936B}"/>
            </a:ext>
          </a:extLst>
        </xdr:cNvPr>
        <xdr:cNvSpPr/>
      </xdr:nvSpPr>
      <xdr:spPr>
        <a:xfrm>
          <a:off x="5829300" y="2095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95250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D2A6E8-A1BB-49E9-8DB7-1C47BA1B8472}"/>
            </a:ext>
          </a:extLst>
        </xdr:cNvPr>
        <xdr:cNvSpPr/>
      </xdr:nvSpPr>
      <xdr:spPr>
        <a:xfrm>
          <a:off x="736282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95250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6DC5D-AC66-476F-B053-0557B2C636AA}"/>
            </a:ext>
          </a:extLst>
        </xdr:cNvPr>
        <xdr:cNvSpPr/>
      </xdr:nvSpPr>
      <xdr:spPr>
        <a:xfrm>
          <a:off x="721995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60C09-327E-41EE-901A-E63CCD1D7910}"/>
            </a:ext>
          </a:extLst>
        </xdr:cNvPr>
        <xdr:cNvSpPr/>
      </xdr:nvSpPr>
      <xdr:spPr>
        <a:xfrm>
          <a:off x="594360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933609-BEDB-4D19-90C3-7A7FC32318C0}"/>
            </a:ext>
          </a:extLst>
        </xdr:cNvPr>
        <xdr:cNvSpPr/>
      </xdr:nvSpPr>
      <xdr:spPr>
        <a:xfrm>
          <a:off x="144589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</xdr:row>
      <xdr:rowOff>47625</xdr:rowOff>
    </xdr:from>
    <xdr:to>
      <xdr:col>13</xdr:col>
      <xdr:colOff>361950</xdr:colOff>
      <xdr:row>16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4F47A1A-EF80-4DF4-A9A6-38147B696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DC51C5-E37A-4BE5-A8DD-9E453A2DAFF0}"/>
            </a:ext>
          </a:extLst>
        </xdr:cNvPr>
        <xdr:cNvSpPr/>
      </xdr:nvSpPr>
      <xdr:spPr>
        <a:xfrm>
          <a:off x="1099185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2</xdr:row>
      <xdr:rowOff>95249</xdr:rowOff>
    </xdr:from>
    <xdr:to>
      <xdr:col>12</xdr:col>
      <xdr:colOff>0</xdr:colOff>
      <xdr:row>17</xdr:row>
      <xdr:rowOff>9525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9D10B90B-04F6-41EC-A780-DE68D7405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514350</xdr:colOff>
      <xdr:row>3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1818BB-6030-46F9-8414-1F63975F0449}"/>
            </a:ext>
          </a:extLst>
        </xdr:cNvPr>
        <xdr:cNvSpPr/>
      </xdr:nvSpPr>
      <xdr:spPr>
        <a:xfrm>
          <a:off x="11277600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28576</xdr:colOff>
      <xdr:row>3</xdr:row>
      <xdr:rowOff>9525</xdr:rowOff>
    </xdr:from>
    <xdr:to>
      <xdr:col>28</xdr:col>
      <xdr:colOff>95249</xdr:colOff>
      <xdr:row>19</xdr:row>
      <xdr:rowOff>19050</xdr:rowOff>
    </xdr:to>
    <xdr:grpSp>
      <xdr:nvGrpSpPr>
        <xdr:cNvPr id="2" name="Skupina 31">
          <a:extLst>
            <a:ext uri="{FF2B5EF4-FFF2-40B4-BE49-F238E27FC236}">
              <a16:creationId xmlns:a16="http://schemas.microsoft.com/office/drawing/2014/main" id="{B2482F3E-F022-4A91-8ADF-C6CC44E7F5E5}"/>
            </a:ext>
          </a:extLst>
        </xdr:cNvPr>
        <xdr:cNvGrpSpPr/>
      </xdr:nvGrpSpPr>
      <xdr:grpSpPr>
        <a:xfrm>
          <a:off x="8858251" y="581025"/>
          <a:ext cx="9820273" cy="3067050"/>
          <a:chOff x="23593426" y="3838575"/>
          <a:chExt cx="9820273" cy="3085921"/>
        </a:xfrm>
      </xdr:grpSpPr>
      <xdr:grpSp>
        <xdr:nvGrpSpPr>
          <xdr:cNvPr id="3" name="Skupina 27">
            <a:extLst>
              <a:ext uri="{FF2B5EF4-FFF2-40B4-BE49-F238E27FC236}">
                <a16:creationId xmlns:a16="http://schemas.microsoft.com/office/drawing/2014/main" id="{C11C0DDD-F2D5-4BD4-A706-DCFE1D345AD2}"/>
              </a:ext>
            </a:extLst>
          </xdr:cNvPr>
          <xdr:cNvGrpSpPr/>
        </xdr:nvGrpSpPr>
        <xdr:grpSpPr>
          <a:xfrm>
            <a:off x="23593426" y="3838575"/>
            <a:ext cx="9820273" cy="3085921"/>
            <a:chOff x="24719131" y="3505141"/>
            <a:chExt cx="10359294" cy="3104853"/>
          </a:xfrm>
        </xdr:grpSpPr>
        <xdr:graphicFrame macro="">
          <xdr:nvGraphicFramePr>
            <xdr:cNvPr id="8" name="Graf 23">
              <a:extLst>
                <a:ext uri="{FF2B5EF4-FFF2-40B4-BE49-F238E27FC236}">
                  <a16:creationId xmlns:a16="http://schemas.microsoft.com/office/drawing/2014/main" id="{AF2F2CE3-A4EA-4FF7-B343-1FE4358A1479}"/>
                </a:ext>
              </a:extLst>
            </xdr:cNvPr>
            <xdr:cNvGraphicFramePr/>
          </xdr:nvGraphicFramePr>
          <xdr:xfrm>
            <a:off x="24719131" y="3505141"/>
            <a:ext cx="4642090" cy="310485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9" name="Graf 25">
              <a:extLst>
                <a:ext uri="{FF2B5EF4-FFF2-40B4-BE49-F238E27FC236}">
                  <a16:creationId xmlns:a16="http://schemas.microsoft.com/office/drawing/2014/main" id="{3CF83EEA-EA06-4E82-84DC-F4E928654FC0}"/>
                </a:ext>
              </a:extLst>
            </xdr:cNvPr>
            <xdr:cNvGraphicFramePr>
              <a:graphicFrameLocks/>
            </xdr:cNvGraphicFramePr>
          </xdr:nvGraphicFramePr>
          <xdr:xfrm>
            <a:off x="29180358" y="3514492"/>
            <a:ext cx="3185158" cy="303800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10" name="Graf 26">
              <a:extLst>
                <a:ext uri="{FF2B5EF4-FFF2-40B4-BE49-F238E27FC236}">
                  <a16:creationId xmlns:a16="http://schemas.microsoft.com/office/drawing/2014/main" id="{275C3B3B-31EC-44A8-98AD-B7F5D04DB36A}"/>
                </a:ext>
              </a:extLst>
            </xdr:cNvPr>
            <xdr:cNvGraphicFramePr>
              <a:graphicFrameLocks/>
            </xdr:cNvGraphicFramePr>
          </xdr:nvGraphicFramePr>
          <xdr:xfrm>
            <a:off x="32154511" y="3514785"/>
            <a:ext cx="2923914" cy="307604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pSp>
        <xdr:nvGrpSpPr>
          <xdr:cNvPr id="4" name="Skupina 30">
            <a:extLst>
              <a:ext uri="{FF2B5EF4-FFF2-40B4-BE49-F238E27FC236}">
                <a16:creationId xmlns:a16="http://schemas.microsoft.com/office/drawing/2014/main" id="{7817E5B6-B0A9-4FC8-B638-78415A6954DE}"/>
              </a:ext>
            </a:extLst>
          </xdr:cNvPr>
          <xdr:cNvGrpSpPr/>
        </xdr:nvGrpSpPr>
        <xdr:grpSpPr>
          <a:xfrm>
            <a:off x="25298400" y="4094560"/>
            <a:ext cx="6076949" cy="323669"/>
            <a:chOff x="25298400" y="4094560"/>
            <a:chExt cx="6076949" cy="323669"/>
          </a:xfrm>
        </xdr:grpSpPr>
        <xdr:sp macro="" textlink="">
          <xdr:nvSpPr>
            <xdr:cNvPr id="5" name="Obdĺžnik 24">
              <a:extLst>
                <a:ext uri="{FF2B5EF4-FFF2-40B4-BE49-F238E27FC236}">
                  <a16:creationId xmlns:a16="http://schemas.microsoft.com/office/drawing/2014/main" id="{0E8B2EF3-3E80-4B19-8721-372D390545FD}"/>
                </a:ext>
              </a:extLst>
            </xdr:cNvPr>
            <xdr:cNvSpPr/>
          </xdr:nvSpPr>
          <xdr:spPr>
            <a:xfrm>
              <a:off x="25298400" y="4142184"/>
              <a:ext cx="571500" cy="270001"/>
            </a:xfrm>
            <a:prstGeom prst="rect">
              <a:avLst/>
            </a:pr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sk-SK" sz="1100" b="1">
                  <a:solidFill>
                    <a:sysClr val="windowText" lastClr="000000"/>
                  </a:solidFill>
                  <a:latin typeface="Constantia" panose="02030602050306030303" pitchFamily="18" charset="0"/>
                </a:rPr>
                <a:t>-0,25</a:t>
              </a:r>
            </a:p>
          </xdr:txBody>
        </xdr:sp>
        <xdr:sp macro="" textlink="">
          <xdr:nvSpPr>
            <xdr:cNvPr id="6" name="Obdĺžnik 28">
              <a:extLst>
                <a:ext uri="{FF2B5EF4-FFF2-40B4-BE49-F238E27FC236}">
                  <a16:creationId xmlns:a16="http://schemas.microsoft.com/office/drawing/2014/main" id="{F32DDAD9-938A-438A-B2BB-7BE1DB8BE118}"/>
                </a:ext>
              </a:extLst>
            </xdr:cNvPr>
            <xdr:cNvSpPr/>
          </xdr:nvSpPr>
          <xdr:spPr>
            <a:xfrm>
              <a:off x="28070174" y="4142004"/>
              <a:ext cx="542925" cy="276225"/>
            </a:xfrm>
            <a:prstGeom prst="rect">
              <a:avLst/>
            </a:pr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sk-SK" sz="1100" b="1">
                  <a:solidFill>
                    <a:sysClr val="windowText" lastClr="000000"/>
                  </a:solidFill>
                  <a:latin typeface="Constantia" panose="02030602050306030303" pitchFamily="18" charset="0"/>
                </a:rPr>
                <a:t>-0,44</a:t>
              </a:r>
            </a:p>
          </xdr:txBody>
        </xdr:sp>
        <xdr:sp macro="" textlink="">
          <xdr:nvSpPr>
            <xdr:cNvPr id="7" name="Obdĺžnik 29">
              <a:extLst>
                <a:ext uri="{FF2B5EF4-FFF2-40B4-BE49-F238E27FC236}">
                  <a16:creationId xmlns:a16="http://schemas.microsoft.com/office/drawing/2014/main" id="{010C4E44-7AE9-40DA-B9AF-7DD66E0299A0}"/>
                </a:ext>
              </a:extLst>
            </xdr:cNvPr>
            <xdr:cNvSpPr/>
          </xdr:nvSpPr>
          <xdr:spPr>
            <a:xfrm>
              <a:off x="30832424" y="4094560"/>
              <a:ext cx="542925" cy="276225"/>
            </a:xfrm>
            <a:prstGeom prst="rect">
              <a:avLst/>
            </a:pr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sk-SK" sz="1100" b="1">
                  <a:solidFill>
                    <a:sysClr val="windowText" lastClr="000000"/>
                  </a:solidFill>
                  <a:latin typeface="Constantia" panose="02030602050306030303" pitchFamily="18" charset="0"/>
                </a:rPr>
                <a:t>-0,55</a:t>
              </a:r>
            </a:p>
          </xdr:txBody>
        </xdr:sp>
      </xdr:grpSp>
    </xdr:grp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514350</xdr:colOff>
      <xdr:row>3</xdr:row>
      <xdr:rowOff>57150</xdr:rowOff>
    </xdr:to>
    <xdr:sp macro="" textlink="">
      <xdr:nvSpPr>
        <xdr:cNvPr id="11" name="Šípka doľava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AAD875-2D16-4357-A6C0-02AA6F049878}"/>
            </a:ext>
          </a:extLst>
        </xdr:cNvPr>
        <xdr:cNvSpPr/>
      </xdr:nvSpPr>
      <xdr:spPr>
        <a:xfrm>
          <a:off x="19192875" y="3810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6315A-6178-4A99-B48D-633B9D61D6D3}"/>
            </a:ext>
          </a:extLst>
        </xdr:cNvPr>
        <xdr:cNvSpPr/>
      </xdr:nvSpPr>
      <xdr:spPr>
        <a:xfrm>
          <a:off x="68865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0.51686</cdr:x>
      <cdr:y>0.66358</cdr:y>
    </cdr:from>
    <cdr:to>
      <cdr:x>0.66234</cdr:x>
      <cdr:y>0.83036</cdr:y>
    </cdr:to>
    <cdr:sp macro="" textlink="">
      <cdr:nvSpPr>
        <cdr:cNvPr id="2" name="Oval 22">
          <a:extLst xmlns:a="http://schemas.openxmlformats.org/drawingml/2006/main">
            <a:ext uri="{FF2B5EF4-FFF2-40B4-BE49-F238E27FC236}">
              <a16:creationId xmlns:a16="http://schemas.microsoft.com/office/drawing/2014/main" id="{684B1F8B-AC21-4866-8D19-7165E328B8FE}"/>
            </a:ext>
          </a:extLst>
        </cdr:cNvPr>
        <cdr:cNvSpPr/>
      </cdr:nvSpPr>
      <cdr:spPr>
        <a:xfrm xmlns:a="http://schemas.openxmlformats.org/drawingml/2006/main">
          <a:off x="2274480" y="2047875"/>
          <a:ext cx="640170" cy="51469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00" b="1">
              <a:solidFill>
                <a:sysClr val="windowText" lastClr="000000"/>
              </a:solidFill>
              <a:latin typeface="Constantia" panose="02030602050306030303" pitchFamily="18" charset="0"/>
            </a:rPr>
            <a:t>0,49</a:t>
          </a:r>
        </a:p>
      </cdr:txBody>
    </cdr:sp>
  </cdr:relSizeAnchor>
  <cdr:relSizeAnchor xmlns:cdr="http://schemas.openxmlformats.org/drawingml/2006/chartDrawing">
    <cdr:from>
      <cdr:x>0.39679</cdr:x>
      <cdr:y>0.73435</cdr:y>
    </cdr:from>
    <cdr:to>
      <cdr:x>0.56017</cdr:x>
      <cdr:y>0.90309</cdr:y>
    </cdr:to>
    <cdr:sp macro="" textlink="">
      <cdr:nvSpPr>
        <cdr:cNvPr id="3" name="Oval 22">
          <a:extLst xmlns:a="http://schemas.openxmlformats.org/drawingml/2006/main">
            <a:ext uri="{FF2B5EF4-FFF2-40B4-BE49-F238E27FC236}">
              <a16:creationId xmlns:a16="http://schemas.microsoft.com/office/drawing/2014/main" id="{57805997-B11A-4BB6-B261-C35F777A7282}"/>
            </a:ext>
          </a:extLst>
        </cdr:cNvPr>
        <cdr:cNvSpPr/>
      </cdr:nvSpPr>
      <cdr:spPr>
        <a:xfrm xmlns:a="http://schemas.openxmlformats.org/drawingml/2006/main">
          <a:off x="1689392" y="2231429"/>
          <a:ext cx="695619" cy="512742"/>
        </a:xfrm>
        <a:prstGeom xmlns:a="http://schemas.openxmlformats.org/drawingml/2006/main" prst="ellipse">
          <a:avLst/>
        </a:prstGeom>
        <a:solidFill xmlns:a="http://schemas.openxmlformats.org/drawingml/2006/main">
          <a:srgbClr val="B2E4F8"/>
        </a:solidFill>
        <a:ln xmlns:a="http://schemas.openxmlformats.org/drawingml/2006/main">
          <a:solidFill>
            <a:srgbClr val="B2E4F8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00" b="1">
              <a:solidFill>
                <a:sysClr val="windowText" lastClr="000000"/>
              </a:solidFill>
              <a:latin typeface="Constantia" panose="02030602050306030303" pitchFamily="18" charset="0"/>
            </a:rPr>
            <a:t>-0,73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0.2213</cdr:x>
      <cdr:y>0.65717</cdr:y>
    </cdr:from>
    <cdr:to>
      <cdr:x>0.44909</cdr:x>
      <cdr:y>0.82942</cdr:y>
    </cdr:to>
    <cdr:sp macro="" textlink="">
      <cdr:nvSpPr>
        <cdr:cNvPr id="3" name="Oval 22">
          <a:extLst xmlns:a="http://schemas.openxmlformats.org/drawingml/2006/main">
            <a:ext uri="{FF2B5EF4-FFF2-40B4-BE49-F238E27FC236}">
              <a16:creationId xmlns:a16="http://schemas.microsoft.com/office/drawing/2014/main" id="{2A3FC0F3-42EC-4078-BFB0-EA07EA6DB466}"/>
            </a:ext>
          </a:extLst>
        </cdr:cNvPr>
        <cdr:cNvSpPr/>
      </cdr:nvSpPr>
      <cdr:spPr>
        <a:xfrm xmlns:a="http://schemas.openxmlformats.org/drawingml/2006/main">
          <a:off x="647722" y="1990955"/>
          <a:ext cx="666729" cy="52184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00" b="1">
              <a:solidFill>
                <a:sysClr val="windowText" lastClr="000000"/>
              </a:solidFill>
              <a:latin typeface="Constantia" panose="02030602050306030303" pitchFamily="18" charset="0"/>
            </a:rPr>
            <a:t>0,20</a:t>
          </a:r>
        </a:p>
      </cdr:txBody>
    </cdr:sp>
  </cdr:relSizeAnchor>
  <cdr:relSizeAnchor xmlns:cdr="http://schemas.openxmlformats.org/drawingml/2006/chartDrawing">
    <cdr:from>
      <cdr:x>0.10088</cdr:x>
      <cdr:y>0.75137</cdr:y>
    </cdr:from>
    <cdr:to>
      <cdr:x>0.33844</cdr:x>
      <cdr:y>0.88971</cdr:y>
    </cdr:to>
    <cdr:sp macro="" textlink="">
      <cdr:nvSpPr>
        <cdr:cNvPr id="2" name="Oval 22">
          <a:extLst xmlns:a="http://schemas.openxmlformats.org/drawingml/2006/main">
            <a:ext uri="{FF2B5EF4-FFF2-40B4-BE49-F238E27FC236}">
              <a16:creationId xmlns:a16="http://schemas.microsoft.com/office/drawing/2014/main" id="{874DE961-1585-41BB-A6FE-649B5B8ED5FB}"/>
            </a:ext>
          </a:extLst>
        </cdr:cNvPr>
        <cdr:cNvSpPr/>
      </cdr:nvSpPr>
      <cdr:spPr>
        <a:xfrm xmlns:a="http://schemas.openxmlformats.org/drawingml/2006/main">
          <a:off x="295281" y="2262203"/>
          <a:ext cx="695324" cy="416510"/>
        </a:xfrm>
        <a:prstGeom xmlns:a="http://schemas.openxmlformats.org/drawingml/2006/main" prst="ellipse">
          <a:avLst/>
        </a:prstGeom>
        <a:solidFill xmlns:a="http://schemas.openxmlformats.org/drawingml/2006/main">
          <a:srgbClr val="B2E4F8"/>
        </a:solidFill>
        <a:ln xmlns:a="http://schemas.openxmlformats.org/drawingml/2006/main">
          <a:solidFill>
            <a:srgbClr val="B2E4F8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00" b="1">
              <a:solidFill>
                <a:sysClr val="windowText" lastClr="000000"/>
              </a:solidFill>
              <a:latin typeface="Constantia" panose="02030602050306030303" pitchFamily="18" charset="0"/>
            </a:rPr>
            <a:t>-0,64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0.22529</cdr:x>
      <cdr:y>0.63916</cdr:y>
    </cdr:from>
    <cdr:to>
      <cdr:x>0.48454</cdr:x>
      <cdr:y>0.7975</cdr:y>
    </cdr:to>
    <cdr:sp macro="" textlink="">
      <cdr:nvSpPr>
        <cdr:cNvPr id="3" name="Oval 22">
          <a:extLst xmlns:a="http://schemas.openxmlformats.org/drawingml/2006/main">
            <a:ext uri="{FF2B5EF4-FFF2-40B4-BE49-F238E27FC236}">
              <a16:creationId xmlns:a16="http://schemas.microsoft.com/office/drawing/2014/main" id="{9CD9A230-DFDA-4364-981D-1639BB23214B}"/>
            </a:ext>
          </a:extLst>
        </cdr:cNvPr>
        <cdr:cNvSpPr/>
      </cdr:nvSpPr>
      <cdr:spPr>
        <a:xfrm xmlns:a="http://schemas.openxmlformats.org/drawingml/2006/main">
          <a:off x="624464" y="1954207"/>
          <a:ext cx="718562" cy="48413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00" b="1">
              <a:solidFill>
                <a:sysClr val="windowText" lastClr="000000"/>
              </a:solidFill>
              <a:latin typeface="Constantia" panose="02030602050306030303" pitchFamily="18" charset="0"/>
            </a:rPr>
            <a:t>-0,09</a:t>
          </a:r>
        </a:p>
      </cdr:txBody>
    </cdr:sp>
  </cdr:relSizeAnchor>
  <cdr:relSizeAnchor xmlns:cdr="http://schemas.openxmlformats.org/drawingml/2006/chartDrawing">
    <cdr:from>
      <cdr:x>0.10898</cdr:x>
      <cdr:y>0.73744</cdr:y>
    </cdr:from>
    <cdr:to>
      <cdr:x>0.37801</cdr:x>
      <cdr:y>0.88785</cdr:y>
    </cdr:to>
    <cdr:sp macro="" textlink="">
      <cdr:nvSpPr>
        <cdr:cNvPr id="2" name="Oval 22">
          <a:extLst xmlns:a="http://schemas.openxmlformats.org/drawingml/2006/main">
            <a:ext uri="{FF2B5EF4-FFF2-40B4-BE49-F238E27FC236}">
              <a16:creationId xmlns:a16="http://schemas.microsoft.com/office/drawing/2014/main" id="{53E1F2C1-D6B8-4241-9337-C395C3B091EB}"/>
            </a:ext>
          </a:extLst>
        </cdr:cNvPr>
        <cdr:cNvSpPr/>
      </cdr:nvSpPr>
      <cdr:spPr>
        <a:xfrm xmlns:a="http://schemas.openxmlformats.org/drawingml/2006/main">
          <a:off x="302067" y="2254696"/>
          <a:ext cx="745683" cy="459868"/>
        </a:xfrm>
        <a:prstGeom xmlns:a="http://schemas.openxmlformats.org/drawingml/2006/main" prst="ellipse">
          <a:avLst/>
        </a:prstGeom>
        <a:solidFill xmlns:a="http://schemas.openxmlformats.org/drawingml/2006/main">
          <a:srgbClr val="B2E4F8"/>
        </a:solidFill>
        <a:ln xmlns:a="http://schemas.openxmlformats.org/drawingml/2006/main">
          <a:solidFill>
            <a:srgbClr val="B2E4F8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00" b="1">
              <a:solidFill>
                <a:sysClr val="windowText" lastClr="000000"/>
              </a:solidFill>
              <a:latin typeface="Constantia" panose="02030602050306030303" pitchFamily="18" charset="0"/>
            </a:rPr>
            <a:t>-0,64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1609725</xdr:colOff>
      <xdr:row>3</xdr:row>
      <xdr:rowOff>9526</xdr:rowOff>
    </xdr:from>
    <xdr:to>
      <xdr:col>15</xdr:col>
      <xdr:colOff>9525</xdr:colOff>
      <xdr:row>16</xdr:row>
      <xdr:rowOff>28576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0175DC2-98B1-450D-AE22-89E72F9EC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514350</xdr:colOff>
      <xdr:row>3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E5B193-017E-4EB3-B299-838AE48EFE52}"/>
            </a:ext>
          </a:extLst>
        </xdr:cNvPr>
        <xdr:cNvSpPr/>
      </xdr:nvSpPr>
      <xdr:spPr>
        <a:xfrm>
          <a:off x="12239625" y="3524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66674</xdr:rowOff>
    </xdr:from>
    <xdr:to>
      <xdr:col>17</xdr:col>
      <xdr:colOff>133350</xdr:colOff>
      <xdr:row>19</xdr:row>
      <xdr:rowOff>85724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F1C582F-E481-44E7-8E25-78944EA5B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514350</xdr:colOff>
      <xdr:row>3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726C2-E847-408B-8AC7-FD517C20F62E}"/>
            </a:ext>
          </a:extLst>
        </xdr:cNvPr>
        <xdr:cNvSpPr/>
      </xdr:nvSpPr>
      <xdr:spPr>
        <a:xfrm>
          <a:off x="12077700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</xdr:row>
      <xdr:rowOff>76200</xdr:rowOff>
    </xdr:from>
    <xdr:to>
      <xdr:col>16</xdr:col>
      <xdr:colOff>511050</xdr:colOff>
      <xdr:row>27</xdr:row>
      <xdr:rowOff>103576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5AD0CBA5-E5C2-4926-A710-9258F227CA16}"/>
            </a:ext>
          </a:extLst>
        </xdr:cNvPr>
        <xdr:cNvGrpSpPr/>
      </xdr:nvGrpSpPr>
      <xdr:grpSpPr>
        <a:xfrm>
          <a:off x="4533900" y="457200"/>
          <a:ext cx="10245600" cy="4789876"/>
          <a:chOff x="10118482" y="10470173"/>
          <a:chExt cx="9896838" cy="4789876"/>
        </a:xfrm>
        <a:noFill/>
        <a:effectLst>
          <a:outerShdw blurRad="50800" dist="50800" dir="5400000" algn="ctr" rotWithShape="0">
            <a:schemeClr val="bg1"/>
          </a:outerShdw>
        </a:effectLst>
      </xdr:grpSpPr>
      <xdr:grpSp>
        <xdr:nvGrpSpPr>
          <xdr:cNvPr id="3" name="Skupina 2">
            <a:extLst>
              <a:ext uri="{FF2B5EF4-FFF2-40B4-BE49-F238E27FC236}">
                <a16:creationId xmlns:a16="http://schemas.microsoft.com/office/drawing/2014/main" id="{C2EE73EE-8052-406C-B2D7-A036E60C590C}"/>
              </a:ext>
            </a:extLst>
          </xdr:cNvPr>
          <xdr:cNvGrpSpPr/>
        </xdr:nvGrpSpPr>
        <xdr:grpSpPr>
          <a:xfrm>
            <a:off x="10155115" y="12573000"/>
            <a:ext cx="9860205" cy="2687049"/>
            <a:chOff x="8668638" y="9380284"/>
            <a:chExt cx="9895794" cy="2687049"/>
          </a:xfrm>
          <a:grpFill/>
        </xdr:grpSpPr>
        <xdr:graphicFrame macro="">
          <xdr:nvGraphicFramePr>
            <xdr:cNvPr id="8" name="Chart 12">
              <a:extLst>
                <a:ext uri="{FF2B5EF4-FFF2-40B4-BE49-F238E27FC236}">
                  <a16:creationId xmlns:a16="http://schemas.microsoft.com/office/drawing/2014/main" id="{3F8B23B4-2100-49FD-8D65-82026919D350}"/>
                </a:ext>
              </a:extLst>
            </xdr:cNvPr>
            <xdr:cNvGraphicFramePr>
              <a:graphicFrameLocks/>
            </xdr:cNvGraphicFramePr>
          </xdr:nvGraphicFramePr>
          <xdr:xfrm>
            <a:off x="8668638" y="9380284"/>
            <a:ext cx="4584245" cy="267652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9" name="Chart 15">
              <a:extLst>
                <a:ext uri="{FF2B5EF4-FFF2-40B4-BE49-F238E27FC236}">
                  <a16:creationId xmlns:a16="http://schemas.microsoft.com/office/drawing/2014/main" id="{7AEA0304-594D-4C71-B7FD-12B1C150354B}"/>
                </a:ext>
              </a:extLst>
            </xdr:cNvPr>
            <xdr:cNvGraphicFramePr>
              <a:graphicFrameLocks/>
            </xdr:cNvGraphicFramePr>
          </xdr:nvGraphicFramePr>
          <xdr:xfrm>
            <a:off x="14021006" y="9411871"/>
            <a:ext cx="4543426" cy="265546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10" name="Chart 10">
              <a:extLst>
                <a:ext uri="{FF2B5EF4-FFF2-40B4-BE49-F238E27FC236}">
                  <a16:creationId xmlns:a16="http://schemas.microsoft.com/office/drawing/2014/main" id="{BF1261F1-6410-45CA-B56B-BCC6830CE8B0}"/>
                </a:ext>
              </a:extLst>
            </xdr:cNvPr>
            <xdr:cNvGraphicFramePr>
              <a:graphicFrameLocks/>
            </xdr:cNvGraphicFramePr>
          </xdr:nvGraphicFramePr>
          <xdr:xfrm>
            <a:off x="11290734" y="9388929"/>
            <a:ext cx="4534374" cy="265546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BC01D4C3-EDB9-4BFA-9173-BF699A72B28C}"/>
              </a:ext>
            </a:extLst>
          </xdr:cNvPr>
          <xdr:cNvGraphicFramePr>
            <a:graphicFrameLocks/>
          </xdr:cNvGraphicFramePr>
        </xdr:nvGraphicFramePr>
        <xdr:xfrm>
          <a:off x="10118482" y="10470173"/>
          <a:ext cx="9655876" cy="2007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5" name="Obrázok 4">
            <a:extLst>
              <a:ext uri="{FF2B5EF4-FFF2-40B4-BE49-F238E27FC236}">
                <a16:creationId xmlns:a16="http://schemas.microsoft.com/office/drawing/2014/main" id="{558B9647-1B99-40C8-A5EF-5608B3FA3D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12427875" y="11832248"/>
            <a:ext cx="266822" cy="866775"/>
          </a:xfrm>
          <a:prstGeom prst="rect">
            <a:avLst/>
          </a:prstGeom>
          <a:grpFill/>
          <a:ln>
            <a:solidFill>
              <a:schemeClr val="bg1"/>
            </a:solidFill>
          </a:ln>
          <a:effectLst>
            <a:outerShdw blurRad="50800" dist="50800" dir="5400000" algn="ctr" rotWithShape="0">
              <a:srgbClr val="000000">
                <a:alpha val="0"/>
              </a:srgbClr>
            </a:outerShdw>
          </a:effectLst>
        </xdr:spPr>
      </xdr:pic>
      <xdr:pic>
        <xdr:nvPicPr>
          <xdr:cNvPr id="6" name="Obrázok 5">
            <a:extLst>
              <a:ext uri="{FF2B5EF4-FFF2-40B4-BE49-F238E27FC236}">
                <a16:creationId xmlns:a16="http://schemas.microsoft.com/office/drawing/2014/main" id="{095780FF-633F-43E3-B021-C33E58749F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395615">
            <a:off x="14805640" y="12064446"/>
            <a:ext cx="172669" cy="835869"/>
          </a:xfrm>
          <a:prstGeom prst="rect">
            <a:avLst/>
          </a:prstGeom>
          <a:grpFill/>
          <a:ln>
            <a:solidFill>
              <a:schemeClr val="bg1"/>
            </a:solidFill>
          </a:ln>
        </xdr:spPr>
      </xdr:pic>
      <xdr:pic>
        <xdr:nvPicPr>
          <xdr:cNvPr id="7" name="Obrázok 6">
            <a:extLst>
              <a:ext uri="{FF2B5EF4-FFF2-40B4-BE49-F238E27FC236}">
                <a16:creationId xmlns:a16="http://schemas.microsoft.com/office/drawing/2014/main" id="{108B4B10-2CE1-41E7-83F3-887C2084D5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710252">
            <a:off x="17021684" y="11721618"/>
            <a:ext cx="203936" cy="1003112"/>
          </a:xfrm>
          <a:prstGeom prst="rect">
            <a:avLst/>
          </a:prstGeom>
          <a:noFill/>
          <a:ln>
            <a:solidFill>
              <a:schemeClr val="bg1"/>
            </a:solidFill>
          </a:ln>
          <a:effectLst>
            <a:outerShdw blurRad="50800" dist="50800" dir="5400000" algn="ctr" rotWithShape="0">
              <a:schemeClr val="bg1"/>
            </a:outerShdw>
          </a:effectLst>
        </xdr:spPr>
      </xdr:pic>
    </xdr:grpSp>
    <xdr:clientData/>
  </xdr:twoCellAnchor>
  <xdr:oneCellAnchor>
    <xdr:from>
      <xdr:col>18</xdr:col>
      <xdr:colOff>0</xdr:colOff>
      <xdr:row>1</xdr:row>
      <xdr:rowOff>0</xdr:rowOff>
    </xdr:from>
    <xdr:ext cx="536494" cy="268247"/>
    <xdr:pic>
      <xdr:nvPicPr>
        <xdr:cNvPr id="11" name="Obrázok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3A64CA9-AE45-4EDB-BE4B-8E9776DE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487650" y="190500"/>
          <a:ext cx="536494" cy="268247"/>
        </a:xfrm>
        <a:prstGeom prst="rect">
          <a:avLst/>
        </a:prstGeom>
      </xdr:spPr>
    </xdr:pic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0.26122</cdr:x>
      <cdr:y>0.50682</cdr:y>
    </cdr:from>
    <cdr:to>
      <cdr:x>0.38336</cdr:x>
      <cdr:y>0.63335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235238" y="1356508"/>
          <a:ext cx="577566" cy="33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-398</a:t>
          </a:r>
        </a:p>
      </cdr:txBody>
    </cdr:sp>
  </cdr:relSizeAnchor>
  <cdr:relSizeAnchor xmlns:cdr="http://schemas.openxmlformats.org/drawingml/2006/chartDrawing">
    <cdr:from>
      <cdr:x>0.41974</cdr:x>
      <cdr:y>0.13602</cdr:y>
    </cdr:from>
    <cdr:to>
      <cdr:x>0.54187</cdr:x>
      <cdr:y>0.26255</cdr:y>
    </cdr:to>
    <cdr:sp macro="" textlink="">
      <cdr:nvSpPr>
        <cdr:cNvPr id="3" name="BlokTextu 1"/>
        <cdr:cNvSpPr txBox="1"/>
      </cdr:nvSpPr>
      <cdr:spPr>
        <a:xfrm xmlns:a="http://schemas.openxmlformats.org/drawingml/2006/main">
          <a:off x="1984855" y="364055"/>
          <a:ext cx="577520" cy="338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-390</a:t>
          </a:r>
        </a:p>
      </cdr:txBody>
    </cdr:sp>
  </cdr:relSizeAnchor>
  <cdr:relSizeAnchor xmlns:cdr="http://schemas.openxmlformats.org/drawingml/2006/chartDrawing">
    <cdr:from>
      <cdr:x>0.62288</cdr:x>
      <cdr:y>0.36299</cdr:y>
    </cdr:from>
    <cdr:to>
      <cdr:x>0.74501</cdr:x>
      <cdr:y>0.48952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2945435" y="971539"/>
          <a:ext cx="577519" cy="33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-355</a:t>
          </a:r>
        </a:p>
      </cdr:txBody>
    </cdr:sp>
  </cdr:relSizeAnchor>
  <cdr:relSizeAnchor xmlns:cdr="http://schemas.openxmlformats.org/drawingml/2006/chartDrawing">
    <cdr:from>
      <cdr:x>0.611</cdr:x>
      <cdr:y>0.64532</cdr:y>
    </cdr:from>
    <cdr:to>
      <cdr:x>0.73314</cdr:x>
      <cdr:y>0.77185</cdr:y>
    </cdr:to>
    <cdr:sp macro="" textlink="">
      <cdr:nvSpPr>
        <cdr:cNvPr id="5" name="BlokTextu 1"/>
        <cdr:cNvSpPr txBox="1"/>
      </cdr:nvSpPr>
      <cdr:spPr>
        <a:xfrm xmlns:a="http://schemas.openxmlformats.org/drawingml/2006/main">
          <a:off x="2889258" y="1727217"/>
          <a:ext cx="577566" cy="33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-88</a:t>
          </a:r>
        </a:p>
      </cdr:txBody>
    </cdr:sp>
  </cdr:relSizeAnchor>
  <cdr:relSizeAnchor xmlns:cdr="http://schemas.openxmlformats.org/drawingml/2006/chartDrawing">
    <cdr:from>
      <cdr:x>0.46194</cdr:x>
      <cdr:y>0.7841</cdr:y>
    </cdr:from>
    <cdr:to>
      <cdr:x>0.58408</cdr:x>
      <cdr:y>0.91063</cdr:y>
    </cdr:to>
    <cdr:sp macro="" textlink="">
      <cdr:nvSpPr>
        <cdr:cNvPr id="6" name="BlokTextu 1">
          <a:extLst xmlns:a="http://schemas.openxmlformats.org/drawingml/2006/main">
            <a:ext uri="{FF2B5EF4-FFF2-40B4-BE49-F238E27FC236}">
              <a16:creationId xmlns:a16="http://schemas.microsoft.com/office/drawing/2014/main" id="{B686BDE5-5BA0-48C4-9969-E4CF7C76AD10}"/>
            </a:ext>
          </a:extLst>
        </cdr:cNvPr>
        <cdr:cNvSpPr txBox="1"/>
      </cdr:nvSpPr>
      <cdr:spPr>
        <a:xfrm xmlns:a="http://schemas.openxmlformats.org/drawingml/2006/main">
          <a:off x="2184400" y="2098675"/>
          <a:ext cx="577566" cy="338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-425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0.49165</cdr:x>
      <cdr:y>0.17098</cdr:y>
    </cdr:from>
    <cdr:to>
      <cdr:x>0.61488</cdr:x>
      <cdr:y>0.29851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2304190" y="454040"/>
          <a:ext cx="577532" cy="33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+1 055</a:t>
          </a:r>
        </a:p>
      </cdr:txBody>
    </cdr:sp>
  </cdr:relSizeAnchor>
  <cdr:relSizeAnchor xmlns:cdr="http://schemas.openxmlformats.org/drawingml/2006/chartDrawing">
    <cdr:from>
      <cdr:x>0.50736</cdr:x>
      <cdr:y>0.72895</cdr:y>
    </cdr:from>
    <cdr:to>
      <cdr:x>0.63058</cdr:x>
      <cdr:y>0.85649</cdr:y>
    </cdr:to>
    <cdr:sp macro="" textlink="">
      <cdr:nvSpPr>
        <cdr:cNvPr id="3" name="BlokTextu 1"/>
        <cdr:cNvSpPr txBox="1"/>
      </cdr:nvSpPr>
      <cdr:spPr>
        <a:xfrm xmlns:a="http://schemas.openxmlformats.org/drawingml/2006/main">
          <a:off x="2377805" y="1935697"/>
          <a:ext cx="577485" cy="33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+331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0.38006</cdr:x>
      <cdr:y>0.18213</cdr:y>
    </cdr:from>
    <cdr:to>
      <cdr:x>0.50354</cdr:x>
      <cdr:y>0.30966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777629" y="483643"/>
          <a:ext cx="577550" cy="33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-32</a:t>
          </a:r>
        </a:p>
      </cdr:txBody>
    </cdr:sp>
  </cdr:relSizeAnchor>
  <cdr:relSizeAnchor xmlns:cdr="http://schemas.openxmlformats.org/drawingml/2006/chartDrawing">
    <cdr:from>
      <cdr:x>0.2736</cdr:x>
      <cdr:y>0.43522</cdr:y>
    </cdr:from>
    <cdr:to>
      <cdr:x>0.39708</cdr:x>
      <cdr:y>0.56275</cdr:y>
    </cdr:to>
    <cdr:sp macro="" textlink="">
      <cdr:nvSpPr>
        <cdr:cNvPr id="3" name="BlokTextu 1"/>
        <cdr:cNvSpPr txBox="1"/>
      </cdr:nvSpPr>
      <cdr:spPr>
        <a:xfrm xmlns:a="http://schemas.openxmlformats.org/drawingml/2006/main">
          <a:off x="1279688" y="1155697"/>
          <a:ext cx="577551" cy="33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-42</a:t>
          </a:r>
        </a:p>
      </cdr:txBody>
    </cdr:sp>
  </cdr:relSizeAnchor>
  <cdr:relSizeAnchor xmlns:cdr="http://schemas.openxmlformats.org/drawingml/2006/chartDrawing">
    <cdr:from>
      <cdr:x>0.62362</cdr:x>
      <cdr:y>0.62533</cdr:y>
    </cdr:from>
    <cdr:to>
      <cdr:x>0.74709</cdr:x>
      <cdr:y>0.75286</cdr:y>
    </cdr:to>
    <cdr:sp macro="" textlink="">
      <cdr:nvSpPr>
        <cdr:cNvPr id="5" name="BlokTextu 1"/>
        <cdr:cNvSpPr txBox="1"/>
      </cdr:nvSpPr>
      <cdr:spPr>
        <a:xfrm xmlns:a="http://schemas.openxmlformats.org/drawingml/2006/main">
          <a:off x="2916824" y="1660532"/>
          <a:ext cx="577504" cy="33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 b="1">
              <a:solidFill>
                <a:schemeClr val="tx1">
                  <a:lumMod val="85000"/>
                  <a:lumOff val="15000"/>
                </a:schemeClr>
              </a:solidFill>
              <a:latin typeface="Constantia" panose="02030602050306030303" pitchFamily="18" charset="0"/>
            </a:rPr>
            <a:t>-151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0.16381</cdr:x>
      <cdr:y>0.72819</cdr:y>
    </cdr:from>
    <cdr:to>
      <cdr:x>0.2819</cdr:x>
      <cdr:y>0.78523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51" y="2066925"/>
          <a:ext cx="5905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0.29053</cdr:x>
      <cdr:y>0.6832</cdr:y>
    </cdr:from>
    <cdr:to>
      <cdr:x>0.4391</cdr:x>
      <cdr:y>0.80433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04177" y="1371575"/>
          <a:ext cx="1485128" cy="243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-1 656</a:t>
          </a:r>
        </a:p>
      </cdr:txBody>
    </cdr:sp>
  </cdr:relSizeAnchor>
  <cdr:relSizeAnchor xmlns:cdr="http://schemas.openxmlformats.org/drawingml/2006/chartDrawing">
    <cdr:from>
      <cdr:x>0.46191</cdr:x>
      <cdr:y>0.66127</cdr:y>
    </cdr:from>
    <cdr:to>
      <cdr:x>0.61048</cdr:x>
      <cdr:y>0.73845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617321" y="1327558"/>
          <a:ext cx="1485128" cy="154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</a:rPr>
            <a:t>-</a:t>
          </a:r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224</a:t>
          </a:r>
        </a:p>
      </cdr:txBody>
    </cdr:sp>
  </cdr:relSizeAnchor>
  <cdr:relSizeAnchor xmlns:cdr="http://schemas.openxmlformats.org/drawingml/2006/chartDrawing">
    <cdr:from>
      <cdr:x>0.77997</cdr:x>
      <cdr:y>0.65357</cdr:y>
    </cdr:from>
    <cdr:to>
      <cdr:x>0.92855</cdr:x>
      <cdr:y>0.73075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796671" y="1312101"/>
          <a:ext cx="1485228" cy="154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166</a:t>
          </a:r>
        </a:p>
      </cdr:txBody>
    </cdr:sp>
  </cdr:relSizeAnchor>
  <cdr:relSizeAnchor xmlns:cdr="http://schemas.openxmlformats.org/drawingml/2006/chartDrawing">
    <cdr:from>
      <cdr:x>0.81834</cdr:x>
      <cdr:y>0.64667</cdr:y>
    </cdr:from>
    <cdr:to>
      <cdr:x>0.96691</cdr:x>
      <cdr:y>0.72385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180247" y="1298247"/>
          <a:ext cx="1485127" cy="154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248</a:t>
          </a:r>
        </a:p>
      </cdr:txBody>
    </cdr:sp>
  </cdr:relSizeAnchor>
  <cdr:relSizeAnchor xmlns:cdr="http://schemas.openxmlformats.org/drawingml/2006/chartDrawing">
    <cdr:from>
      <cdr:x>0.61082</cdr:x>
      <cdr:y>0.66094</cdr:y>
    </cdr:from>
    <cdr:to>
      <cdr:x>0.75939</cdr:x>
      <cdr:y>0.79589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105858" y="1326879"/>
          <a:ext cx="1485128" cy="27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1 386</a:t>
          </a:r>
        </a:p>
      </cdr:txBody>
    </cdr:sp>
  </cdr:relSizeAnchor>
  <cdr:relSizeAnchor xmlns:cdr="http://schemas.openxmlformats.org/drawingml/2006/chartDrawing">
    <cdr:from>
      <cdr:x>0.30053</cdr:x>
      <cdr:y>0.1537</cdr:y>
    </cdr:from>
    <cdr:to>
      <cdr:x>0.35733</cdr:x>
      <cdr:y>0.2562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004154" y="308557"/>
          <a:ext cx="567721" cy="205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</a:rPr>
            <a:t>-</a:t>
          </a:r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1,7</a:t>
          </a:r>
          <a:r>
            <a:rPr lang="sk-SK" sz="900" b="1">
              <a:solidFill>
                <a:srgbClr val="13B5EA"/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0.78282</cdr:x>
      <cdr:y>0.16012</cdr:y>
    </cdr:from>
    <cdr:to>
      <cdr:x>0.93139</cdr:x>
      <cdr:y>0.27357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25157" y="321444"/>
          <a:ext cx="1485127" cy="227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0,2</a:t>
          </a:r>
        </a:p>
      </cdr:txBody>
    </cdr:sp>
  </cdr:relSizeAnchor>
  <cdr:relSizeAnchor xmlns:cdr="http://schemas.openxmlformats.org/drawingml/2006/chartDrawing">
    <cdr:from>
      <cdr:x>0.46308</cdr:x>
      <cdr:y>0.16319</cdr:y>
    </cdr:from>
    <cdr:to>
      <cdr:x>0.50788</cdr:x>
      <cdr:y>0.2562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628975" y="327616"/>
          <a:ext cx="447850" cy="186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</a:rPr>
            <a:t>-</a:t>
          </a:r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0,2</a:t>
          </a:r>
        </a:p>
      </cdr:txBody>
    </cdr:sp>
  </cdr:relSizeAnchor>
  <cdr:relSizeAnchor xmlns:cdr="http://schemas.openxmlformats.org/drawingml/2006/chartDrawing">
    <cdr:from>
      <cdr:x>0.6237</cdr:x>
      <cdr:y>0.16369</cdr:y>
    </cdr:from>
    <cdr:to>
      <cdr:x>0.77227</cdr:x>
      <cdr:y>0.24087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234628" y="328622"/>
          <a:ext cx="1485128" cy="154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1,4</a:t>
          </a:r>
        </a:p>
      </cdr:txBody>
    </cdr:sp>
  </cdr:relSizeAnchor>
  <cdr:relSizeAnchor xmlns:cdr="http://schemas.openxmlformats.org/drawingml/2006/chartDrawing">
    <cdr:from>
      <cdr:x>0.74942</cdr:x>
      <cdr:y>0.1559</cdr:y>
    </cdr:from>
    <cdr:to>
      <cdr:x>0.78898</cdr:x>
      <cdr:y>0.23723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491317" y="312981"/>
          <a:ext cx="395447" cy="163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0,1</a:t>
          </a:r>
        </a:p>
      </cdr:txBody>
    </cdr:sp>
  </cdr:relSizeAnchor>
  <cdr:relSizeAnchor xmlns:cdr="http://schemas.openxmlformats.org/drawingml/2006/chartDrawing">
    <cdr:from>
      <cdr:x>0.0265</cdr:x>
      <cdr:y>0.17562</cdr:y>
    </cdr:from>
    <cdr:to>
      <cdr:x>0.17507</cdr:x>
      <cdr:y>0.27356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05897" y="314482"/>
          <a:ext cx="1154341" cy="175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v % HDP:</a:t>
          </a:r>
        </a:p>
      </cdr:txBody>
    </cdr:sp>
  </cdr:relSizeAnchor>
  <cdr:relSizeAnchor xmlns:cdr="http://schemas.openxmlformats.org/drawingml/2006/chartDrawing">
    <cdr:from>
      <cdr:x>0.02693</cdr:x>
      <cdr:y>0.68277</cdr:y>
    </cdr:from>
    <cdr:to>
      <cdr:x>0.1755</cdr:x>
      <cdr:y>0.80547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09237" y="1222636"/>
          <a:ext cx="1154342" cy="219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v mil. eur:</a:t>
          </a:r>
        </a:p>
      </cdr:txBody>
    </cdr:sp>
  </cdr:relSizeAnchor>
  <cdr:relSizeAnchor xmlns:cdr="http://schemas.openxmlformats.org/drawingml/2006/chartDrawing">
    <cdr:from>
      <cdr:x>0.31119</cdr:x>
      <cdr:y>0.02469</cdr:y>
    </cdr:from>
    <cdr:to>
      <cdr:x>0.51533</cdr:x>
      <cdr:y>0.13993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417863" y="44212"/>
          <a:ext cx="1586103" cy="206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>
              <a:solidFill>
                <a:schemeClr val="bg2">
                  <a:lumMod val="25000"/>
                </a:schemeClr>
              </a:solidFill>
              <a:latin typeface="Constantia" panose="02030602050306030303" pitchFamily="18" charset="0"/>
            </a:rPr>
            <a:t>Financované</a:t>
          </a:r>
          <a:r>
            <a:rPr lang="sk-SK" sz="1100" b="1">
              <a:solidFill>
                <a:schemeClr val="bg2">
                  <a:lumMod val="25000"/>
                </a:schemeClr>
              </a:solidFill>
            </a:rPr>
            <a:t> </a:t>
          </a:r>
          <a:r>
            <a:rPr lang="sk-SK" sz="1100" b="1">
              <a:solidFill>
                <a:schemeClr val="bg2">
                  <a:lumMod val="25000"/>
                </a:schemeClr>
              </a:solidFill>
              <a:latin typeface="Constantia" panose="02030602050306030303" pitchFamily="18" charset="0"/>
            </a:rPr>
            <a:t>oblasti</a:t>
          </a:r>
        </a:p>
      </cdr:txBody>
    </cdr:sp>
  </cdr:relSizeAnchor>
  <cdr:relSizeAnchor xmlns:cdr="http://schemas.openxmlformats.org/drawingml/2006/chartDrawing">
    <cdr:from>
      <cdr:x>0.5078</cdr:x>
      <cdr:y>0.02449</cdr:y>
    </cdr:from>
    <cdr:to>
      <cdr:x>0.71194</cdr:x>
      <cdr:y>0.13973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877734" y="44323"/>
          <a:ext cx="1960886" cy="208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chemeClr val="bg2">
                  <a:lumMod val="25000"/>
                </a:schemeClr>
              </a:solidFill>
              <a:latin typeface="Constantia" panose="02030602050306030303" pitchFamily="18" charset="0"/>
            </a:rPr>
            <a:t>Zdroje financovania</a:t>
          </a:r>
        </a:p>
      </cdr:txBody>
    </cdr:sp>
  </cdr:relSizeAnchor>
  <cdr:relSizeAnchor xmlns:cdr="http://schemas.openxmlformats.org/drawingml/2006/chartDrawing">
    <cdr:from>
      <cdr:x>0.75784</cdr:x>
      <cdr:y>0.66107</cdr:y>
    </cdr:from>
    <cdr:to>
      <cdr:x>0.80803</cdr:x>
      <cdr:y>0.75912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7575528" y="1327158"/>
          <a:ext cx="501706" cy="196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81</a:t>
          </a:r>
        </a:p>
      </cdr:txBody>
    </cdr:sp>
  </cdr:relSizeAnchor>
  <cdr:relSizeAnchor xmlns:cdr="http://schemas.openxmlformats.org/drawingml/2006/chartDrawing">
    <cdr:from>
      <cdr:x>0.81979</cdr:x>
      <cdr:y>0.15816</cdr:y>
    </cdr:from>
    <cdr:to>
      <cdr:x>0.85568</cdr:x>
      <cdr:y>0.24672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194699" y="317516"/>
          <a:ext cx="358761" cy="177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b="1">
              <a:solidFill>
                <a:srgbClr val="13B5EA"/>
              </a:solidFill>
              <a:latin typeface="Constantia" panose="02030602050306030303" pitchFamily="18" charset="0"/>
            </a:rPr>
            <a:t>0,3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38100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4D4F5-3283-40D9-9AF6-810941FB3F2B}"/>
            </a:ext>
          </a:extLst>
        </xdr:cNvPr>
        <xdr:cNvSpPr/>
      </xdr:nvSpPr>
      <xdr:spPr>
        <a:xfrm>
          <a:off x="6924675" y="1809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19050</xdr:rowOff>
    </xdr:from>
    <xdr:to>
      <xdr:col>14</xdr:col>
      <xdr:colOff>352425</xdr:colOff>
      <xdr:row>15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1305288-3BF9-4C5A-BA5C-AE9CE9F05888}"/>
            </a:ext>
          </a:extLst>
        </xdr:cNvPr>
        <xdr:cNvGrpSpPr/>
      </xdr:nvGrpSpPr>
      <xdr:grpSpPr>
        <a:xfrm>
          <a:off x="4762499" y="209550"/>
          <a:ext cx="7048501" cy="2981325"/>
          <a:chOff x="4095749" y="209550"/>
          <a:chExt cx="7048501" cy="2981325"/>
        </a:xfrm>
      </xdr:grpSpPr>
      <xdr:graphicFrame macro="">
        <xdr:nvGraphicFramePr>
          <xdr:cNvPr id="3" name="Graf 1">
            <a:extLst>
              <a:ext uri="{FF2B5EF4-FFF2-40B4-BE49-F238E27FC236}">
                <a16:creationId xmlns:a16="http://schemas.microsoft.com/office/drawing/2014/main" id="{89B055F4-2593-4892-8A31-96934D248490}"/>
              </a:ext>
            </a:extLst>
          </xdr:cNvPr>
          <xdr:cNvGraphicFramePr>
            <a:graphicFrameLocks/>
          </xdr:cNvGraphicFramePr>
        </xdr:nvGraphicFramePr>
        <xdr:xfrm>
          <a:off x="4095749" y="209550"/>
          <a:ext cx="7048501" cy="2981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F145927A-2F83-4179-9676-FD59D638D612}"/>
              </a:ext>
            </a:extLst>
          </xdr:cNvPr>
          <xdr:cNvSpPr txBox="1"/>
        </xdr:nvSpPr>
        <xdr:spPr>
          <a:xfrm>
            <a:off x="6934199" y="790575"/>
            <a:ext cx="1847851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celková zmena: + 355 mil. eur</a:t>
            </a:r>
          </a:p>
        </xdr:txBody>
      </xdr:sp>
    </xdr:grp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514350</xdr:colOff>
      <xdr:row>3</xdr:row>
      <xdr:rowOff>57150</xdr:rowOff>
    </xdr:to>
    <xdr:sp macro="" textlink="">
      <xdr:nvSpPr>
        <xdr:cNvPr id="5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DFBC5-CCE9-4FF6-8B9C-5855392A1FFF}"/>
            </a:ext>
          </a:extLst>
        </xdr:cNvPr>
        <xdr:cNvSpPr/>
      </xdr:nvSpPr>
      <xdr:spPr>
        <a:xfrm>
          <a:off x="12677775" y="3810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3</xdr:row>
      <xdr:rowOff>47625</xdr:rowOff>
    </xdr:from>
    <xdr:to>
      <xdr:col>15</xdr:col>
      <xdr:colOff>47625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3DDF93-D56F-458C-A62A-D81C83BF3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247650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C0C463-0EC6-4D9B-B340-98978A7102D3}"/>
            </a:ext>
          </a:extLst>
        </xdr:cNvPr>
        <xdr:cNvSpPr/>
      </xdr:nvSpPr>
      <xdr:spPr>
        <a:xfrm>
          <a:off x="107346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1285874</xdr:colOff>
      <xdr:row>11</xdr:row>
      <xdr:rowOff>38100</xdr:rowOff>
    </xdr:from>
    <xdr:to>
      <xdr:col>8</xdr:col>
      <xdr:colOff>104774</xdr:colOff>
      <xdr:row>31</xdr:row>
      <xdr:rowOff>77700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E33D4B-0824-4868-80AA-4E864AAFB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514350</xdr:colOff>
      <xdr:row>2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AAB30D-E12B-4A41-80FF-6EE0B7671FE2}"/>
            </a:ext>
          </a:extLst>
        </xdr:cNvPr>
        <xdr:cNvSpPr/>
      </xdr:nvSpPr>
      <xdr:spPr>
        <a:xfrm>
          <a:off x="71913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201083</xdr:colOff>
      <xdr:row>8</xdr:row>
      <xdr:rowOff>49744</xdr:rowOff>
    </xdr:from>
    <xdr:to>
      <xdr:col>9</xdr:col>
      <xdr:colOff>306917</xdr:colOff>
      <xdr:row>24</xdr:row>
      <xdr:rowOff>87842</xdr:rowOff>
    </xdr:to>
    <xdr:graphicFrame macro="">
      <xdr:nvGraphicFramePr>
        <xdr:cNvPr id="2" name="Graf 3">
          <a:extLst>
            <a:ext uri="{FF2B5EF4-FFF2-40B4-BE49-F238E27FC236}">
              <a16:creationId xmlns:a16="http://schemas.microsoft.com/office/drawing/2014/main" id="{8D798401-2D3B-4E01-9460-5D4F36080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9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6EEFD1-0988-41AB-9787-46148A8A2D12}"/>
            </a:ext>
          </a:extLst>
        </xdr:cNvPr>
        <xdr:cNvSpPr/>
      </xdr:nvSpPr>
      <xdr:spPr>
        <a:xfrm>
          <a:off x="6963833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13457</xdr:colOff>
      <xdr:row>7</xdr:row>
      <xdr:rowOff>130175</xdr:rowOff>
    </xdr:from>
    <xdr:to>
      <xdr:col>13</xdr:col>
      <xdr:colOff>285749</xdr:colOff>
      <xdr:row>25</xdr:row>
      <xdr:rowOff>148167</xdr:rowOff>
    </xdr:to>
    <xdr:graphicFrame macro="">
      <xdr:nvGraphicFramePr>
        <xdr:cNvPr id="2" name="Graf 3">
          <a:extLst>
            <a:ext uri="{FF2B5EF4-FFF2-40B4-BE49-F238E27FC236}">
              <a16:creationId xmlns:a16="http://schemas.microsoft.com/office/drawing/2014/main" id="{3296541A-E3C0-4F90-8D3F-856C7EC93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BB6721-BF01-4C1A-82B3-608C8E5AA745}"/>
            </a:ext>
          </a:extLst>
        </xdr:cNvPr>
        <xdr:cNvSpPr/>
      </xdr:nvSpPr>
      <xdr:spPr>
        <a:xfrm>
          <a:off x="100330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10</xdr:row>
      <xdr:rowOff>19050</xdr:rowOff>
    </xdr:from>
    <xdr:to>
      <xdr:col>9</xdr:col>
      <xdr:colOff>342900</xdr:colOff>
      <xdr:row>32</xdr:row>
      <xdr:rowOff>15787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D62825-AD82-4F24-9121-FDDE42EF5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F26A8B-3427-4A16-AEAF-9B8F53F0D7E6}"/>
            </a:ext>
          </a:extLst>
        </xdr:cNvPr>
        <xdr:cNvSpPr/>
      </xdr:nvSpPr>
      <xdr:spPr>
        <a:xfrm>
          <a:off x="54006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485774</xdr:colOff>
      <xdr:row>9</xdr:row>
      <xdr:rowOff>28575</xdr:rowOff>
    </xdr:from>
    <xdr:to>
      <xdr:col>8</xdr:col>
      <xdr:colOff>47624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6F3965-5A47-417F-8F42-31FE4ADA8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4</xdr:col>
      <xdr:colOff>514350</xdr:colOff>
      <xdr:row>1</xdr:row>
      <xdr:rowOff>247650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7939EF-BB80-429E-86F0-12A9297B1ECA}"/>
            </a:ext>
          </a:extLst>
        </xdr:cNvPr>
        <xdr:cNvSpPr/>
      </xdr:nvSpPr>
      <xdr:spPr>
        <a:xfrm>
          <a:off x="416242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0.67652</cdr:x>
      <cdr:y>0.582</cdr:y>
    </cdr:from>
    <cdr:to>
      <cdr:x>0.67652</cdr:x>
      <cdr:y>0.67902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FC1A70BB-97CD-4DD7-B296-BD6A7208B9A5}"/>
            </a:ext>
          </a:extLst>
        </cdr:cNvPr>
        <cdr:cNvCxnSpPr/>
      </cdr:nvCxnSpPr>
      <cdr:spPr>
        <a:xfrm xmlns:a="http://schemas.openxmlformats.org/drawingml/2006/main">
          <a:off x="3363715" y="1895894"/>
          <a:ext cx="0" cy="316047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433389</xdr:colOff>
      <xdr:row>9</xdr:row>
      <xdr:rowOff>91279</xdr:rowOff>
    </xdr:from>
    <xdr:to>
      <xdr:col>8</xdr:col>
      <xdr:colOff>257175</xdr:colOff>
      <xdr:row>27</xdr:row>
      <xdr:rowOff>28574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E180E75-5294-4F42-9A57-2AE1F0017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514350</xdr:colOff>
      <xdr:row>2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7BCA0B-CB1A-4694-8110-0F63406FC54E}"/>
            </a:ext>
          </a:extLst>
        </xdr:cNvPr>
        <xdr:cNvSpPr/>
      </xdr:nvSpPr>
      <xdr:spPr>
        <a:xfrm>
          <a:off x="81438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0.76764</cdr:x>
      <cdr:y>0.64376</cdr:y>
    </cdr:from>
    <cdr:to>
      <cdr:x>0.91518</cdr:x>
      <cdr:y>0.75716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AEC45D-06F8-4E48-B873-2D3969D38B42}"/>
            </a:ext>
          </a:extLst>
        </cdr:cNvPr>
        <cdr:cNvSpPr txBox="1"/>
      </cdr:nvSpPr>
      <cdr:spPr>
        <a:xfrm xmlns:a="http://schemas.openxmlformats.org/drawingml/2006/main">
          <a:off x="4274342" y="2230437"/>
          <a:ext cx="821531" cy="392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200">
              <a:latin typeface="Constantia" panose="02030602050306030303" pitchFamily="18" charset="0"/>
            </a:rPr>
            <a:t>t+1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7AE27-0093-49C4-86A2-C56220F1F6EE}"/>
            </a:ext>
          </a:extLst>
        </xdr:cNvPr>
        <xdr:cNvSpPr/>
      </xdr:nvSpPr>
      <xdr:spPr>
        <a:xfrm>
          <a:off x="58578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</xdr:row>
      <xdr:rowOff>142875</xdr:rowOff>
    </xdr:from>
    <xdr:to>
      <xdr:col>9</xdr:col>
      <xdr:colOff>200025</xdr:colOff>
      <xdr:row>25</xdr:row>
      <xdr:rowOff>165375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DA1761-4DC8-47AD-B6D5-71BA11E46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247650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1841AF-6330-492F-8E03-4A7897407848}"/>
            </a:ext>
          </a:extLst>
        </xdr:cNvPr>
        <xdr:cNvSpPr/>
      </xdr:nvSpPr>
      <xdr:spPr>
        <a:xfrm>
          <a:off x="78581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447675</xdr:colOff>
      <xdr:row>1</xdr:row>
      <xdr:rowOff>171450</xdr:rowOff>
    </xdr:from>
    <xdr:to>
      <xdr:col>6</xdr:col>
      <xdr:colOff>6715125</xdr:colOff>
      <xdr:row>20</xdr:row>
      <xdr:rowOff>161925</xdr:rowOff>
    </xdr:to>
    <xdr:graphicFrame macro="">
      <xdr:nvGraphicFramePr>
        <xdr:cNvPr id="2" name="Graf 3">
          <a:extLst>
            <a:ext uri="{FF2B5EF4-FFF2-40B4-BE49-F238E27FC236}">
              <a16:creationId xmlns:a16="http://schemas.microsoft.com/office/drawing/2014/main" id="{1939BF3E-178B-4849-BA48-ED8CCE0DB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1</xdr:row>
      <xdr:rowOff>295275</xdr:rowOff>
    </xdr:from>
    <xdr:to>
      <xdr:col>10</xdr:col>
      <xdr:colOff>190500</xdr:colOff>
      <xdr:row>1</xdr:row>
      <xdr:rowOff>542925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E19E98-A12E-4094-AE08-EC484681D850}"/>
            </a:ext>
          </a:extLst>
        </xdr:cNvPr>
        <xdr:cNvSpPr/>
      </xdr:nvSpPr>
      <xdr:spPr>
        <a:xfrm>
          <a:off x="14563725" y="4857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0.55623</cdr:x>
      <cdr:y>0.10304</cdr:y>
    </cdr:from>
    <cdr:to>
      <cdr:x>0.77052</cdr:x>
      <cdr:y>0.22482</cdr:y>
    </cdr:to>
    <cdr:sp macro="" textlink="">
      <cdr:nvSpPr>
        <cdr:cNvPr id="2" name="Bublina: čiara bez orámovania 1">
          <a:extLst xmlns:a="http://schemas.openxmlformats.org/drawingml/2006/main">
            <a:ext uri="{FF2B5EF4-FFF2-40B4-BE49-F238E27FC236}">
              <a16:creationId xmlns:a16="http://schemas.microsoft.com/office/drawing/2014/main" id="{8EA5A774-4AFA-453C-961C-746F63A86B8E}"/>
            </a:ext>
          </a:extLst>
        </cdr:cNvPr>
        <cdr:cNvSpPr/>
      </cdr:nvSpPr>
      <cdr:spPr>
        <a:xfrm xmlns:a="http://schemas.openxmlformats.org/drawingml/2006/main">
          <a:off x="3486150" y="419100"/>
          <a:ext cx="1343025" cy="495300"/>
        </a:xfrm>
        <a:prstGeom xmlns:a="http://schemas.openxmlformats.org/drawingml/2006/main" prst="callout1">
          <a:avLst>
            <a:gd name="adj1" fmla="val 93771"/>
            <a:gd name="adj2" fmla="val 22874"/>
            <a:gd name="adj3" fmla="val 234156"/>
            <a:gd name="adj4" fmla="val -2164"/>
          </a:avLst>
        </a:prstGeom>
        <a:noFill xmlns:a="http://schemas.openxmlformats.org/drawingml/2006/main"/>
        <a:ln xmlns:a="http://schemas.openxmlformats.org/drawingml/2006/main">
          <a:solidFill>
            <a:srgbClr val="00B0F0"/>
          </a:solidFill>
          <a:tailEnd type="stealth" w="lg" len="me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sk-SK" b="1">
              <a:solidFill>
                <a:srgbClr val="00B0F0"/>
              </a:solidFill>
              <a:latin typeface="Constantia" panose="02030602050306030303" pitchFamily="18" charset="0"/>
            </a:rPr>
            <a:t>nadhodnotenie prognózy</a:t>
          </a:r>
          <a:endParaRPr lang="en-US" b="1">
            <a:solidFill>
              <a:srgbClr val="00B0F0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142875</xdr:rowOff>
    </xdr:from>
    <xdr:to>
      <xdr:col>5</xdr:col>
      <xdr:colOff>44400</xdr:colOff>
      <xdr:row>24</xdr:row>
      <xdr:rowOff>108225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A1C61E6-5862-47A4-828A-61132FD05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5</xdr:col>
      <xdr:colOff>514350</xdr:colOff>
      <xdr:row>2</xdr:row>
      <xdr:rowOff>76200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9B975F-1C44-445E-8F9F-54EE8EA3FCAA}"/>
            </a:ext>
          </a:extLst>
        </xdr:cNvPr>
        <xdr:cNvSpPr/>
      </xdr:nvSpPr>
      <xdr:spPr>
        <a:xfrm>
          <a:off x="5476875" y="1714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104775</xdr:rowOff>
    </xdr:from>
    <xdr:to>
      <xdr:col>14</xdr:col>
      <xdr:colOff>323850</xdr:colOff>
      <xdr:row>15</xdr:row>
      <xdr:rowOff>180975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EF0C471E-85F6-40C1-9620-8B4DB4436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D6B67A-27F9-406C-9514-8EAFF805301F}"/>
            </a:ext>
          </a:extLst>
        </xdr:cNvPr>
        <xdr:cNvSpPr/>
      </xdr:nvSpPr>
      <xdr:spPr>
        <a:xfrm>
          <a:off x="106203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171450</xdr:rowOff>
    </xdr:from>
    <xdr:to>
      <xdr:col>12</xdr:col>
      <xdr:colOff>0</xdr:colOff>
      <xdr:row>16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2120932-E43D-442E-9B5E-7BFC722E0F79}"/>
            </a:ext>
          </a:extLst>
        </xdr:cNvPr>
        <xdr:cNvGrpSpPr/>
      </xdr:nvGrpSpPr>
      <xdr:grpSpPr>
        <a:xfrm>
          <a:off x="4781550" y="361950"/>
          <a:ext cx="4067175" cy="2800350"/>
          <a:chOff x="4638675" y="152400"/>
          <a:chExt cx="4067175" cy="2757487"/>
        </a:xfrm>
      </xdr:grpSpPr>
      <xdr:graphicFrame macro="">
        <xdr:nvGraphicFramePr>
          <xdr:cNvPr id="3" name="Graf 1">
            <a:extLst>
              <a:ext uri="{FF2B5EF4-FFF2-40B4-BE49-F238E27FC236}">
                <a16:creationId xmlns:a16="http://schemas.microsoft.com/office/drawing/2014/main" id="{38C51F9C-F855-418F-9DBF-2F8DB97E32D8}"/>
              </a:ext>
            </a:extLst>
          </xdr:cNvPr>
          <xdr:cNvGraphicFramePr>
            <a:graphicFrameLocks/>
          </xdr:cNvGraphicFramePr>
        </xdr:nvGraphicFramePr>
        <xdr:xfrm>
          <a:off x="4638675" y="152400"/>
          <a:ext cx="4067175" cy="27574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BlokTextu 2">
            <a:extLst>
              <a:ext uri="{FF2B5EF4-FFF2-40B4-BE49-F238E27FC236}">
                <a16:creationId xmlns:a16="http://schemas.microsoft.com/office/drawing/2014/main" id="{58AAA4C2-2698-4DE5-8853-7B309D2B0FDC}"/>
              </a:ext>
            </a:extLst>
          </xdr:cNvPr>
          <xdr:cNvSpPr txBox="1"/>
        </xdr:nvSpPr>
        <xdr:spPr>
          <a:xfrm>
            <a:off x="6067425" y="762000"/>
            <a:ext cx="1333500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zlepšenie salda voči NPC o 0,16 % HDP</a:t>
            </a:r>
          </a:p>
        </xdr:txBody>
      </xdr:sp>
    </xdr:grp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514350</xdr:colOff>
      <xdr:row>3</xdr:row>
      <xdr:rowOff>57150</xdr:rowOff>
    </xdr:to>
    <xdr:sp macro="" textlink="">
      <xdr:nvSpPr>
        <xdr:cNvPr id="5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065F18-D21C-4E62-A3F7-E6A1F387F7B1}"/>
            </a:ext>
          </a:extLst>
        </xdr:cNvPr>
        <xdr:cNvSpPr/>
      </xdr:nvSpPr>
      <xdr:spPr>
        <a:xfrm>
          <a:off x="9458325" y="3810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</xdr:row>
      <xdr:rowOff>85725</xdr:rowOff>
    </xdr:from>
    <xdr:to>
      <xdr:col>15</xdr:col>
      <xdr:colOff>247650</xdr:colOff>
      <xdr:row>20</xdr:row>
      <xdr:rowOff>76200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D585A81D-F2CB-4610-B23C-E300D887C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514350</xdr:colOff>
      <xdr:row>3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01A669-700F-49E9-9107-3DC2B2BB6D45}"/>
            </a:ext>
          </a:extLst>
        </xdr:cNvPr>
        <xdr:cNvSpPr/>
      </xdr:nvSpPr>
      <xdr:spPr>
        <a:xfrm>
          <a:off x="11763375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95250</xdr:rowOff>
    </xdr:from>
    <xdr:to>
      <xdr:col>15</xdr:col>
      <xdr:colOff>28575</xdr:colOff>
      <xdr:row>17</xdr:row>
      <xdr:rowOff>28575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78FAC558-7F62-44DD-914E-E2428B59D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16</xdr:col>
      <xdr:colOff>514350</xdr:colOff>
      <xdr:row>2</xdr:row>
      <xdr:rowOff>85725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8FC36-93AA-4F0E-8F75-567ABA72E2D7}"/>
            </a:ext>
          </a:extLst>
        </xdr:cNvPr>
        <xdr:cNvSpPr/>
      </xdr:nvSpPr>
      <xdr:spPr>
        <a:xfrm>
          <a:off x="117633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14</xdr:col>
      <xdr:colOff>315600</xdr:colOff>
      <xdr:row>10</xdr:row>
      <xdr:rowOff>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8D6E99-168A-43DF-AF6A-548BCD99A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514350</xdr:colOff>
      <xdr:row>3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66E898-D718-4D61-A768-EAA90D19E527}"/>
            </a:ext>
          </a:extLst>
        </xdr:cNvPr>
        <xdr:cNvSpPr/>
      </xdr:nvSpPr>
      <xdr:spPr>
        <a:xfrm>
          <a:off x="13268325" y="3810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14</xdr:col>
      <xdr:colOff>315600</xdr:colOff>
      <xdr:row>10</xdr:row>
      <xdr:rowOff>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94CFF4-BE76-4EBC-B32A-E0123B52B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514350</xdr:colOff>
      <xdr:row>3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38E0E0-702E-4377-8333-50ADA7C0D594}"/>
            </a:ext>
          </a:extLst>
        </xdr:cNvPr>
        <xdr:cNvSpPr/>
      </xdr:nvSpPr>
      <xdr:spPr>
        <a:xfrm>
          <a:off x="13268325" y="3810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6ED380-560A-4B0C-A865-3BF30AEED55B}"/>
            </a:ext>
          </a:extLst>
        </xdr:cNvPr>
        <xdr:cNvSpPr/>
      </xdr:nvSpPr>
      <xdr:spPr>
        <a:xfrm>
          <a:off x="5419725" y="2000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1</xdr:row>
      <xdr:rowOff>85725</xdr:rowOff>
    </xdr:from>
    <xdr:to>
      <xdr:col>35</xdr:col>
      <xdr:colOff>209550</xdr:colOff>
      <xdr:row>15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5E20C81-B142-4DFA-A498-10BB062F8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0</xdr:colOff>
      <xdr:row>1</xdr:row>
      <xdr:rowOff>0</xdr:rowOff>
    </xdr:from>
    <xdr:to>
      <xdr:col>36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F07662-DBE2-42B6-BB3C-62369DA37DF2}"/>
            </a:ext>
          </a:extLst>
        </xdr:cNvPr>
        <xdr:cNvSpPr/>
      </xdr:nvSpPr>
      <xdr:spPr>
        <a:xfrm>
          <a:off x="156972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109537</xdr:rowOff>
    </xdr:from>
    <xdr:to>
      <xdr:col>20</xdr:col>
      <xdr:colOff>381000</xdr:colOff>
      <xdr:row>14</xdr:row>
      <xdr:rowOff>109537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00D631A-3A3B-43B4-AE1B-AA13049C4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428EE6-79AF-47D9-8229-39324A4C5F96}"/>
            </a:ext>
          </a:extLst>
        </xdr:cNvPr>
        <xdr:cNvSpPr/>
      </xdr:nvSpPr>
      <xdr:spPr>
        <a:xfrm>
          <a:off x="144018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104774</xdr:colOff>
      <xdr:row>1</xdr:row>
      <xdr:rowOff>152401</xdr:rowOff>
    </xdr:from>
    <xdr:to>
      <xdr:col>21</xdr:col>
      <xdr:colOff>247649</xdr:colOff>
      <xdr:row>17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3EFC5C3-4760-45A9-81BA-7C6114CF9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1</xdr:row>
      <xdr:rowOff>95250</xdr:rowOff>
    </xdr:from>
    <xdr:to>
      <xdr:col>14</xdr:col>
      <xdr:colOff>190500</xdr:colOff>
      <xdr:row>16</xdr:row>
      <xdr:rowOff>85724</xdr:rowOff>
    </xdr:to>
    <xdr:graphicFrame macro="">
      <xdr:nvGraphicFramePr>
        <xdr:cNvPr id="5" name="Graf 11">
          <a:extLst>
            <a:ext uri="{FF2B5EF4-FFF2-40B4-BE49-F238E27FC236}">
              <a16:creationId xmlns:a16="http://schemas.microsoft.com/office/drawing/2014/main" id="{E7AABCC3-7CD1-4F03-96C6-12459EE7F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514350</xdr:colOff>
      <xdr:row>3</xdr:row>
      <xdr:rowOff>85725</xdr:rowOff>
    </xdr:to>
    <xdr:sp macro="" textlink="">
      <xdr:nvSpPr>
        <xdr:cNvPr id="4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5D7DE9-1970-4661-9775-9B421A2BB343}"/>
            </a:ext>
          </a:extLst>
        </xdr:cNvPr>
        <xdr:cNvSpPr/>
      </xdr:nvSpPr>
      <xdr:spPr>
        <a:xfrm>
          <a:off x="14277975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10</xdr:row>
      <xdr:rowOff>19050</xdr:rowOff>
    </xdr:from>
    <xdr:to>
      <xdr:col>17</xdr:col>
      <xdr:colOff>190499</xdr:colOff>
      <xdr:row>28</xdr:row>
      <xdr:rowOff>66674</xdr:rowOff>
    </xdr:to>
    <xdr:grpSp>
      <xdr:nvGrpSpPr>
        <xdr:cNvPr id="2" name="Skupina 3">
          <a:extLst>
            <a:ext uri="{FF2B5EF4-FFF2-40B4-BE49-F238E27FC236}">
              <a16:creationId xmlns:a16="http://schemas.microsoft.com/office/drawing/2014/main" id="{4BEACCEE-493C-4875-97BC-A1E58F400AC7}"/>
            </a:ext>
          </a:extLst>
        </xdr:cNvPr>
        <xdr:cNvGrpSpPr/>
      </xdr:nvGrpSpPr>
      <xdr:grpSpPr>
        <a:xfrm>
          <a:off x="4610099" y="1638300"/>
          <a:ext cx="7439025" cy="2962274"/>
          <a:chOff x="4286249" y="1562100"/>
          <a:chExt cx="7439025" cy="2962274"/>
        </a:xfrm>
      </xdr:grpSpPr>
      <xdr:graphicFrame macro="">
        <xdr:nvGraphicFramePr>
          <xdr:cNvPr id="3" name="Graf 1">
            <a:extLst>
              <a:ext uri="{FF2B5EF4-FFF2-40B4-BE49-F238E27FC236}">
                <a16:creationId xmlns:a16="http://schemas.microsoft.com/office/drawing/2014/main" id="{90818641-7003-4F4B-A133-8451257114F2}"/>
              </a:ext>
            </a:extLst>
          </xdr:cNvPr>
          <xdr:cNvGraphicFramePr/>
        </xdr:nvGraphicFramePr>
        <xdr:xfrm>
          <a:off x="4286249" y="1562100"/>
          <a:ext cx="7439025" cy="2952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Obdĺžnik 2">
            <a:extLst>
              <a:ext uri="{FF2B5EF4-FFF2-40B4-BE49-F238E27FC236}">
                <a16:creationId xmlns:a16="http://schemas.microsoft.com/office/drawing/2014/main" id="{3D1D626E-C664-4562-AEC4-27A9154085F7}"/>
              </a:ext>
            </a:extLst>
          </xdr:cNvPr>
          <xdr:cNvSpPr/>
        </xdr:nvSpPr>
        <xdr:spPr>
          <a:xfrm>
            <a:off x="10467975" y="1562100"/>
            <a:ext cx="1047750" cy="2962274"/>
          </a:xfrm>
          <a:prstGeom prst="rect">
            <a:avLst/>
          </a:prstGeom>
          <a:solidFill>
            <a:schemeClr val="accent1">
              <a:lumMod val="40000"/>
              <a:lumOff val="60000"/>
              <a:alpha val="58000"/>
            </a:schemeClr>
          </a:solidFill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514350</xdr:colOff>
      <xdr:row>2</xdr:row>
      <xdr:rowOff>85725</xdr:rowOff>
    </xdr:to>
    <xdr:sp macro="" textlink="">
      <xdr:nvSpPr>
        <xdr:cNvPr id="5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2CD99-FCB8-4198-81D3-CBD3A494C5AF}"/>
            </a:ext>
          </a:extLst>
        </xdr:cNvPr>
        <xdr:cNvSpPr/>
      </xdr:nvSpPr>
      <xdr:spPr>
        <a:xfrm>
          <a:off x="1673542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142875</xdr:rowOff>
    </xdr:from>
    <xdr:to>
      <xdr:col>15</xdr:col>
      <xdr:colOff>276225</xdr:colOff>
      <xdr:row>17</xdr:row>
      <xdr:rowOff>142875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C73D474B-BCF4-49F0-A60E-889EBE49E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514350</xdr:colOff>
      <xdr:row>3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E8AFFC-DA77-4330-963E-F20C4B8F8760}"/>
            </a:ext>
          </a:extLst>
        </xdr:cNvPr>
        <xdr:cNvSpPr/>
      </xdr:nvSpPr>
      <xdr:spPr>
        <a:xfrm>
          <a:off x="13335000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0.61782</cdr:x>
      <cdr:y>0.04873</cdr:y>
    </cdr:from>
    <cdr:to>
      <cdr:x>0.99757</cdr:x>
      <cdr:y>0.11326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2A2C675-6778-48A6-84AE-89A62E123D60}"/>
            </a:ext>
          </a:extLst>
        </cdr:cNvPr>
        <cdr:cNvSpPr txBox="1"/>
      </cdr:nvSpPr>
      <cdr:spPr>
        <a:xfrm xmlns:a="http://schemas.openxmlformats.org/drawingml/2006/main">
          <a:off x="2424522" y="139704"/>
          <a:ext cx="1490253" cy="185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0.05199</cdr:y>
    </cdr:from>
    <cdr:to>
      <cdr:x>0.33301</cdr:x>
      <cdr:y>0.12607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F70F853-8F4A-44FA-915D-7623576FDF6B}"/>
            </a:ext>
          </a:extLst>
        </cdr:cNvPr>
        <cdr:cNvSpPr txBox="1"/>
      </cdr:nvSpPr>
      <cdr:spPr>
        <a:xfrm xmlns:a="http://schemas.openxmlformats.org/drawingml/2006/main">
          <a:off x="0" y="149062"/>
          <a:ext cx="1306831" cy="212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0.62864</cdr:x>
      <cdr:y>0.9206</cdr:y>
    </cdr:from>
    <cdr:to>
      <cdr:x>1</cdr:x>
      <cdr:y>0.98963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BFB5FC5-5F00-48B2-BDFE-0CF2E4598433}"/>
            </a:ext>
          </a:extLst>
        </cdr:cNvPr>
        <cdr:cNvSpPr txBox="1"/>
      </cdr:nvSpPr>
      <cdr:spPr>
        <a:xfrm xmlns:a="http://schemas.openxmlformats.org/drawingml/2006/main">
          <a:off x="2466972" y="2639374"/>
          <a:ext cx="1457328" cy="19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0.02674</cdr:x>
      <cdr:y>0.9227</cdr:y>
    </cdr:from>
    <cdr:to>
      <cdr:x>0.33833</cdr:x>
      <cdr:y>0.99677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D636C7F-554E-434D-BEF0-D3E13F58C83F}"/>
            </a:ext>
          </a:extLst>
        </cdr:cNvPr>
        <cdr:cNvSpPr txBox="1"/>
      </cdr:nvSpPr>
      <cdr:spPr>
        <a:xfrm xmlns:a="http://schemas.openxmlformats.org/drawingml/2006/main">
          <a:off x="104172" y="2724516"/>
          <a:ext cx="1213869" cy="21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0.18069</cdr:x>
      <cdr:y>0</cdr:y>
    </cdr:from>
    <cdr:to>
      <cdr:x>0.4152</cdr:x>
      <cdr:y>0.0742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B494CD97-A85E-463C-ABB1-A92A468C93CF}"/>
            </a:ext>
          </a:extLst>
        </cdr:cNvPr>
        <cdr:cNvSpPr txBox="1"/>
      </cdr:nvSpPr>
      <cdr:spPr>
        <a:xfrm xmlns:a="http://schemas.openxmlformats.org/drawingml/2006/main">
          <a:off x="703922" y="0"/>
          <a:ext cx="913586" cy="200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b="1" i="0">
              <a:latin typeface="Constantia" pitchFamily="18" charset="0"/>
            </a:rPr>
            <a:t>Fiškálny impulz</a:t>
          </a:r>
        </a:p>
      </cdr:txBody>
    </cdr:sp>
  </cdr:relSizeAnchor>
  <cdr:relSizeAnchor xmlns:cdr="http://schemas.openxmlformats.org/drawingml/2006/chartDrawing">
    <cdr:from>
      <cdr:x>0.01059</cdr:x>
      <cdr:y>0.44459</cdr:y>
    </cdr:from>
    <cdr:to>
      <cdr:x>0.29102</cdr:x>
      <cdr:y>0.50442</cdr:y>
    </cdr:to>
    <cdr:sp macro="" textlink="">
      <cdr:nvSpPr>
        <cdr:cNvPr id="12" name="TextBox 7">
          <a:extLst xmlns:a="http://schemas.openxmlformats.org/drawingml/2006/main">
            <a:ext uri="{FF2B5EF4-FFF2-40B4-BE49-F238E27FC236}">
              <a16:creationId xmlns:a16="http://schemas.microsoft.com/office/drawing/2014/main" id="{9B9D0E28-2DC3-4158-811E-84E31AE9F414}"/>
            </a:ext>
          </a:extLst>
        </cdr:cNvPr>
        <cdr:cNvSpPr txBox="1"/>
      </cdr:nvSpPr>
      <cdr:spPr>
        <a:xfrm xmlns:a="http://schemas.openxmlformats.org/drawingml/2006/main">
          <a:off x="41563" y="1274639"/>
          <a:ext cx="1100492" cy="171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b="1">
              <a:latin typeface="Constantia" pitchFamily="18" charset="0"/>
            </a:rPr>
            <a:t>Produkčná medzera</a:t>
          </a:r>
        </a:p>
      </cdr:txBody>
    </cdr:sp>
  </cdr:relSizeAnchor>
</c:userShapes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</xdr:row>
      <xdr:rowOff>114300</xdr:rowOff>
    </xdr:from>
    <xdr:to>
      <xdr:col>17</xdr:col>
      <xdr:colOff>542924</xdr:colOff>
      <xdr:row>17</xdr:row>
      <xdr:rowOff>47625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2B12AA9C-3B01-4D15-A473-BBF8DC43C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</xdr:row>
      <xdr:rowOff>0</xdr:rowOff>
    </xdr:from>
    <xdr:to>
      <xdr:col>20</xdr:col>
      <xdr:colOff>514350</xdr:colOff>
      <xdr:row>2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C6950A-56F5-40FB-A072-AC7188734A34}"/>
            </a:ext>
          </a:extLst>
        </xdr:cNvPr>
        <xdr:cNvSpPr/>
      </xdr:nvSpPr>
      <xdr:spPr>
        <a:xfrm>
          <a:off x="1428750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8</xdr:row>
      <xdr:rowOff>114299</xdr:rowOff>
    </xdr:from>
    <xdr:to>
      <xdr:col>8</xdr:col>
      <xdr:colOff>771525</xdr:colOff>
      <xdr:row>23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CAB2AD-22A8-4130-9F63-4E9B4EB48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21B479-6CD8-4BDD-ABC6-DC76520A7050}"/>
            </a:ext>
          </a:extLst>
        </xdr:cNvPr>
        <xdr:cNvSpPr/>
      </xdr:nvSpPr>
      <xdr:spPr>
        <a:xfrm>
          <a:off x="66389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8</xdr:row>
      <xdr:rowOff>114299</xdr:rowOff>
    </xdr:from>
    <xdr:to>
      <xdr:col>8</xdr:col>
      <xdr:colOff>771525</xdr:colOff>
      <xdr:row>23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33AE2F-05D6-4813-A6DE-BB211E0B0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19AC9C-9F7C-46FB-94BC-80239F47B305}"/>
            </a:ext>
          </a:extLst>
        </xdr:cNvPr>
        <xdr:cNvSpPr/>
      </xdr:nvSpPr>
      <xdr:spPr>
        <a:xfrm>
          <a:off x="66389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590548</xdr:colOff>
      <xdr:row>8</xdr:row>
      <xdr:rowOff>114299</xdr:rowOff>
    </xdr:from>
    <xdr:to>
      <xdr:col>8</xdr:col>
      <xdr:colOff>28574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4C1EE2-3CE2-44FE-9630-21285C7DB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9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9C2BAA-F3A4-474E-9B91-12BCF297F952}"/>
            </a:ext>
          </a:extLst>
        </xdr:cNvPr>
        <xdr:cNvSpPr/>
      </xdr:nvSpPr>
      <xdr:spPr>
        <a:xfrm>
          <a:off x="60293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573DC9-0DD0-4FA5-8E4C-D203F13EF2FA}"/>
            </a:ext>
          </a:extLst>
        </xdr:cNvPr>
        <xdr:cNvSpPr/>
      </xdr:nvSpPr>
      <xdr:spPr>
        <a:xfrm>
          <a:off x="56197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590548</xdr:colOff>
      <xdr:row>8</xdr:row>
      <xdr:rowOff>114299</xdr:rowOff>
    </xdr:from>
    <xdr:to>
      <xdr:col>8</xdr:col>
      <xdr:colOff>28574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7DDE56-007F-4A00-9489-99B5988E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9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18756-0907-4CEF-A850-25341B392BE9}"/>
            </a:ext>
          </a:extLst>
        </xdr:cNvPr>
        <xdr:cNvSpPr/>
      </xdr:nvSpPr>
      <xdr:spPr>
        <a:xfrm>
          <a:off x="60293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</xdr:colOff>
      <xdr:row>1</xdr:row>
      <xdr:rowOff>119062</xdr:rowOff>
    </xdr:from>
    <xdr:to>
      <xdr:col>21</xdr:col>
      <xdr:colOff>381000</xdr:colOff>
      <xdr:row>16</xdr:row>
      <xdr:rowOff>4762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C8E6FEA-F8A9-4D93-8F6D-DCCF351FC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514350</xdr:colOff>
      <xdr:row>2</xdr:row>
      <xdr:rowOff>57150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C72D88-6959-4FAD-8728-2974A4C00441}"/>
            </a:ext>
          </a:extLst>
        </xdr:cNvPr>
        <xdr:cNvSpPr/>
      </xdr:nvSpPr>
      <xdr:spPr>
        <a:xfrm>
          <a:off x="166687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1</xdr:row>
      <xdr:rowOff>14287</xdr:rowOff>
    </xdr:from>
    <xdr:to>
      <xdr:col>25</xdr:col>
      <xdr:colOff>352425</xdr:colOff>
      <xdr:row>17</xdr:row>
      <xdr:rowOff>90487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5DFA1969-6030-441A-B998-35CD22379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1</xdr:row>
      <xdr:rowOff>0</xdr:rowOff>
    </xdr:from>
    <xdr:to>
      <xdr:col>27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8690A2-0CD5-4CA2-A958-A73AC022F75A}"/>
            </a:ext>
          </a:extLst>
        </xdr:cNvPr>
        <xdr:cNvSpPr/>
      </xdr:nvSpPr>
      <xdr:spPr>
        <a:xfrm>
          <a:off x="141351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0.49027</cdr:x>
      <cdr:y>0.0686</cdr:y>
    </cdr:from>
    <cdr:to>
      <cdr:x>0.96666</cdr:x>
      <cdr:y>0.96189</cdr:y>
    </cdr:to>
    <cdr:grpSp>
      <cdr:nvGrpSpPr>
        <cdr:cNvPr id="12" name="Skupina 11">
          <a:extLst xmlns:a="http://schemas.openxmlformats.org/drawingml/2006/main">
            <a:ext uri="{FF2B5EF4-FFF2-40B4-BE49-F238E27FC236}">
              <a16:creationId xmlns:a16="http://schemas.microsoft.com/office/drawing/2014/main" id="{B74AE37B-A8C0-4879-BA7C-BA9AAB14EFC8}"/>
            </a:ext>
          </a:extLst>
        </cdr:cNvPr>
        <cdr:cNvGrpSpPr/>
      </cdr:nvGrpSpPr>
      <cdr:grpSpPr>
        <a:xfrm xmlns:a="http://schemas.openxmlformats.org/drawingml/2006/main">
          <a:off x="2241514" y="214320"/>
          <a:ext cx="2178056" cy="2790817"/>
          <a:chOff x="2260600" y="109538"/>
          <a:chExt cx="2178050" cy="2790825"/>
        </a:xfrm>
      </cdr:grpSpPr>
      <cdr:cxnSp macro="">
        <cdr:nvCxnSpPr>
          <cdr:cNvPr id="4" name="Rovná spojnica 3">
            <a:extLst xmlns:a="http://schemas.openxmlformats.org/drawingml/2006/main">
              <a:ext uri="{FF2B5EF4-FFF2-40B4-BE49-F238E27FC236}">
                <a16:creationId xmlns:a16="http://schemas.microsoft.com/office/drawing/2014/main" id="{F0174EC2-0132-45FA-A998-90A001F26D98}"/>
              </a:ext>
            </a:extLst>
          </cdr:cNvPr>
          <cdr:cNvCxnSpPr/>
        </cdr:nvCxnSpPr>
        <cdr:spPr>
          <a:xfrm xmlns:a="http://schemas.openxmlformats.org/drawingml/2006/main" flipH="1" flipV="1">
            <a:off x="3286125" y="109538"/>
            <a:ext cx="0" cy="2790825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rgbClr val="58595B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Rovná spojovacia šípka 6">
            <a:extLst xmlns:a="http://schemas.openxmlformats.org/drawingml/2006/main">
              <a:ext uri="{FF2B5EF4-FFF2-40B4-BE49-F238E27FC236}">
                <a16:creationId xmlns:a16="http://schemas.microsoft.com/office/drawing/2014/main" id="{F9EA7DF3-1DE8-454A-96D8-11B191D575D5}"/>
              </a:ext>
            </a:extLst>
          </cdr:cNvPr>
          <cdr:cNvCxnSpPr/>
        </cdr:nvCxnSpPr>
        <cdr:spPr>
          <a:xfrm xmlns:a="http://schemas.openxmlformats.org/drawingml/2006/main" flipV="1">
            <a:off x="3352800" y="214313"/>
            <a:ext cx="93345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Rovná spojovacia šípka 7">
            <a:extLst xmlns:a="http://schemas.openxmlformats.org/drawingml/2006/main">
              <a:ext uri="{FF2B5EF4-FFF2-40B4-BE49-F238E27FC236}">
                <a16:creationId xmlns:a16="http://schemas.microsoft.com/office/drawing/2014/main" id="{98208CDD-CE6A-45EA-A2E3-6FB66FE42B1C}"/>
              </a:ext>
            </a:extLst>
          </cdr:cNvPr>
          <cdr:cNvCxnSpPr/>
        </cdr:nvCxnSpPr>
        <cdr:spPr>
          <a:xfrm xmlns:a="http://schemas.openxmlformats.org/drawingml/2006/main" flipH="1" flipV="1">
            <a:off x="2305050" y="204788"/>
            <a:ext cx="93600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" name="BlokTextu 9"/>
          <cdr:cNvSpPr txBox="1"/>
        </cdr:nvSpPr>
        <cdr:spPr>
          <a:xfrm xmlns:a="http://schemas.openxmlformats.org/drawingml/2006/main">
            <a:off x="3333750" y="271463"/>
            <a:ext cx="1104900" cy="28575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sk-SK" sz="900" b="1">
                <a:solidFill>
                  <a:sysClr val="windowText" lastClr="000000"/>
                </a:solidFill>
                <a:latin typeface="Constantia" panose="02030602050306030303" pitchFamily="18" charset="0"/>
              </a:rPr>
              <a:t>návrh rozpočtu</a:t>
            </a:r>
          </a:p>
        </cdr:txBody>
      </cdr:sp>
      <cdr:sp macro="" textlink="">
        <cdr:nvSpPr>
          <cdr:cNvPr id="11" name="BlokTextu 1"/>
          <cdr:cNvSpPr txBox="1"/>
        </cdr:nvSpPr>
        <cdr:spPr>
          <a:xfrm xmlns:a="http://schemas.openxmlformats.org/drawingml/2006/main">
            <a:off x="2260600" y="279400"/>
            <a:ext cx="1104900" cy="28575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k-SK" sz="900" b="1">
                <a:solidFill>
                  <a:sysClr val="windowText" lastClr="000000"/>
                </a:solidFill>
                <a:latin typeface="Constantia" panose="02030602050306030303" pitchFamily="18" charset="0"/>
              </a:rPr>
              <a:t>skutočnosť</a:t>
            </a:r>
          </a:p>
        </cdr:txBody>
      </cdr:sp>
    </cdr:grpSp>
  </cdr:relSizeAnchor>
</c:userShapes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0</xdr:rowOff>
    </xdr:from>
    <xdr:to>
      <xdr:col>27</xdr:col>
      <xdr:colOff>514350</xdr:colOff>
      <xdr:row>3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1A074D-5DDF-44D5-853A-E4A7AE402CDB}"/>
            </a:ext>
          </a:extLst>
        </xdr:cNvPr>
        <xdr:cNvSpPr/>
      </xdr:nvSpPr>
      <xdr:spPr>
        <a:xfrm>
          <a:off x="18783300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4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4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4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5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6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7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4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3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50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5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53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5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5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5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57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5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59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60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61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6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FCA8-73B3-40C9-A554-CEF95A210C70}">
  <sheetPr codeName="Sheet1"/>
  <dimension ref="A1:H100"/>
  <sheetViews>
    <sheetView showGridLines="0" tabSelected="1" workbookViewId="0">
      <selection sqref="A1:H1"/>
    </sheetView>
  </sheetViews>
  <sheetFormatPr defaultRowHeight="15" x14ac:dyDescent="0.25"/>
  <cols>
    <col min="1" max="1" width="71.42578125" customWidth="1"/>
  </cols>
  <sheetData>
    <row r="1" spans="1:8" ht="21" x14ac:dyDescent="0.25">
      <c r="A1" s="1504" t="s">
        <v>750</v>
      </c>
      <c r="B1" s="1504"/>
      <c r="C1" s="1504"/>
      <c r="D1" s="1504"/>
      <c r="E1" s="1504"/>
      <c r="F1" s="1504"/>
      <c r="G1" s="1504"/>
      <c r="H1" s="1504"/>
    </row>
    <row r="2" spans="1:8" x14ac:dyDescent="0.25">
      <c r="A2" s="871" t="s">
        <v>749</v>
      </c>
    </row>
    <row r="3" spans="1:8" x14ac:dyDescent="0.25">
      <c r="A3" s="871"/>
    </row>
    <row r="4" spans="1:8" ht="12.75" customHeight="1" x14ac:dyDescent="0.25">
      <c r="A4" s="1501" t="s">
        <v>705</v>
      </c>
    </row>
    <row r="5" spans="1:8" ht="12.75" customHeight="1" x14ac:dyDescent="0.25">
      <c r="A5" s="1501" t="s">
        <v>706</v>
      </c>
    </row>
    <row r="6" spans="1:8" ht="12.75" customHeight="1" x14ac:dyDescent="0.25">
      <c r="A6" s="1501" t="s">
        <v>707</v>
      </c>
    </row>
    <row r="7" spans="1:8" ht="12.75" customHeight="1" x14ac:dyDescent="0.25">
      <c r="A7" s="1501" t="s">
        <v>708</v>
      </c>
    </row>
    <row r="8" spans="1:8" ht="12.75" customHeight="1" x14ac:dyDescent="0.25">
      <c r="A8" s="1501" t="s">
        <v>709</v>
      </c>
    </row>
    <row r="9" spans="1:8" ht="12.75" customHeight="1" x14ac:dyDescent="0.25">
      <c r="A9" s="1501" t="s">
        <v>710</v>
      </c>
    </row>
    <row r="10" spans="1:8" ht="12.75" customHeight="1" x14ac:dyDescent="0.25">
      <c r="A10" s="1501" t="s">
        <v>711</v>
      </c>
    </row>
    <row r="11" spans="1:8" ht="12.75" customHeight="1" x14ac:dyDescent="0.25">
      <c r="A11" s="1501" t="s">
        <v>712</v>
      </c>
    </row>
    <row r="12" spans="1:8" ht="12.75" customHeight="1" x14ac:dyDescent="0.25">
      <c r="A12" s="1501" t="s">
        <v>713</v>
      </c>
    </row>
    <row r="13" spans="1:8" ht="12.75" customHeight="1" x14ac:dyDescent="0.25">
      <c r="A13" s="1501" t="s">
        <v>714</v>
      </c>
    </row>
    <row r="14" spans="1:8" ht="12.75" customHeight="1" x14ac:dyDescent="0.25">
      <c r="A14" s="1501" t="s">
        <v>715</v>
      </c>
    </row>
    <row r="15" spans="1:8" ht="12.75" customHeight="1" x14ac:dyDescent="0.25">
      <c r="A15" s="1501" t="s">
        <v>716</v>
      </c>
    </row>
    <row r="16" spans="1:8" ht="12.75" customHeight="1" x14ac:dyDescent="0.25">
      <c r="A16" s="1501" t="s">
        <v>717</v>
      </c>
    </row>
    <row r="17" spans="1:1" ht="12.75" customHeight="1" x14ac:dyDescent="0.25">
      <c r="A17" s="1501" t="s">
        <v>718</v>
      </c>
    </row>
    <row r="18" spans="1:1" ht="12.75" customHeight="1" x14ac:dyDescent="0.25">
      <c r="A18" s="1501" t="s">
        <v>719</v>
      </c>
    </row>
    <row r="19" spans="1:1" ht="12.75" customHeight="1" x14ac:dyDescent="0.25">
      <c r="A19" s="1501" t="s">
        <v>720</v>
      </c>
    </row>
    <row r="20" spans="1:1" ht="12.75" customHeight="1" x14ac:dyDescent="0.25">
      <c r="A20" s="1501" t="s">
        <v>249</v>
      </c>
    </row>
    <row r="21" spans="1:1" ht="12.75" customHeight="1" x14ac:dyDescent="0.25">
      <c r="A21" s="1501" t="s">
        <v>721</v>
      </c>
    </row>
    <row r="22" spans="1:1" ht="12.75" customHeight="1" x14ac:dyDescent="0.25">
      <c r="A22" s="1501" t="s">
        <v>722</v>
      </c>
    </row>
    <row r="23" spans="1:1" ht="12.75" customHeight="1" x14ac:dyDescent="0.25">
      <c r="A23" s="1501" t="s">
        <v>723</v>
      </c>
    </row>
    <row r="24" spans="1:1" ht="12.75" customHeight="1" x14ac:dyDescent="0.25">
      <c r="A24" s="1501" t="s">
        <v>724</v>
      </c>
    </row>
    <row r="25" spans="1:1" ht="12.75" customHeight="1" x14ac:dyDescent="0.25">
      <c r="A25" s="1501" t="s">
        <v>725</v>
      </c>
    </row>
    <row r="26" spans="1:1" ht="12.75" customHeight="1" x14ac:dyDescent="0.25">
      <c r="A26" s="1501" t="s">
        <v>726</v>
      </c>
    </row>
    <row r="27" spans="1:1" ht="12.75" customHeight="1" x14ac:dyDescent="0.25">
      <c r="A27" s="1501" t="s">
        <v>299</v>
      </c>
    </row>
    <row r="28" spans="1:1" ht="12.75" customHeight="1" x14ac:dyDescent="0.25">
      <c r="A28" s="1501" t="s">
        <v>727</v>
      </c>
    </row>
    <row r="29" spans="1:1" ht="12.75" customHeight="1" x14ac:dyDescent="0.25">
      <c r="A29" s="1501" t="s">
        <v>728</v>
      </c>
    </row>
    <row r="30" spans="1:1" ht="12.75" customHeight="1" x14ac:dyDescent="0.25">
      <c r="A30" s="1501" t="s">
        <v>729</v>
      </c>
    </row>
    <row r="31" spans="1:1" ht="12.75" customHeight="1" x14ac:dyDescent="0.25">
      <c r="A31" s="1501" t="s">
        <v>730</v>
      </c>
    </row>
    <row r="32" spans="1:1" ht="12.75" customHeight="1" x14ac:dyDescent="0.25">
      <c r="A32" s="1501" t="s">
        <v>731</v>
      </c>
    </row>
    <row r="33" spans="1:1" ht="12.75" customHeight="1" x14ac:dyDescent="0.25">
      <c r="A33" s="1501" t="s">
        <v>732</v>
      </c>
    </row>
    <row r="34" spans="1:1" ht="12.75" customHeight="1" x14ac:dyDescent="0.25">
      <c r="A34" s="1501" t="s">
        <v>733</v>
      </c>
    </row>
    <row r="35" spans="1:1" ht="12.75" customHeight="1" x14ac:dyDescent="0.25">
      <c r="A35" s="1501" t="s">
        <v>734</v>
      </c>
    </row>
    <row r="36" spans="1:1" ht="12.75" customHeight="1" x14ac:dyDescent="0.25">
      <c r="A36" s="1501" t="s">
        <v>735</v>
      </c>
    </row>
    <row r="37" spans="1:1" ht="12.75" customHeight="1" x14ac:dyDescent="0.25">
      <c r="A37" s="1501" t="s">
        <v>455</v>
      </c>
    </row>
    <row r="38" spans="1:1" ht="12.75" customHeight="1" x14ac:dyDescent="0.25">
      <c r="A38" s="1501" t="s">
        <v>736</v>
      </c>
    </row>
    <row r="39" spans="1:1" ht="12.75" customHeight="1" x14ac:dyDescent="0.25">
      <c r="A39" s="1501" t="s">
        <v>737</v>
      </c>
    </row>
    <row r="40" spans="1:1" ht="12.75" customHeight="1" x14ac:dyDescent="0.25">
      <c r="A40" s="1501" t="s">
        <v>738</v>
      </c>
    </row>
    <row r="41" spans="1:1" ht="12.75" customHeight="1" x14ac:dyDescent="0.25">
      <c r="A41" s="1501" t="s">
        <v>739</v>
      </c>
    </row>
    <row r="42" spans="1:1" ht="12.75" customHeight="1" x14ac:dyDescent="0.25">
      <c r="A42" s="1501" t="s">
        <v>740</v>
      </c>
    </row>
    <row r="43" spans="1:1" ht="12.75" customHeight="1" x14ac:dyDescent="0.25">
      <c r="A43" s="1501" t="s">
        <v>741</v>
      </c>
    </row>
    <row r="44" spans="1:1" ht="12.75" customHeight="1" x14ac:dyDescent="0.25">
      <c r="A44" s="1501" t="s">
        <v>742</v>
      </c>
    </row>
    <row r="45" spans="1:1" ht="12.75" customHeight="1" x14ac:dyDescent="0.25">
      <c r="A45" s="1501" t="s">
        <v>743</v>
      </c>
    </row>
    <row r="46" spans="1:1" ht="12.75" customHeight="1" x14ac:dyDescent="0.25">
      <c r="A46" s="1501" t="s">
        <v>744</v>
      </c>
    </row>
    <row r="47" spans="1:1" ht="12.75" customHeight="1" x14ac:dyDescent="0.25">
      <c r="A47" s="1501" t="s">
        <v>745</v>
      </c>
    </row>
    <row r="48" spans="1:1" ht="12.75" customHeight="1" x14ac:dyDescent="0.25">
      <c r="A48" s="1501" t="s">
        <v>746</v>
      </c>
    </row>
    <row r="49" spans="1:1" ht="12.75" customHeight="1" x14ac:dyDescent="0.25">
      <c r="A49" s="1501" t="s">
        <v>747</v>
      </c>
    </row>
    <row r="50" spans="1:1" ht="12.75" customHeight="1" x14ac:dyDescent="0.25">
      <c r="A50" s="1501" t="s">
        <v>748</v>
      </c>
    </row>
    <row r="51" spans="1:1" ht="12.75" customHeight="1" x14ac:dyDescent="0.25">
      <c r="A51" s="1502"/>
    </row>
    <row r="52" spans="1:1" ht="12.75" customHeight="1" x14ac:dyDescent="0.25">
      <c r="A52" s="1501" t="s">
        <v>669</v>
      </c>
    </row>
    <row r="53" spans="1:1" ht="12.75" customHeight="1" x14ac:dyDescent="0.25">
      <c r="A53" s="1501" t="s">
        <v>670</v>
      </c>
    </row>
    <row r="54" spans="1:1" ht="12.75" customHeight="1" x14ac:dyDescent="0.25">
      <c r="A54" s="1501" t="s">
        <v>671</v>
      </c>
    </row>
    <row r="55" spans="1:1" ht="12.75" customHeight="1" x14ac:dyDescent="0.25">
      <c r="A55" s="1501" t="s">
        <v>672</v>
      </c>
    </row>
    <row r="56" spans="1:1" ht="12.75" customHeight="1" x14ac:dyDescent="0.25">
      <c r="A56" s="1501" t="s">
        <v>673</v>
      </c>
    </row>
    <row r="57" spans="1:1" ht="12.75" customHeight="1" x14ac:dyDescent="0.25">
      <c r="A57" s="1501" t="s">
        <v>674</v>
      </c>
    </row>
    <row r="58" spans="1:1" ht="12.75" customHeight="1" x14ac:dyDescent="0.25">
      <c r="A58" s="1501" t="s">
        <v>675</v>
      </c>
    </row>
    <row r="59" spans="1:1" ht="12.75" customHeight="1" x14ac:dyDescent="0.25">
      <c r="A59" s="1501" t="s">
        <v>676</v>
      </c>
    </row>
    <row r="60" spans="1:1" ht="12.75" customHeight="1" x14ac:dyDescent="0.25">
      <c r="A60" s="1501" t="s">
        <v>677</v>
      </c>
    </row>
    <row r="61" spans="1:1" ht="12.75" customHeight="1" x14ac:dyDescent="0.25">
      <c r="A61" s="1501" t="s">
        <v>678</v>
      </c>
    </row>
    <row r="62" spans="1:1" ht="12.75" customHeight="1" x14ac:dyDescent="0.25">
      <c r="A62" s="1501" t="s">
        <v>679</v>
      </c>
    </row>
    <row r="63" spans="1:1" ht="12.75" customHeight="1" x14ac:dyDescent="0.25">
      <c r="A63" s="1501" t="s">
        <v>680</v>
      </c>
    </row>
    <row r="64" spans="1:1" ht="12.75" customHeight="1" x14ac:dyDescent="0.25">
      <c r="A64" s="1501" t="s">
        <v>681</v>
      </c>
    </row>
    <row r="65" spans="1:1" ht="12.75" customHeight="1" x14ac:dyDescent="0.25">
      <c r="A65" s="1501" t="s">
        <v>682</v>
      </c>
    </row>
    <row r="66" spans="1:1" ht="12.75" customHeight="1" x14ac:dyDescent="0.25">
      <c r="A66" s="1501" t="s">
        <v>683</v>
      </c>
    </row>
    <row r="67" spans="1:1" ht="12.75" customHeight="1" x14ac:dyDescent="0.25">
      <c r="A67" s="1501" t="s">
        <v>684</v>
      </c>
    </row>
    <row r="68" spans="1:1" ht="12.75" customHeight="1" x14ac:dyDescent="0.25">
      <c r="A68" s="1501" t="s">
        <v>685</v>
      </c>
    </row>
    <row r="69" spans="1:1" ht="12.75" customHeight="1" x14ac:dyDescent="0.25">
      <c r="A69" s="1501" t="s">
        <v>686</v>
      </c>
    </row>
    <row r="70" spans="1:1" ht="12.75" customHeight="1" x14ac:dyDescent="0.25">
      <c r="A70" s="1501" t="s">
        <v>687</v>
      </c>
    </row>
    <row r="71" spans="1:1" ht="12.75" customHeight="1" x14ac:dyDescent="0.25">
      <c r="A71" s="1501" t="s">
        <v>688</v>
      </c>
    </row>
    <row r="72" spans="1:1" ht="12.75" customHeight="1" x14ac:dyDescent="0.25">
      <c r="A72" s="1501" t="s">
        <v>689</v>
      </c>
    </row>
    <row r="73" spans="1:1" ht="12.75" customHeight="1" x14ac:dyDescent="0.25">
      <c r="A73" s="1501" t="s">
        <v>690</v>
      </c>
    </row>
    <row r="74" spans="1:1" ht="12.75" customHeight="1" x14ac:dyDescent="0.25">
      <c r="A74" s="1501" t="s">
        <v>691</v>
      </c>
    </row>
    <row r="75" spans="1:1" ht="12.75" customHeight="1" x14ac:dyDescent="0.25">
      <c r="A75" s="1501" t="s">
        <v>692</v>
      </c>
    </row>
    <row r="76" spans="1:1" ht="12.75" customHeight="1" x14ac:dyDescent="0.25">
      <c r="A76" s="1501" t="s">
        <v>693</v>
      </c>
    </row>
    <row r="77" spans="1:1" ht="12.75" customHeight="1" x14ac:dyDescent="0.25">
      <c r="A77" s="1501" t="s">
        <v>694</v>
      </c>
    </row>
    <row r="78" spans="1:1" ht="12.75" customHeight="1" x14ac:dyDescent="0.25">
      <c r="A78" s="1501" t="s">
        <v>695</v>
      </c>
    </row>
    <row r="79" spans="1:1" ht="12.75" customHeight="1" x14ac:dyDescent="0.25">
      <c r="A79" s="1501" t="s">
        <v>696</v>
      </c>
    </row>
    <row r="80" spans="1:1" ht="12.75" customHeight="1" x14ac:dyDescent="0.25">
      <c r="A80" s="1501" t="s">
        <v>697</v>
      </c>
    </row>
    <row r="81" spans="1:1" ht="12.75" customHeight="1" x14ac:dyDescent="0.25">
      <c r="A81" s="1501" t="s">
        <v>698</v>
      </c>
    </row>
    <row r="82" spans="1:1" ht="12.75" customHeight="1" x14ac:dyDescent="0.25">
      <c r="A82" s="1501" t="s">
        <v>699</v>
      </c>
    </row>
    <row r="83" spans="1:1" ht="12.75" customHeight="1" x14ac:dyDescent="0.25">
      <c r="A83" s="1501" t="s">
        <v>700</v>
      </c>
    </row>
    <row r="84" spans="1:1" ht="12.75" customHeight="1" x14ac:dyDescent="0.25">
      <c r="A84" s="1501" t="s">
        <v>701</v>
      </c>
    </row>
    <row r="85" spans="1:1" ht="12.75" customHeight="1" x14ac:dyDescent="0.25">
      <c r="A85" s="1501" t="s">
        <v>702</v>
      </c>
    </row>
    <row r="86" spans="1:1" ht="12.75" customHeight="1" x14ac:dyDescent="0.25">
      <c r="A86" s="1501" t="s">
        <v>703</v>
      </c>
    </row>
    <row r="87" spans="1:1" ht="12.75" customHeight="1" x14ac:dyDescent="0.25">
      <c r="A87" s="1501" t="s">
        <v>704</v>
      </c>
    </row>
    <row r="88" spans="1:1" ht="12.75" customHeight="1" x14ac:dyDescent="0.25">
      <c r="A88" s="1503"/>
    </row>
    <row r="89" spans="1:1" ht="12.75" customHeight="1" x14ac:dyDescent="0.25">
      <c r="A89" s="1501" t="s">
        <v>751</v>
      </c>
    </row>
    <row r="90" spans="1:1" x14ac:dyDescent="0.25">
      <c r="A90" s="1503"/>
    </row>
    <row r="91" spans="1:1" x14ac:dyDescent="0.25">
      <c r="A91" s="1503"/>
    </row>
    <row r="92" spans="1:1" x14ac:dyDescent="0.25">
      <c r="A92" s="1503"/>
    </row>
    <row r="93" spans="1:1" x14ac:dyDescent="0.25">
      <c r="A93" s="1503"/>
    </row>
    <row r="94" spans="1:1" x14ac:dyDescent="0.25">
      <c r="A94" s="1503"/>
    </row>
    <row r="95" spans="1:1" x14ac:dyDescent="0.25">
      <c r="A95" s="195"/>
    </row>
    <row r="96" spans="1:1" x14ac:dyDescent="0.25">
      <c r="A96" s="195"/>
    </row>
    <row r="97" spans="1:1" x14ac:dyDescent="0.25">
      <c r="A97" s="195"/>
    </row>
    <row r="98" spans="1:1" x14ac:dyDescent="0.25">
      <c r="A98" s="195"/>
    </row>
    <row r="99" spans="1:1" x14ac:dyDescent="0.25">
      <c r="A99" s="195"/>
    </row>
    <row r="100" spans="1:1" x14ac:dyDescent="0.25">
      <c r="A100" s="195"/>
    </row>
  </sheetData>
  <mergeCells count="1">
    <mergeCell ref="A1:H1"/>
  </mergeCells>
  <hyperlinks>
    <hyperlink ref="A4" location="'T01'!A1" display="Tab 1: Ciele v oblasti salda a dlhu verejnej správy" xr:uid="{EDED89D0-A5E5-4570-9F46-E4106210F676}"/>
    <hyperlink ref="A5" location="'T02'!A1" display="Tab 2: Štrukturálne saldo podľa MF SR" xr:uid="{AD811E9B-FC88-4B0E-BBF8-13A0D01F121C}"/>
    <hyperlink ref="A6" location="'T03'!A1" display="Tab 3: Výdavkové pravidlo podľa MF SR" xr:uid="{F9DC482C-6723-4CB0-8464-D22F43686310}"/>
    <hyperlink ref="A7" location="'T04'!A1" display="Tab 4: Opatrenia v návrhu rozpočtu" xr:uid="{73B2C643-CBB7-46DE-B47C-50B316B0A102}"/>
    <hyperlink ref="A8" location="'T05'!A1" display="Tab 5: Prognózy domácich a medzinárodných inštitúcií" xr:uid="{A70B1FFA-0E7F-43E9-82B9-8CCED2E29525}"/>
    <hyperlink ref="A9" location="'T06'!A1" display="Tab 6: Porovnanie vychýlenosti a presnosti prognóz inštitúcií" xr:uid="{7BE6ABC0-D379-4DC2-9CD3-0F43C6D06E78}"/>
    <hyperlink ref="A10" location="'T07'!A1" display="Tab 7: Daňovo-odvodové opatrenia zahrnuté v NRVS 2019-2021" xr:uid="{6E083EC0-DBA5-41BA-823E-C136E23BC8F7}"/>
    <hyperlink ref="A11" location="'T08'!A1" display="Tab 8: Riziká a zdroje krytia pre splnenie rozpočtovaného cieľa v roku 2018" xr:uid="{3E1712EE-1CFA-4287-A109-F40781E27A34}"/>
    <hyperlink ref="A12" location="'T09'!A1" display="Tab 9: Riziká v rokoch 2019 až 2021" xr:uid="{CA1ABAEB-828B-4379-9F4D-AFA31424CE25}"/>
    <hyperlink ref="A13" location="'T10'!A1" display="Tab 10: Zdroje krytia rizík v rokoch 2019 až 2021" xr:uid="{D6AFD08E-7CFA-4F62-BB82-1EA21C06A0EF}"/>
    <hyperlink ref="A14" location="'T11'!A1" display="Tab 11: Riziká spojené s dosiahnutím rozpočtových cieľov" xr:uid="{958F9B11-830C-4F18-A2A6-E69D79D33499}"/>
    <hyperlink ref="A15" location="'T12'!A1" display="Tab 12: Predpoklady vývoja hrubého dlhu verejnej správy" xr:uid="{2E408237-7123-4663-9D45-5A04B795EDAD}"/>
    <hyperlink ref="A16" location="'T13'!A1" display="Tab 13: Veľkosť opatrení v návrhu rozpočtu" xr:uid="{A415513F-C47E-4AAE-9361-86CB022B75FF}"/>
    <hyperlink ref="A17" location="'T14'!A1" display="Tab 14: Zmena štrukturálneho salda VS v rokoch 2017 až 2021 podľa RRZ" xr:uid="{13263918-8D37-49D8-B69E-93DC0EEADF15}"/>
    <hyperlink ref="A18" location="'T15'!A1" display="Tab 15: Výdavkové pravidlo" xr:uid="{334E8264-273F-49A5-8856-024656B2DC4B}"/>
    <hyperlink ref="A19" location="'T16'!A1" display="Tab 16: Rozdiely vo výdavkovom pravidle" xr:uid="{7420C401-EA71-4653-81DD-D594FFB73280}"/>
    <hyperlink ref="A20" location="'T17'!A1" display="Tab 17: Vypracovanie makroekonomických a daňových prognóz výbormi v roku 2018" xr:uid="{F93DCAAA-06E9-4F63-BBDC-8CD88DAEEA11}"/>
    <hyperlink ref="A21" location="'T18'!A1" display="Tab 18: Prognóza Výboru pre makroekonomické prognózy" xr:uid="{239A8F43-C2DC-4A6D-8143-81BE3867130B}"/>
    <hyperlink ref="A22" location="'T19'!A1" display="Tab 19: Odhad za rok 2018 a odhad vplyvu opatrení na HDP, rozdiel voči VpMP" xr:uid="{C095747D-093F-49B1-B1F7-9157DE84411D}"/>
    <hyperlink ref="A23" location="'T20'!A1" display="Tab 20: Vyčíslenie fiškálnych scenárov a rozdiel voči VpMP" xr:uid="{9152A2D6-3F80-4A47-8E2F-757C0976A105}"/>
    <hyperlink ref="A24" location="'T21'!A1" display="Tab 21: Riziká prognózy rastu základní rozhodujúcich pre rozpočtové príjmy" xr:uid="{26C5916A-2BBE-440E-B68B-60530BE0C0BA}"/>
    <hyperlink ref="A25" location="'T22'!A1" display="Tab 22: Prehľad rizík a rezerv rozpočtu na rok 2018" xr:uid="{35B45AC9-E3D9-44B6-94D3-BAFA41FB2F98}"/>
    <hyperlink ref="A26" location="'T23'!A1" display="Tab 23: Dividendy v rokoch 2018 až 2021" xr:uid="{8EA62F82-6026-4D8E-9DD3-41EF357029A0}"/>
    <hyperlink ref="A27" location="'T24'!A1" display="Tab 24: Odhad príjmov z emisných kvót v rokoch 2018 až 2020" xr:uid="{337FFF44-46B2-40E4-BE4E-6A41D447DC57}"/>
    <hyperlink ref="A28" location="'T25'!A1" display="Tab 25: Odhad rizika z príjmov z emisných kvót v porovnaní s návrhom rozpočtu" xr:uid="{89D6AFF9-C065-4E1E-B3A9-DB3C241A470A}"/>
    <hyperlink ref="A29" location="'T26'!A1" display="Tab 26: Vývoj výdavkov na zdravotnú starostlivosť podľa RRZ" xr:uid="{750407B5-D4F7-471C-96F6-D8569EA09C75}"/>
    <hyperlink ref="A30" location="'T27'!A1" display="Tab 27: Hospodárenie nemocníc" xr:uid="{F08807A0-3068-404F-84BA-828AD88DFE86}"/>
    <hyperlink ref="A31" location="'T28'!A1" display="Tab 28: Vývoj nerozdelených ziskov súkromných zdravotných poisťovní" xr:uid="{9717B608-5114-4F36-B1EE-C7A4F37DD82B}"/>
    <hyperlink ref="A32" location="'T29'!A1" display="Tab 29: Odhad rizika voči návrhu rozpočtu" xr:uid="{1AB80B89-2836-43A0-9518-8B90037F7B28}"/>
    <hyperlink ref="A33" location="'T30'!A1" display="Tab 30: Odhad rizík v samosprávach" xr:uid="{8BB4ED4A-D520-46A0-8820-9D1ACEBF93B7}"/>
    <hyperlink ref="A34" location="'T31'!A1" display="Tab 31: Riziká v mzdových výdavkoch štátneho rozpočtu" xr:uid="{31F14062-5C5A-4D3F-94FE-0B0C424ADE3E}"/>
    <hyperlink ref="A35" location="'T32'!A1" display="Tab 32: Riziká vo výdavkoch štátneho rozpočtu na tovary a služby" xr:uid="{B3424554-4B6A-489C-8580-4A821A25811C}"/>
    <hyperlink ref="A36" location="'T33'!A1" display="Tab 33: Odhad rizika pri kapitálových výdavkoch štátneho rozpočtu" xr:uid="{A172C068-DE1F-48E7-8FC5-85284A2FBF85}"/>
    <hyperlink ref="A37" location="'T34'!A1" display="Tab 34: Prehľad zmien v porovnaní s odhadom MF SR na rok 2018" xr:uid="{726514D7-3308-40EB-97B0-7A84C8A93F4D}"/>
    <hyperlink ref="A38" location="'T35'!A1" display="Tab 35: Zoznam jednorazových a dočasných vplyvov v NPC scenári" xr:uid="{8B9FF891-5323-48BB-A1BB-69AA3205A257}"/>
    <hyperlink ref="A39" location="'T36'!A1" display="Tab 36: Predpoklady čerpania fondov EÚ v NPC scenári RRZ" xr:uid="{C257516F-1111-42B7-B7CC-0C5874FB257D}"/>
    <hyperlink ref="A40" location="'T37'!A1" display="Tab 37: Porovnanie NPC scenára vývoja verejných financií RRZ" xr:uid="{6336AAE7-2188-44D5-8665-69C92ED632CC}"/>
    <hyperlink ref="A41" location="'T38'!A1" display="Tab 38: Príspevky k medziročnej zmene salda v NPC scenári" xr:uid="{DF1FE227-DF7E-45EB-A1F9-3D04F7379F3F}"/>
    <hyperlink ref="A42" location="'T39'!A1" display="Tab 39: Zmeny v hotovosti bez vplyvu na čisté bohatstvo" xr:uid="{F2471527-4CFD-410A-9DB5-CAEE5DB9979B}"/>
    <hyperlink ref="A43" location="'T40'!A1" display="Tab 40: Prehľad vývoja dlhu do roku 2021" xr:uid="{AEE08DF4-5A32-40D5-AA09-38C12BE9C6F3}"/>
    <hyperlink ref="A44" location="'T41'!A1" display="Tab 41: Porovnanie skutočného vývoja položiek voči rozpočtu" xr:uid="{10BB6213-D492-46D0-8656-46AABC25DE71}"/>
    <hyperlink ref="A45" location="'T42'!A1" display="Tab 42: Jednorazové vplyvy v rokoch 2017-2021" xr:uid="{2D536817-9ED7-49FD-A01E-0654A0FF3A6F}"/>
    <hyperlink ref="A46" location="'T43'!A1" display="Tab 43: Bilancia príjmov a výdavkov verejnej správy (ESA2010, v mil. eur)" xr:uid="{27524839-5CD0-4711-BD22-498776D5EE80}"/>
    <hyperlink ref="A47" location="'T44'!A1" display="Tab 44: Bilancia príjmov a výdavkov verejnej správy (ESA2010, % HDP)" xr:uid="{1A0F6A05-6D3B-4C3E-BAD7-F511336815D2}"/>
    <hyperlink ref="A48" location="'T45'!A1" display="Tab 45: Hospodárenie subjektov verejnej správy" xr:uid="{890CDA50-AC71-490B-A165-D7B3F50BFDB5}"/>
    <hyperlink ref="A49" location="'T46, T47'!A1" display="Tab 46: Príjmy podľa odhadu RRZ" xr:uid="{D9C68CF0-BF80-48C5-A37E-1B21C80D91FC}"/>
    <hyperlink ref="A50" location="'T46, T47'!A1" display="Tab 47: Výdavky podľa odhadu RRZ" xr:uid="{F233B1E9-ACB4-413F-A151-79128028866B}"/>
    <hyperlink ref="A52" location="'G01'!A1" display="Graf 1: Porovnanie NRVS 2019-2021 voči NPC scenáru" xr:uid="{3443CBDB-5DD4-41BF-BFAE-F3493D2D5909}"/>
    <hyperlink ref="A53" location="'G02'!A1" display="Graf 2: Opatrenia v NRVS 2019-2021" xr:uid="{57B4814D-6841-4970-8FF8-18B243324C8A}"/>
    <hyperlink ref="A54" location="'G03'!A1" display="Graf 3: Opatrenia na dosiahnutie rozpočtových cieľov - porovnanie voči scenáru nezmenených politík podľa návrhu rozpočtu verejnej správy na roky 2019-2021" xr:uid="{2A08FA94-726C-493E-8C9C-94CEE09D3E44}"/>
    <hyperlink ref="A55" location="'G04'!A1" display="Graf 4: Porovnanie rozpočtových cieľov – saldo rozpočtu" xr:uid="{E6C8097B-85B2-4399-81D7-97E1C91BA04C}"/>
    <hyperlink ref="A56" location="'G05'!A1" display="Graf 5: Zmeny v prognóze hrubého dlhu" xr:uid="{6D357497-76E8-4738-AEA3-7B21EA50E6DD}"/>
    <hyperlink ref="A57" location="'G06'!A1" display="Graf 6: Zmeny v príjmoch a výdavkoch roku 2019" xr:uid="{97452DDF-F9FA-4E5E-A80B-6E99F88305DC}"/>
    <hyperlink ref="A58" location="'G07'!A1" display="Graf 7: Zmena kapitálových výdavkov štátneho rozpočtu v roku 2019" xr:uid="{6ACF45A0-9490-452E-9CCA-5B22328440C0}"/>
    <hyperlink ref="A59" location="'G08'!A1" display="Graf 8: Rast zahraničného dopytu spomalí" xr:uid="{8C03959F-B8CE-4F9B-BDCD-25D018F5199F}"/>
    <hyperlink ref="A60" location="'G09'!A1" display="Graf 9: Koniec prehrievania v ekonomikách" xr:uid="{F28F3FBA-1877-4F01-AC86-171A1BBAA211}"/>
    <hyperlink ref="A61" location="'G10'!A1" display="Graf 10: Príspevky k rastu HDP (%) – investície a čistý export – prognóza VpMP" xr:uid="{0DEEC0FA-99C8-4DDB-B643-7FEB7B7B84C8}"/>
    <hyperlink ref="A62" location="'G11'!A1" display="Graf 11: Utlmený rast spotreby domácností" xr:uid="{4D2BD963-0911-4B5E-A9F4-0472E19FF146}"/>
    <hyperlink ref="A63" location="'G12'!A1" display="Graf 12: Riziká pre ekonomický rast vyplývajúce z fiškálnej politiky" xr:uid="{E847CB0C-9E61-40B0-8CED-5E79B8FA24BB}"/>
    <hyperlink ref="A64" location="'G13'!A1" display="Graf 13: Verejné investície" xr:uid="{46C92F37-AFA0-47A7-AC05-25E50D748543}"/>
    <hyperlink ref="A65" location="'G14'!A1" display="Graf 14: Prognózy rastu spotreby verejnej správy na obdobie t+1" xr:uid="{4AD9BC21-8F08-4E21-886C-A7DC585368D4}"/>
    <hyperlink ref="A66" location="'G15'!A1" display="Graf 15: Riziká prognózy rastu HDP VpMP na základe historických odchýlok" xr:uid="{8F18DE1B-8585-4AC6-88E9-57749074530C}"/>
    <hyperlink ref="A67" location="'G16'!A1" display="Graf 16: Historické odchýlky prognóz VpDP" xr:uid="{E52D96E5-9064-406F-B772-DD8E8FBA5BA3}"/>
    <hyperlink ref="A68" location="'G17'!A1" display="Graf 17: 2-percentná odchýlka prognózy 2018 až 2020 a jej pokrytie rezervou" xr:uid="{AC9D36EB-5584-450B-876F-80618C6E0266}"/>
    <hyperlink ref="A69" location="'G18'!A1" display="Graf 18: Príspevky k medziročnej zmene salda v NPC scenári" xr:uid="{548AB980-74A5-4A53-8574-38BF057F325E}"/>
    <hyperlink ref="A70" location="'G19'!A1" display="Graf 19: Vplyvy opatrení zapracovaných v návrhu rozpočtu v roku 2019" xr:uid="{3C770B0B-2C4A-47E0-9196-0DFC990E9E0A}"/>
    <hyperlink ref="A71" location="'G20'!A1" display="Graf 20: Porovnanie prognózy dlhu MF SR s NPC scenárom RRZ" xr:uid="{45EED8C6-5353-4E81-8BE3-2E118A533E47}"/>
    <hyperlink ref="A72" location="'G21'!A1" display="Graf 21: Príspevky k medziročnej zmene dlhu v prognóze MF SR" xr:uid="{96C36EA4-EB6C-4FA7-9060-3A2524140B80}"/>
    <hyperlink ref="A73" location="'G22'!A1" display="Graf 22: Vplyv neočakávaných vplyvov a ostatných položiek na saldo rozpočtu" xr:uid="{79FF7EC3-3BEA-47BE-A772-869D7B83AEB1}"/>
    <hyperlink ref="A74" location="'G23'!A1" display="Graf 23: Odhadované saldo rozpočtu po zohľadnení nerozpočtovaných vplyvov" xr:uid="{BA006B9A-E4FF-45C8-8AAB-1988EA327BB6}"/>
    <hyperlink ref="A75" location="'G24'!A1" display="Graf 24: Vývoj hrubého dlhu VS" xr:uid="{D7333024-AFE2-4F00-9571-E4226838A546}"/>
    <hyperlink ref="A76" location="'G25'!A1" display="Graf 25: Medziročná zmena dlhu" xr:uid="{117C6A23-509E-4FFA-A999-BD75A1EFC9DD}"/>
    <hyperlink ref="A77" location="'G26, G27'!A1" display="Graf 26: Saldo VS v rokoch 2016 až 2021" xr:uid="{50210079-048C-418C-8B19-0A7126FCC743}"/>
    <hyperlink ref="A78" location="'G26, G27'!A1" display="Graf 27: Štrukturálne saldo VS v rokoch 2016 až 2021" xr:uid="{E152D66E-10F1-4653-AA93-F45D827B05A2}"/>
    <hyperlink ref="A79" location="'G28'!A1" display="Graf 28: Štrukturálne saldo v rokoch 1999 až 2021 podľa RRZ" xr:uid="{B58505F9-3691-4399-965C-BC159CBAB4C2}"/>
    <hyperlink ref="A80" location="'G29'!A1" display="Graf 29: Fiškálny impulz v rokoch 2017-2021" xr:uid="{0D9B0F9A-769D-439C-AD1F-4A5D224A703B}"/>
    <hyperlink ref="A81" location="'G30'!A1" display="Graf 30: Predpokladané čerpanie EÚ príjmov v rokoch 2017-2021" xr:uid="{1ED8ABD8-414A-4F31-9899-3966941DEA7E}"/>
    <hyperlink ref="A82" location="'G31'!A1" display="Graf 31: Makroekonomické riziko vplývajúce na saldo verejnej správy" xr:uid="{EF8DE113-E31D-4AEA-924D-A8AA25DCE575}"/>
    <hyperlink ref="A83" location="'G32'!A1" display="Graf 32: Makroekonomické riziko vplývajúce na dlh verejnej správy" xr:uid="{99919CCA-44E0-4D0F-934D-5F4C2562CD61}"/>
    <hyperlink ref="A84" location="'G33'!A1" display="Graf 33: Daňové základne" xr:uid="{B30DA137-4BF1-441D-B0AE-44DED721DA16}"/>
    <hyperlink ref="A85" location="'G34'!A1" display="Graf 34: Daňové príjmy" xr:uid="{C398436B-051D-4EF9-A429-BDE846969463}"/>
    <hyperlink ref="A86" location="'G35'!A1" display="Graf 35: Porovnanie vývoja miezd v štátnom rozpočte a súkromnom sektore" xr:uid="{2A259E97-F872-4E98-B096-F4FA8999A067}"/>
    <hyperlink ref="A87" location="'G36'!A1" display="Graf 36: Riziká v kapitálových výdavkoch" xr:uid="{D7137699-95FC-4362-9CE0-AE78B334F7F2}"/>
    <hyperlink ref="A89" location="NPC!A1" display="NPC" xr:uid="{C6093444-1467-48B1-997B-31352DE9FBCA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165FA-258F-4931-9392-03A4A1C7F69C}">
  <sheetPr codeName="Sheet3">
    <pageSetUpPr fitToPage="1"/>
  </sheetPr>
  <dimension ref="A1:G36"/>
  <sheetViews>
    <sheetView showGridLines="0" workbookViewId="0">
      <selection activeCell="A7" sqref="A7"/>
    </sheetView>
  </sheetViews>
  <sheetFormatPr defaultRowHeight="15" x14ac:dyDescent="0.25"/>
  <cols>
    <col min="1" max="1" width="47.85546875" customWidth="1"/>
    <col min="3" max="3" width="9" customWidth="1"/>
    <col min="7" max="7" width="10.7109375" customWidth="1"/>
  </cols>
  <sheetData>
    <row r="1" spans="1:7" x14ac:dyDescent="0.25">
      <c r="A1" s="1523" t="s">
        <v>85</v>
      </c>
      <c r="B1" s="1523"/>
      <c r="C1" s="1523"/>
      <c r="D1" s="1523"/>
      <c r="G1" s="44"/>
    </row>
    <row r="2" spans="1:7" x14ac:dyDescent="0.25">
      <c r="A2" s="45"/>
      <c r="B2" s="46">
        <v>2019</v>
      </c>
      <c r="C2" s="47">
        <v>2020</v>
      </c>
      <c r="D2" s="48">
        <v>2021</v>
      </c>
    </row>
    <row r="3" spans="1:7" x14ac:dyDescent="0.25">
      <c r="A3" s="49" t="s">
        <v>38</v>
      </c>
      <c r="B3" s="50">
        <f>SUM(B5,B33,B13,B19,B23,B28,B27,B34,B35)</f>
        <v>-2098.4867359400555</v>
      </c>
      <c r="C3" s="50">
        <f t="shared" ref="C3:D3" si="0">SUM(C5,C33,C13,C19,C23,C28,C27,C34,C35)</f>
        <v>-2663.3515989714933</v>
      </c>
      <c r="D3" s="51">
        <f t="shared" si="0"/>
        <v>-2867.0427311324775</v>
      </c>
    </row>
    <row r="4" spans="1:7" x14ac:dyDescent="0.25">
      <c r="A4" s="49" t="s">
        <v>39</v>
      </c>
      <c r="B4" s="53">
        <v>-2.1692644419508507</v>
      </c>
      <c r="C4" s="53">
        <v>-2.5851365925127667</v>
      </c>
      <c r="D4" s="54">
        <v>-2.6278987942149592</v>
      </c>
      <c r="F4" s="44"/>
    </row>
    <row r="5" spans="1:7" x14ac:dyDescent="0.25">
      <c r="A5" s="55" t="s">
        <v>40</v>
      </c>
      <c r="B5" s="57">
        <f t="shared" ref="B5:D5" si="1">SUM(B6:B12)</f>
        <v>-297.13165849295547</v>
      </c>
      <c r="C5" s="58">
        <f t="shared" si="1"/>
        <v>-157.72346135954808</v>
      </c>
      <c r="D5" s="56">
        <f t="shared" si="1"/>
        <v>-125.53010184416364</v>
      </c>
      <c r="F5" s="59"/>
    </row>
    <row r="6" spans="1:7" x14ac:dyDescent="0.25">
      <c r="A6" s="60" t="s">
        <v>41</v>
      </c>
      <c r="B6" s="62">
        <v>-68.474999999999994</v>
      </c>
      <c r="C6" s="61">
        <v>-68.474999999999994</v>
      </c>
      <c r="D6" s="63">
        <v>-68.474999999999994</v>
      </c>
      <c r="E6" s="64"/>
      <c r="F6" s="44"/>
    </row>
    <row r="7" spans="1:7" x14ac:dyDescent="0.25">
      <c r="A7" s="60" t="s">
        <v>1185</v>
      </c>
      <c r="B7" s="62">
        <v>-106</v>
      </c>
      <c r="C7" s="61">
        <v>-28</v>
      </c>
      <c r="D7" s="63">
        <v>-20</v>
      </c>
      <c r="E7" s="65"/>
      <c r="F7" s="44"/>
    </row>
    <row r="8" spans="1:7" x14ac:dyDescent="0.25">
      <c r="A8" s="60" t="s">
        <v>42</v>
      </c>
      <c r="B8" s="62">
        <v>-33</v>
      </c>
      <c r="C8" s="61">
        <v>-33</v>
      </c>
      <c r="D8" s="63">
        <v>-33</v>
      </c>
      <c r="E8" s="65"/>
      <c r="F8" s="44"/>
      <c r="G8" s="61"/>
    </row>
    <row r="9" spans="1:7" x14ac:dyDescent="0.25">
      <c r="A9" s="60" t="s">
        <v>43</v>
      </c>
      <c r="B9" s="62">
        <v>-17.359567392475469</v>
      </c>
      <c r="C9" s="61">
        <v>-0.17590788064700291</v>
      </c>
      <c r="D9" s="63">
        <v>18.686694872329099</v>
      </c>
      <c r="E9" s="65"/>
      <c r="F9" s="44"/>
      <c r="G9" s="66"/>
    </row>
    <row r="10" spans="1:7" ht="36" x14ac:dyDescent="0.25">
      <c r="A10" s="60" t="s">
        <v>44</v>
      </c>
      <c r="B10" s="68">
        <v>-17.890137500000002</v>
      </c>
      <c r="C10" s="69">
        <v>3.7793228299999999</v>
      </c>
      <c r="D10" s="67" t="s">
        <v>45</v>
      </c>
      <c r="E10" s="70"/>
      <c r="F10" s="44"/>
    </row>
    <row r="11" spans="1:7" x14ac:dyDescent="0.25">
      <c r="A11" s="60" t="s">
        <v>46</v>
      </c>
      <c r="B11" s="61">
        <v>-31.678016100479979</v>
      </c>
      <c r="C11" s="61">
        <v>-27.306088808901094</v>
      </c>
      <c r="D11" s="63">
        <v>-22.741796716492743</v>
      </c>
      <c r="E11" s="70"/>
      <c r="F11" s="44"/>
    </row>
    <row r="12" spans="1:7" x14ac:dyDescent="0.25">
      <c r="A12" s="71" t="s">
        <v>47</v>
      </c>
      <c r="B12" s="73">
        <v>-22.728937500000001</v>
      </c>
      <c r="C12" s="74">
        <v>-4.5457875000000003</v>
      </c>
      <c r="D12" s="72">
        <v>0</v>
      </c>
      <c r="E12" s="70"/>
      <c r="F12" s="44"/>
    </row>
    <row r="13" spans="1:7" x14ac:dyDescent="0.25">
      <c r="A13" s="75" t="s">
        <v>48</v>
      </c>
      <c r="B13" s="77">
        <f>SUM(B14:B18)-B17</f>
        <v>-1135.0823743349474</v>
      </c>
      <c r="C13" s="78">
        <f>SUM(C14:C18)-C17</f>
        <v>-1847.2439836442131</v>
      </c>
      <c r="D13" s="79">
        <f>SUM(D14:D18)-D17</f>
        <v>-2042.8976044917492</v>
      </c>
      <c r="E13" s="44"/>
      <c r="F13" s="44"/>
    </row>
    <row r="14" spans="1:7" x14ac:dyDescent="0.25">
      <c r="A14" s="80" t="s">
        <v>49</v>
      </c>
      <c r="B14" s="82">
        <v>-641.80461433162418</v>
      </c>
      <c r="C14" s="81">
        <v>-1194.6948426397271</v>
      </c>
      <c r="D14" s="83">
        <v>-1335.6022240676434</v>
      </c>
      <c r="E14" s="44"/>
      <c r="F14" s="44"/>
    </row>
    <row r="15" spans="1:7" x14ac:dyDescent="0.25">
      <c r="A15" s="80" t="s">
        <v>50</v>
      </c>
      <c r="B15" s="82">
        <v>-25.117367566309895</v>
      </c>
      <c r="C15" s="81">
        <v>-97.928711190624654</v>
      </c>
      <c r="D15" s="83">
        <v>-131.48045569821443</v>
      </c>
      <c r="E15" s="44"/>
      <c r="F15" s="44"/>
    </row>
    <row r="16" spans="1:7" x14ac:dyDescent="0.25">
      <c r="A16" s="80" t="s">
        <v>51</v>
      </c>
      <c r="B16" s="82">
        <v>-400</v>
      </c>
      <c r="C16" s="81">
        <v>-400</v>
      </c>
      <c r="D16" s="83">
        <v>-400</v>
      </c>
      <c r="E16" s="44"/>
      <c r="F16" s="44"/>
    </row>
    <row r="17" spans="1:7" x14ac:dyDescent="0.25">
      <c r="A17" s="80" t="s">
        <v>52</v>
      </c>
      <c r="B17" s="82">
        <v>0</v>
      </c>
      <c r="C17" s="81">
        <v>0</v>
      </c>
      <c r="D17" s="83">
        <v>0</v>
      </c>
      <c r="E17" s="44"/>
      <c r="F17" s="44"/>
    </row>
    <row r="18" spans="1:7" x14ac:dyDescent="0.25">
      <c r="A18" s="84" t="s">
        <v>53</v>
      </c>
      <c r="B18" s="86">
        <v>-68.160392437013229</v>
      </c>
      <c r="C18" s="85">
        <v>-154.62042981386139</v>
      </c>
      <c r="D18" s="87">
        <v>-175.81492472589139</v>
      </c>
      <c r="E18" s="44"/>
      <c r="F18" s="44"/>
    </row>
    <row r="19" spans="1:7" x14ac:dyDescent="0.25">
      <c r="A19" s="55" t="s">
        <v>54</v>
      </c>
      <c r="B19" s="57">
        <f>SUM(B20:B22)</f>
        <v>-78.934299263706095</v>
      </c>
      <c r="C19" s="58">
        <f>SUM(C20:C22)</f>
        <v>-245.68434347709498</v>
      </c>
      <c r="D19" s="56">
        <f>SUM(D20:D22)</f>
        <v>-285.14830172103473</v>
      </c>
      <c r="E19" s="44"/>
      <c r="F19" s="44"/>
    </row>
    <row r="20" spans="1:7" x14ac:dyDescent="0.25">
      <c r="A20" s="60" t="s">
        <v>55</v>
      </c>
      <c r="B20" s="89">
        <v>12.898836000000301</v>
      </c>
      <c r="C20" s="90">
        <v>-123.44706666709499</v>
      </c>
      <c r="D20" s="88">
        <v>-165.26502491103474</v>
      </c>
      <c r="E20" s="44"/>
      <c r="F20" s="44"/>
      <c r="G20" s="66"/>
    </row>
    <row r="21" spans="1:7" x14ac:dyDescent="0.25">
      <c r="A21" s="60" t="s">
        <v>56</v>
      </c>
      <c r="B21" s="89">
        <v>-41.833135263706389</v>
      </c>
      <c r="C21" s="90">
        <v>-72.237276809999997</v>
      </c>
      <c r="D21" s="88">
        <v>-69.883276810000012</v>
      </c>
      <c r="E21" s="44"/>
      <c r="F21" s="44"/>
      <c r="G21" s="66"/>
    </row>
    <row r="22" spans="1:7" ht="24" x14ac:dyDescent="0.25">
      <c r="A22" s="71" t="s">
        <v>57</v>
      </c>
      <c r="B22" s="91">
        <v>-50</v>
      </c>
      <c r="C22" s="92">
        <v>-50</v>
      </c>
      <c r="D22" s="93">
        <v>-50</v>
      </c>
      <c r="E22" s="44"/>
      <c r="F22" s="44"/>
      <c r="G22" s="66"/>
    </row>
    <row r="23" spans="1:7" x14ac:dyDescent="0.25">
      <c r="A23" s="94" t="s">
        <v>58</v>
      </c>
      <c r="B23" s="96">
        <f>SUM(B24:B26)</f>
        <v>-230.59576754531611</v>
      </c>
      <c r="C23" s="97">
        <f>SUM(C24:C26)</f>
        <v>-228.45621699291326</v>
      </c>
      <c r="D23" s="95">
        <f>SUM(D24:D26)</f>
        <v>-151.5994937660779</v>
      </c>
      <c r="E23" s="44"/>
      <c r="F23" s="44"/>
      <c r="G23" s="66"/>
    </row>
    <row r="24" spans="1:7" ht="14.25" customHeight="1" x14ac:dyDescent="0.25">
      <c r="A24" s="80" t="s">
        <v>59</v>
      </c>
      <c r="B24" s="62">
        <v>-144.90856404627314</v>
      </c>
      <c r="C24" s="61">
        <v>-123.01046854795716</v>
      </c>
      <c r="D24" s="63">
        <v>-37.75456640071981</v>
      </c>
      <c r="E24" s="44"/>
      <c r="F24" s="44"/>
      <c r="G24" s="66"/>
    </row>
    <row r="25" spans="1:7" ht="14.25" customHeight="1" x14ac:dyDescent="0.25">
      <c r="A25" s="60" t="s">
        <v>60</v>
      </c>
      <c r="B25" s="89">
        <v>-54.591193424184787</v>
      </c>
      <c r="C25" s="90">
        <v>-69.156357293779678</v>
      </c>
      <c r="D25" s="88">
        <v>-72.208700124125713</v>
      </c>
      <c r="E25" s="44"/>
      <c r="F25" s="44"/>
      <c r="G25" s="66"/>
    </row>
    <row r="26" spans="1:7" ht="14.25" customHeight="1" x14ac:dyDescent="0.25">
      <c r="A26" s="60" t="s">
        <v>61</v>
      </c>
      <c r="B26" s="89">
        <v>-31.096010074858185</v>
      </c>
      <c r="C26" s="90">
        <v>-36.289391151176403</v>
      </c>
      <c r="D26" s="88">
        <v>-41.636227241232376</v>
      </c>
      <c r="E26" s="44"/>
      <c r="F26" s="44"/>
      <c r="G26" s="66"/>
    </row>
    <row r="27" spans="1:7" ht="14.25" customHeight="1" x14ac:dyDescent="0.25">
      <c r="A27" s="75" t="s">
        <v>62</v>
      </c>
      <c r="B27" s="57">
        <v>-205.69277191263635</v>
      </c>
      <c r="C27" s="58">
        <v>-13.666898466968348</v>
      </c>
      <c r="D27" s="56">
        <v>-150.55684779173566</v>
      </c>
      <c r="E27" s="44"/>
      <c r="F27" s="44"/>
      <c r="G27" s="66"/>
    </row>
    <row r="28" spans="1:7" ht="14.25" customHeight="1" x14ac:dyDescent="0.25">
      <c r="A28" s="75" t="s">
        <v>63</v>
      </c>
      <c r="B28" s="99">
        <f>SUM(B29:B32)</f>
        <v>-151.04986439049401</v>
      </c>
      <c r="C28" s="99">
        <f t="shared" ref="C28:D28" si="2">SUM(C29:C32)</f>
        <v>-170.57669503075576</v>
      </c>
      <c r="D28" s="76">
        <f t="shared" si="2"/>
        <v>-111.31038151771588</v>
      </c>
      <c r="E28" s="44"/>
      <c r="F28" s="44"/>
      <c r="G28" s="66"/>
    </row>
    <row r="29" spans="1:7" ht="14.25" customHeight="1" x14ac:dyDescent="0.25">
      <c r="A29" s="80" t="s">
        <v>65</v>
      </c>
      <c r="B29" s="61">
        <v>-90</v>
      </c>
      <c r="C29" s="61">
        <v>-180</v>
      </c>
      <c r="D29" s="63">
        <v>-190</v>
      </c>
      <c r="E29" s="44"/>
      <c r="F29" s="44"/>
      <c r="G29" s="66"/>
    </row>
    <row r="30" spans="1:7" ht="14.25" customHeight="1" x14ac:dyDescent="0.25">
      <c r="A30" s="80" t="s">
        <v>66</v>
      </c>
      <c r="B30" s="61">
        <v>-118.504</v>
      </c>
      <c r="C30" s="61">
        <v>-118.504</v>
      </c>
      <c r="D30" s="63">
        <v>-118.504</v>
      </c>
      <c r="E30" s="44"/>
      <c r="F30" s="44"/>
      <c r="G30" s="66"/>
    </row>
    <row r="31" spans="1:7" ht="14.25" customHeight="1" x14ac:dyDescent="0.25">
      <c r="A31" s="80" t="s">
        <v>67</v>
      </c>
      <c r="B31" s="61">
        <v>24.716599223018363</v>
      </c>
      <c r="C31" s="61">
        <v>30.245525129632654</v>
      </c>
      <c r="D31" s="63">
        <v>0.89118605589629851</v>
      </c>
      <c r="E31" s="44"/>
      <c r="F31" s="44"/>
      <c r="G31" s="66"/>
    </row>
    <row r="32" spans="1:7" x14ac:dyDescent="0.25">
      <c r="A32" s="84" t="s">
        <v>68</v>
      </c>
      <c r="B32" s="101">
        <v>32.737536386487655</v>
      </c>
      <c r="C32" s="101">
        <v>97.681779839611607</v>
      </c>
      <c r="D32" s="100">
        <v>196.30243242638784</v>
      </c>
      <c r="E32" s="44"/>
      <c r="F32" s="44"/>
      <c r="G32" s="66"/>
    </row>
    <row r="33" spans="1:7" ht="15" customHeight="1" x14ac:dyDescent="0.25">
      <c r="A33" s="102" t="s">
        <v>69</v>
      </c>
      <c r="B33" s="1524" t="s">
        <v>45</v>
      </c>
      <c r="C33" s="1525"/>
      <c r="D33" s="1526"/>
      <c r="E33" s="44"/>
      <c r="F33" s="44"/>
      <c r="G33" s="66"/>
    </row>
    <row r="34" spans="1:7" ht="30" customHeight="1" x14ac:dyDescent="0.25">
      <c r="A34" s="55" t="s">
        <v>86</v>
      </c>
      <c r="B34" s="1524" t="s">
        <v>70</v>
      </c>
      <c r="C34" s="1525"/>
      <c r="D34" s="1526"/>
      <c r="E34" s="70"/>
      <c r="F34" s="44"/>
      <c r="G34" s="66"/>
    </row>
    <row r="35" spans="1:7" ht="15" customHeight="1" x14ac:dyDescent="0.25">
      <c r="A35" s="109" t="s">
        <v>87</v>
      </c>
      <c r="B35" s="1524" t="s">
        <v>45</v>
      </c>
      <c r="C35" s="1525"/>
      <c r="D35" s="1526"/>
      <c r="E35" s="70"/>
      <c r="F35" s="44"/>
      <c r="G35" s="66"/>
    </row>
    <row r="36" spans="1:7" x14ac:dyDescent="0.25">
      <c r="A36" s="113" t="s">
        <v>83</v>
      </c>
      <c r="B36" s="113"/>
      <c r="D36" s="114" t="s">
        <v>84</v>
      </c>
      <c r="E36" s="115"/>
    </row>
  </sheetData>
  <mergeCells count="4">
    <mergeCell ref="A1:D1"/>
    <mergeCell ref="B33:D33"/>
    <mergeCell ref="B34:D34"/>
    <mergeCell ref="B35:D35"/>
  </mergeCells>
  <pageMargins left="0.7" right="0.7" top="0.75" bottom="0.75" header="0.3" footer="0.3"/>
  <pageSetup paperSize="9" scale="46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3B9E-3524-4AFE-81E0-6F25F668011E}">
  <sheetPr codeName="Sheet4">
    <pageSetUpPr fitToPage="1"/>
  </sheetPr>
  <dimension ref="A1:G14"/>
  <sheetViews>
    <sheetView showGridLines="0" workbookViewId="0">
      <selection sqref="A1:D1"/>
    </sheetView>
  </sheetViews>
  <sheetFormatPr defaultRowHeight="15" x14ac:dyDescent="0.25"/>
  <cols>
    <col min="1" max="1" width="47.85546875" customWidth="1"/>
    <col min="3" max="3" width="9" customWidth="1"/>
    <col min="7" max="7" width="10.7109375" customWidth="1"/>
  </cols>
  <sheetData>
    <row r="1" spans="1:7" x14ac:dyDescent="0.25">
      <c r="A1" s="1523" t="s">
        <v>88</v>
      </c>
      <c r="B1" s="1523"/>
      <c r="C1" s="1523"/>
      <c r="D1" s="1523"/>
      <c r="G1" s="44"/>
    </row>
    <row r="2" spans="1:7" x14ac:dyDescent="0.25">
      <c r="A2" s="45"/>
      <c r="B2" s="46">
        <v>2019</v>
      </c>
      <c r="C2" s="47">
        <v>2020</v>
      </c>
      <c r="D2" s="48">
        <v>2021</v>
      </c>
    </row>
    <row r="3" spans="1:7" ht="15" customHeight="1" x14ac:dyDescent="0.25">
      <c r="A3" s="103" t="s">
        <v>71</v>
      </c>
      <c r="B3" s="104">
        <f>SUM(B5,B12)</f>
        <v>1528.4982839999998</v>
      </c>
      <c r="C3" s="104">
        <f>SUM(C5,C12)</f>
        <v>2095.8313659999999</v>
      </c>
      <c r="D3" s="105">
        <f>SUM(D5,D12)</f>
        <v>2468.1072649999996</v>
      </c>
      <c r="E3" s="70"/>
      <c r="F3" s="44"/>
      <c r="G3" s="66"/>
    </row>
    <row r="4" spans="1:7" x14ac:dyDescent="0.25">
      <c r="A4" s="49" t="s">
        <v>39</v>
      </c>
      <c r="B4" s="106">
        <v>1.5800514343393055</v>
      </c>
      <c r="C4" s="107">
        <v>2.0342828029445643</v>
      </c>
      <c r="D4" s="52">
        <v>2.2622390783567936</v>
      </c>
      <c r="E4" s="44"/>
      <c r="F4" s="44"/>
      <c r="G4" s="66"/>
    </row>
    <row r="5" spans="1:7" x14ac:dyDescent="0.25">
      <c r="A5" s="55" t="s">
        <v>72</v>
      </c>
      <c r="B5" s="96">
        <f>SUM(B6:B11)</f>
        <v>1409.9942839999999</v>
      </c>
      <c r="C5" s="97">
        <f>SUM(C6:C11)</f>
        <v>1977.327366</v>
      </c>
      <c r="D5" s="95">
        <f>SUM(D6:D11)</f>
        <v>2349.6032649999997</v>
      </c>
      <c r="E5" s="44"/>
      <c r="F5" s="44"/>
      <c r="G5" s="66"/>
    </row>
    <row r="6" spans="1:7" x14ac:dyDescent="0.25">
      <c r="A6" s="60" t="s">
        <v>73</v>
      </c>
      <c r="B6" s="89">
        <v>400</v>
      </c>
      <c r="C6" s="90">
        <v>400</v>
      </c>
      <c r="D6" s="88">
        <v>400</v>
      </c>
      <c r="E6" s="108"/>
      <c r="F6" s="44"/>
      <c r="G6" s="66"/>
    </row>
    <row r="7" spans="1:7" x14ac:dyDescent="0.25">
      <c r="A7" s="60" t="s">
        <v>74</v>
      </c>
      <c r="B7" s="89">
        <v>592.22834799999998</v>
      </c>
      <c r="C7" s="90">
        <v>1137.6579139999999</v>
      </c>
      <c r="D7" s="88">
        <v>1265.486519</v>
      </c>
      <c r="E7" s="44"/>
      <c r="F7" s="44"/>
      <c r="G7" s="66"/>
    </row>
    <row r="8" spans="1:7" x14ac:dyDescent="0.25">
      <c r="A8" s="60" t="s">
        <v>75</v>
      </c>
      <c r="B8" s="89">
        <v>217.76593600000001</v>
      </c>
      <c r="C8" s="90">
        <v>259.66945199999998</v>
      </c>
      <c r="D8" s="88">
        <v>184.11674600000001</v>
      </c>
      <c r="E8" s="44"/>
      <c r="F8" s="44"/>
      <c r="G8" s="66"/>
    </row>
    <row r="9" spans="1:7" x14ac:dyDescent="0.25">
      <c r="A9" s="60" t="s">
        <v>76</v>
      </c>
      <c r="B9" s="89">
        <v>50</v>
      </c>
      <c r="C9" s="90">
        <v>0</v>
      </c>
      <c r="D9" s="88">
        <v>0</v>
      </c>
      <c r="E9" s="44"/>
      <c r="F9" s="44"/>
      <c r="G9" s="66"/>
    </row>
    <row r="10" spans="1:7" x14ac:dyDescent="0.25">
      <c r="A10" s="60" t="s">
        <v>79</v>
      </c>
      <c r="B10" s="89">
        <v>150</v>
      </c>
      <c r="C10" s="90">
        <v>0</v>
      </c>
      <c r="D10" s="88">
        <v>0</v>
      </c>
      <c r="E10" s="44"/>
      <c r="F10" s="44"/>
      <c r="G10" s="66"/>
    </row>
    <row r="11" spans="1:7" x14ac:dyDescent="0.25">
      <c r="A11" s="84" t="s">
        <v>80</v>
      </c>
      <c r="B11" s="91">
        <v>0</v>
      </c>
      <c r="C11" s="92">
        <v>180</v>
      </c>
      <c r="D11" s="93">
        <v>500</v>
      </c>
      <c r="E11" s="44"/>
      <c r="F11" s="44"/>
      <c r="G11" s="66"/>
    </row>
    <row r="12" spans="1:7" x14ac:dyDescent="0.25">
      <c r="A12" s="109" t="s">
        <v>81</v>
      </c>
      <c r="B12" s="110">
        <v>118.504</v>
      </c>
      <c r="C12" s="111">
        <v>118.504</v>
      </c>
      <c r="D12" s="112">
        <v>118.504</v>
      </c>
      <c r="E12" s="44"/>
      <c r="F12" s="44"/>
      <c r="G12" s="66"/>
    </row>
    <row r="13" spans="1:7" x14ac:dyDescent="0.25">
      <c r="A13" s="119" t="s">
        <v>82</v>
      </c>
      <c r="B13" s="120">
        <f>-0.232871211023621-6.464</f>
        <v>-6.6968712110236215</v>
      </c>
      <c r="C13" s="121">
        <f>1.19034449651326-14.847</f>
        <v>-13.656655503486739</v>
      </c>
      <c r="D13" s="122">
        <f>4.96355570904757-18.518</f>
        <v>-13.55444429095243</v>
      </c>
      <c r="E13" s="44"/>
      <c r="F13" s="44"/>
      <c r="G13" s="66"/>
    </row>
    <row r="14" spans="1:7" x14ac:dyDescent="0.25">
      <c r="A14" s="113" t="s">
        <v>83</v>
      </c>
      <c r="B14" s="113"/>
      <c r="D14" s="114" t="s">
        <v>84</v>
      </c>
    </row>
  </sheetData>
  <mergeCells count="1">
    <mergeCell ref="A1:D1"/>
  </mergeCells>
  <pageMargins left="0.7" right="0.7" top="0.75" bottom="0.75" header="0.3" footer="0.3"/>
  <pageSetup paperSize="9"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665A-ECBD-4380-9D66-41E5480E09BD}">
  <sheetPr codeName="Sheet5"/>
  <dimension ref="A1:G25"/>
  <sheetViews>
    <sheetView showGridLines="0" workbookViewId="0">
      <selection sqref="A1:F1"/>
    </sheetView>
  </sheetViews>
  <sheetFormatPr defaultRowHeight="15" x14ac:dyDescent="0.25"/>
  <cols>
    <col min="1" max="1" width="37.28515625" customWidth="1"/>
  </cols>
  <sheetData>
    <row r="1" spans="1:7" x14ac:dyDescent="0.25">
      <c r="A1" s="1527" t="s">
        <v>102</v>
      </c>
      <c r="B1" s="1527"/>
      <c r="C1" s="1527"/>
      <c r="D1" s="1527"/>
      <c r="E1" s="1527"/>
      <c r="F1" s="1527"/>
    </row>
    <row r="2" spans="1:7" x14ac:dyDescent="0.25">
      <c r="A2" s="123"/>
      <c r="B2" s="123">
        <v>2017</v>
      </c>
      <c r="C2" s="123">
        <f>B2+1</f>
        <v>2018</v>
      </c>
      <c r="D2" s="123">
        <f t="shared" ref="D2:F2" si="0">C2+1</f>
        <v>2019</v>
      </c>
      <c r="E2" s="123">
        <f t="shared" si="0"/>
        <v>2020</v>
      </c>
      <c r="F2" s="123">
        <f t="shared" si="0"/>
        <v>2021</v>
      </c>
    </row>
    <row r="3" spans="1:7" x14ac:dyDescent="0.25">
      <c r="A3" s="124" t="s">
        <v>105</v>
      </c>
      <c r="B3" s="125"/>
      <c r="C3" s="125">
        <v>-742.8</v>
      </c>
      <c r="D3" s="125">
        <v>-96.9</v>
      </c>
      <c r="E3" s="125">
        <v>0</v>
      </c>
      <c r="F3" s="125">
        <v>218.5</v>
      </c>
      <c r="G3" s="124"/>
    </row>
    <row r="4" spans="1:7" x14ac:dyDescent="0.25">
      <c r="A4" s="126" t="s">
        <v>39</v>
      </c>
      <c r="B4" s="127">
        <v>-0.77701002582176493</v>
      </c>
      <c r="C4" s="127">
        <v>-0.83</v>
      </c>
      <c r="D4" s="127">
        <f>D3/D14*100</f>
        <v>-0.10000995671030496</v>
      </c>
      <c r="E4" s="127">
        <f>E3/E14*100</f>
        <v>0</v>
      </c>
      <c r="F4" s="127">
        <f>F3/F14*100</f>
        <v>0.19995814739133116</v>
      </c>
      <c r="G4" s="124"/>
    </row>
    <row r="5" spans="1:7" x14ac:dyDescent="0.25">
      <c r="A5" s="124" t="s">
        <v>106</v>
      </c>
      <c r="B5" s="125"/>
      <c r="C5" s="125">
        <v>-205.3276958906286</v>
      </c>
      <c r="D5" s="125">
        <v>-2105.1836071510793</v>
      </c>
      <c r="E5" s="125">
        <v>-2677.0082544749803</v>
      </c>
      <c r="F5" s="125">
        <v>-2880.5971754234297</v>
      </c>
      <c r="G5" s="124"/>
    </row>
    <row r="6" spans="1:7" x14ac:dyDescent="0.25">
      <c r="A6" s="124" t="s">
        <v>107</v>
      </c>
      <c r="B6" s="125"/>
      <c r="C6" s="125">
        <v>118.12769395645108</v>
      </c>
      <c r="D6" s="125">
        <v>1528.4982839999998</v>
      </c>
      <c r="E6" s="125">
        <v>2095.8313659999999</v>
      </c>
      <c r="F6" s="125">
        <v>2468.1072649999996</v>
      </c>
      <c r="G6" s="124"/>
    </row>
    <row r="7" spans="1:7" x14ac:dyDescent="0.25">
      <c r="A7" s="124" t="s">
        <v>108</v>
      </c>
      <c r="B7" s="125"/>
      <c r="C7" s="125">
        <f>C3+C5+C6</f>
        <v>-830.00000193417736</v>
      </c>
      <c r="D7" s="125">
        <f>D3+D5+D6</f>
        <v>-673.58532315107959</v>
      </c>
      <c r="E7" s="125">
        <f t="shared" ref="E7:F7" si="1">E3+E5+E6</f>
        <v>-581.17688847498039</v>
      </c>
      <c r="F7" s="125">
        <f t="shared" si="1"/>
        <v>-193.98991042343005</v>
      </c>
      <c r="G7" s="124"/>
    </row>
    <row r="8" spans="1:7" x14ac:dyDescent="0.25">
      <c r="A8" s="126" t="s">
        <v>39</v>
      </c>
      <c r="B8" s="128">
        <f>B4</f>
        <v>-0.77701002582176493</v>
      </c>
      <c r="C8" s="128">
        <f>C7/C15*100</f>
        <v>-0.91894846955563048</v>
      </c>
      <c r="D8" s="128">
        <f>D7/D15*100</f>
        <v>-0.69630399139837573</v>
      </c>
      <c r="E8" s="128">
        <f>E7/E15*100</f>
        <v>-0.5641093882233098</v>
      </c>
      <c r="F8" s="128">
        <f>F7/F15*100</f>
        <v>-0.17780894792950475</v>
      </c>
      <c r="G8" s="124"/>
    </row>
    <row r="9" spans="1:7" x14ac:dyDescent="0.25">
      <c r="A9" s="129" t="s">
        <v>109</v>
      </c>
      <c r="B9" s="35"/>
      <c r="C9" s="35">
        <f>C4*C15/100-C7</f>
        <v>80.338813708363205</v>
      </c>
      <c r="D9" s="35">
        <f>D4*D15/100-D7</f>
        <v>576.83844270630755</v>
      </c>
      <c r="E9" s="35">
        <f>E4*E15/100-E7</f>
        <v>581.17688847498039</v>
      </c>
      <c r="F9" s="35">
        <f>F4*F15/100-F7</f>
        <v>412.1446408381122</v>
      </c>
      <c r="G9" s="124"/>
    </row>
    <row r="10" spans="1:7" x14ac:dyDescent="0.25">
      <c r="A10" s="130" t="s">
        <v>39</v>
      </c>
      <c r="B10" s="131"/>
      <c r="C10" s="131">
        <f>C4-C8</f>
        <v>8.8948469555630516E-2</v>
      </c>
      <c r="D10" s="131">
        <f>D4-D8</f>
        <v>0.59629403468807074</v>
      </c>
      <c r="E10" s="131">
        <f>E4-E8</f>
        <v>0.5641093882233098</v>
      </c>
      <c r="F10" s="131">
        <f>F4-F8</f>
        <v>0.37776709532083591</v>
      </c>
      <c r="G10" s="124"/>
    </row>
    <row r="11" spans="1:7" x14ac:dyDescent="0.25">
      <c r="A11" s="151" t="s">
        <v>103</v>
      </c>
      <c r="B11" s="124"/>
      <c r="C11" s="124"/>
      <c r="D11" s="124"/>
      <c r="E11" s="1528" t="s">
        <v>89</v>
      </c>
      <c r="F11" s="1528"/>
      <c r="G11" s="124"/>
    </row>
    <row r="12" spans="1:7" x14ac:dyDescent="0.25">
      <c r="A12" s="151" t="s">
        <v>104</v>
      </c>
      <c r="B12" s="124"/>
      <c r="C12" s="124"/>
      <c r="D12" s="124"/>
      <c r="E12" s="124"/>
      <c r="F12" s="124"/>
      <c r="G12" s="124"/>
    </row>
    <row r="13" spans="1:7" x14ac:dyDescent="0.25">
      <c r="A13" s="151"/>
      <c r="B13" s="124"/>
      <c r="C13" s="124"/>
      <c r="D13" s="124"/>
      <c r="E13" s="124"/>
      <c r="F13" s="124"/>
      <c r="G13" s="124"/>
    </row>
    <row r="14" spans="1:7" x14ac:dyDescent="0.25">
      <c r="A14" s="124" t="s">
        <v>90</v>
      </c>
      <c r="B14" s="125">
        <v>84985.19200000001</v>
      </c>
      <c r="C14" s="125">
        <v>90463.573923396703</v>
      </c>
      <c r="D14" s="125">
        <v>96890.352908247471</v>
      </c>
      <c r="E14" s="125">
        <v>103188.62243412464</v>
      </c>
      <c r="F14" s="125">
        <v>109272.86677265579</v>
      </c>
      <c r="G14" s="124"/>
    </row>
    <row r="15" spans="1:7" x14ac:dyDescent="0.25">
      <c r="A15" s="124" t="s">
        <v>101</v>
      </c>
      <c r="B15" s="125">
        <v>84850.9</v>
      </c>
      <c r="C15" s="125">
        <f>C14*($B$15/$B$14)</f>
        <v>90320.625087447479</v>
      </c>
      <c r="D15" s="125">
        <f>D14*($B$15/$B$14)</f>
        <v>96737.248597172249</v>
      </c>
      <c r="E15" s="125">
        <f>E14*($B$15/$B$14)</f>
        <v>103025.56571615046</v>
      </c>
      <c r="F15" s="125">
        <f>F14*($B$15/$B$14)</f>
        <v>109100.19584635331</v>
      </c>
      <c r="G15" s="124"/>
    </row>
    <row r="16" spans="1:7" x14ac:dyDescent="0.25">
      <c r="A16" s="124"/>
      <c r="B16" s="124"/>
      <c r="C16" s="124"/>
      <c r="D16" s="124"/>
      <c r="E16" s="124"/>
      <c r="F16" s="124"/>
      <c r="G16" s="124"/>
    </row>
    <row r="17" spans="1:7" x14ac:dyDescent="0.25">
      <c r="A17" s="124"/>
      <c r="B17" s="132"/>
      <c r="C17" s="132"/>
      <c r="D17" s="132"/>
      <c r="E17" s="132"/>
      <c r="F17" s="132"/>
      <c r="G17" s="124"/>
    </row>
    <row r="18" spans="1:7" x14ac:dyDescent="0.25">
      <c r="A18" s="124"/>
      <c r="B18" s="132"/>
      <c r="C18" s="132"/>
      <c r="D18" s="132"/>
      <c r="E18" s="132"/>
      <c r="F18" s="132"/>
      <c r="G18" s="124"/>
    </row>
    <row r="19" spans="1:7" x14ac:dyDescent="0.25">
      <c r="A19" s="124"/>
      <c r="B19" s="124"/>
      <c r="C19" s="124"/>
      <c r="D19" s="124"/>
      <c r="E19" s="124"/>
      <c r="F19" s="124"/>
      <c r="G19" s="124"/>
    </row>
    <row r="20" spans="1:7" x14ac:dyDescent="0.25">
      <c r="A20" s="124"/>
      <c r="B20" s="124"/>
      <c r="C20" s="124"/>
      <c r="D20" s="124"/>
      <c r="E20" s="124"/>
      <c r="F20" s="124"/>
      <c r="G20" s="124"/>
    </row>
    <row r="21" spans="1:7" x14ac:dyDescent="0.25">
      <c r="A21" s="133"/>
      <c r="B21" s="133"/>
      <c r="C21" s="134"/>
      <c r="D21" s="124"/>
      <c r="E21" s="124"/>
      <c r="F21" s="124"/>
      <c r="G21" s="124"/>
    </row>
    <row r="22" spans="1:7" x14ac:dyDescent="0.25">
      <c r="A22" s="133"/>
      <c r="B22" s="133"/>
      <c r="C22" s="135"/>
      <c r="D22" s="124"/>
      <c r="E22" s="124"/>
      <c r="F22" s="124"/>
      <c r="G22" s="124"/>
    </row>
    <row r="23" spans="1:7" x14ac:dyDescent="0.25">
      <c r="A23" s="124"/>
      <c r="B23" s="124"/>
      <c r="C23" s="136"/>
      <c r="D23" s="124"/>
      <c r="E23" s="124"/>
      <c r="F23" s="124"/>
      <c r="G23" s="124"/>
    </row>
    <row r="24" spans="1:7" x14ac:dyDescent="0.25">
      <c r="A24" s="124"/>
      <c r="B24" s="124"/>
      <c r="C24" s="124"/>
      <c r="D24" s="124"/>
      <c r="E24" s="124"/>
      <c r="F24" s="124"/>
      <c r="G24" s="124"/>
    </row>
    <row r="25" spans="1:7" x14ac:dyDescent="0.25">
      <c r="A25" s="124"/>
      <c r="B25" s="124"/>
      <c r="C25" s="124"/>
      <c r="D25" s="124"/>
      <c r="E25" s="124"/>
      <c r="F25" s="124"/>
      <c r="G25" s="124"/>
    </row>
  </sheetData>
  <mergeCells count="2">
    <mergeCell ref="A1:F1"/>
    <mergeCell ref="E11:F11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3B47-38FF-4BB5-9537-7576ED81B770}">
  <sheetPr codeName="Sheet6">
    <pageSetUpPr fitToPage="1"/>
  </sheetPr>
  <dimension ref="A1:I18"/>
  <sheetViews>
    <sheetView showGridLines="0" workbookViewId="0">
      <selection sqref="A1:G1"/>
    </sheetView>
  </sheetViews>
  <sheetFormatPr defaultRowHeight="15" x14ac:dyDescent="0.25"/>
  <cols>
    <col min="1" max="1" width="46.7109375" customWidth="1"/>
  </cols>
  <sheetData>
    <row r="1" spans="1:9" x14ac:dyDescent="0.25">
      <c r="A1" s="1518" t="s">
        <v>112</v>
      </c>
      <c r="B1" s="1518"/>
      <c r="C1" s="1518"/>
      <c r="D1" s="1518"/>
      <c r="E1" s="1518"/>
      <c r="F1" s="1518"/>
      <c r="G1" s="1518"/>
    </row>
    <row r="2" spans="1:9" x14ac:dyDescent="0.25">
      <c r="A2" s="123"/>
      <c r="B2" s="123">
        <v>2016</v>
      </c>
      <c r="C2" s="123">
        <f>B2+1</f>
        <v>2017</v>
      </c>
      <c r="D2" s="123">
        <f t="shared" ref="D2:G2" si="0">C2+1</f>
        <v>2018</v>
      </c>
      <c r="E2" s="123">
        <f t="shared" si="0"/>
        <v>2019</v>
      </c>
      <c r="F2" s="123">
        <f t="shared" si="0"/>
        <v>2020</v>
      </c>
      <c r="G2" s="123">
        <f t="shared" si="0"/>
        <v>2021</v>
      </c>
    </row>
    <row r="3" spans="1:9" x14ac:dyDescent="0.25">
      <c r="A3" s="137" t="s">
        <v>91</v>
      </c>
      <c r="B3" s="138">
        <v>42053</v>
      </c>
      <c r="C3" s="138">
        <v>43230</v>
      </c>
      <c r="D3" s="138">
        <v>43968</v>
      </c>
      <c r="E3" s="138">
        <v>45719</v>
      </c>
      <c r="F3" s="138">
        <v>47381</v>
      </c>
      <c r="G3" s="138">
        <v>48894</v>
      </c>
      <c r="I3" s="44"/>
    </row>
    <row r="4" spans="1:9" x14ac:dyDescent="0.25">
      <c r="A4" s="139" t="s">
        <v>39</v>
      </c>
      <c r="B4" s="140">
        <v>51.818786034437302</v>
      </c>
      <c r="C4" s="140">
        <v>50.867685278630645</v>
      </c>
      <c r="D4" s="140">
        <v>48.60298802392164</v>
      </c>
      <c r="E4" s="140">
        <v>47.186328285226345</v>
      </c>
      <c r="F4" s="140">
        <v>45.916883937711169</v>
      </c>
      <c r="G4" s="140">
        <v>44.744868002525152</v>
      </c>
    </row>
    <row r="5" spans="1:9" x14ac:dyDescent="0.25">
      <c r="A5" s="129" t="s">
        <v>92</v>
      </c>
      <c r="B5" s="141"/>
      <c r="C5" s="141"/>
      <c r="D5" s="141">
        <f>SUM(D6:D8)</f>
        <v>43.031051874701461</v>
      </c>
      <c r="E5" s="141">
        <f>SUM(E6:E8)</f>
        <v>745.50773975518632</v>
      </c>
      <c r="F5" s="141">
        <f>SUM(F6:F8)</f>
        <v>497.92584234796692</v>
      </c>
      <c r="G5" s="141">
        <f>SUM(G6:G8)</f>
        <v>361.18604513901016</v>
      </c>
    </row>
    <row r="6" spans="1:9" x14ac:dyDescent="0.25">
      <c r="A6" s="142" t="s">
        <v>93</v>
      </c>
      <c r="B6" s="141"/>
      <c r="C6" s="141"/>
      <c r="D6" s="141">
        <v>43.031051874701461</v>
      </c>
      <c r="E6" s="141">
        <v>505.5711590027073</v>
      </c>
      <c r="F6" s="141">
        <v>488.08731039815132</v>
      </c>
      <c r="G6" s="141">
        <v>344.01491042343025</v>
      </c>
    </row>
    <row r="7" spans="1:9" x14ac:dyDescent="0.25">
      <c r="A7" s="142" t="s">
        <v>94</v>
      </c>
      <c r="B7" s="141"/>
      <c r="C7" s="141"/>
      <c r="D7" s="143">
        <v>0</v>
      </c>
      <c r="E7" s="143">
        <v>239.49020000000002</v>
      </c>
      <c r="F7" s="143">
        <v>0</v>
      </c>
      <c r="G7" s="143">
        <v>0</v>
      </c>
    </row>
    <row r="8" spans="1:9" x14ac:dyDescent="0.25">
      <c r="A8" s="142" t="s">
        <v>95</v>
      </c>
      <c r="B8" s="141"/>
      <c r="C8" s="141"/>
      <c r="D8" s="141">
        <v>0</v>
      </c>
      <c r="E8" s="141">
        <v>0.44638075247898484</v>
      </c>
      <c r="F8" s="141">
        <v>9.8385319498155859</v>
      </c>
      <c r="G8" s="141">
        <v>17.171134715579893</v>
      </c>
    </row>
    <row r="9" spans="1:9" x14ac:dyDescent="0.25">
      <c r="A9" s="129" t="s">
        <v>96</v>
      </c>
      <c r="B9" s="141">
        <f>B3</f>
        <v>42053</v>
      </c>
      <c r="C9" s="141">
        <f>C3</f>
        <v>43230</v>
      </c>
      <c r="D9" s="141">
        <f>D3+D5</f>
        <v>44011.031051874699</v>
      </c>
      <c r="E9" s="141">
        <f>D9+(E3-D3)+E5</f>
        <v>46507.538791629886</v>
      </c>
      <c r="F9" s="141">
        <f>E9+(F3-E3)+F5</f>
        <v>48667.464633977856</v>
      </c>
      <c r="G9" s="141">
        <f>F9+(G3-F3)+G5</f>
        <v>50541.650679116865</v>
      </c>
      <c r="H9" s="34"/>
    </row>
    <row r="10" spans="1:9" x14ac:dyDescent="0.25">
      <c r="A10" s="144" t="s">
        <v>39</v>
      </c>
      <c r="B10" s="155">
        <v>51.772784829816899</v>
      </c>
      <c r="C10" s="155">
        <v>50.867685278630645</v>
      </c>
      <c r="D10" s="155">
        <v>48.65055529327487</v>
      </c>
      <c r="E10" s="155">
        <v>48.000174832339873</v>
      </c>
      <c r="F10" s="155">
        <v>47.163595642578763</v>
      </c>
      <c r="G10" s="155">
        <v>46.252699477785001</v>
      </c>
    </row>
    <row r="11" spans="1:9" x14ac:dyDescent="0.25">
      <c r="A11" s="144" t="s">
        <v>97</v>
      </c>
      <c r="B11" s="146"/>
      <c r="C11" s="146">
        <v>8.0507374599902981E-2</v>
      </c>
      <c r="D11" s="146">
        <v>7.6998362674352006E-2</v>
      </c>
      <c r="E11" s="146">
        <v>7.5969017165239405E-2</v>
      </c>
      <c r="F11" s="146">
        <v>7.4644978262272677E-2</v>
      </c>
      <c r="G11" s="146">
        <v>7.3203319213727136E-2</v>
      </c>
    </row>
    <row r="12" spans="1:9" x14ac:dyDescent="0.25">
      <c r="A12" s="139" t="s">
        <v>98</v>
      </c>
      <c r="B12" s="140"/>
      <c r="C12" s="140">
        <f>C10+C11</f>
        <v>50.948192653230549</v>
      </c>
      <c r="D12" s="140">
        <f>D10+D11</f>
        <v>48.727553655949222</v>
      </c>
      <c r="E12" s="140">
        <f t="shared" ref="E12:G12" si="1">E10+E11</f>
        <v>48.076143849505115</v>
      </c>
      <c r="F12" s="140">
        <f t="shared" si="1"/>
        <v>47.238240620841033</v>
      </c>
      <c r="G12" s="140">
        <f t="shared" si="1"/>
        <v>46.325902796998726</v>
      </c>
      <c r="H12" s="98"/>
    </row>
    <row r="13" spans="1:9" x14ac:dyDescent="0.25">
      <c r="A13" s="152" t="s">
        <v>110</v>
      </c>
      <c r="B13" s="147"/>
      <c r="C13" s="147">
        <v>0.98035223351527723</v>
      </c>
      <c r="D13" s="147">
        <v>1.037345667911544</v>
      </c>
      <c r="E13" s="147">
        <v>1.259832822181141</v>
      </c>
      <c r="F13" s="147">
        <v>1.4726294845809678</v>
      </c>
      <c r="G13" s="147">
        <v>1.6363122531803078</v>
      </c>
    </row>
    <row r="14" spans="1:9" x14ac:dyDescent="0.25">
      <c r="A14" s="152" t="s">
        <v>111</v>
      </c>
      <c r="B14" s="147"/>
      <c r="C14" s="153">
        <v>50</v>
      </c>
      <c r="D14" s="153">
        <v>49</v>
      </c>
      <c r="E14" s="154">
        <v>48</v>
      </c>
      <c r="F14" s="153">
        <v>47</v>
      </c>
      <c r="G14" s="153">
        <v>46</v>
      </c>
    </row>
    <row r="15" spans="1:9" ht="33.75" customHeight="1" x14ac:dyDescent="0.25">
      <c r="A15" s="1529" t="s">
        <v>99</v>
      </c>
      <c r="B15" s="1529"/>
      <c r="C15" s="1529"/>
      <c r="D15" s="1529"/>
      <c r="E15" s="1528" t="s">
        <v>100</v>
      </c>
      <c r="F15" s="1530"/>
      <c r="G15" s="1530"/>
    </row>
    <row r="16" spans="1:9" x14ac:dyDescent="0.25">
      <c r="A16" s="129"/>
      <c r="B16" s="129"/>
      <c r="C16" s="129"/>
      <c r="D16" s="129"/>
      <c r="E16" s="129"/>
      <c r="F16" s="129"/>
      <c r="G16" s="148"/>
    </row>
    <row r="17" spans="1:7" x14ac:dyDescent="0.25">
      <c r="A17" s="129"/>
      <c r="B17" s="129"/>
      <c r="C17" s="129"/>
      <c r="D17" s="129"/>
      <c r="E17" s="129"/>
      <c r="F17" s="129"/>
      <c r="G17" s="129"/>
    </row>
    <row r="18" spans="1:7" x14ac:dyDescent="0.25">
      <c r="A18" s="129"/>
      <c r="B18" s="129"/>
      <c r="C18" s="129"/>
      <c r="D18" s="129"/>
      <c r="E18" s="129"/>
      <c r="F18" s="129"/>
      <c r="G18" s="129"/>
    </row>
  </sheetData>
  <mergeCells count="3">
    <mergeCell ref="A1:G1"/>
    <mergeCell ref="A15:D15"/>
    <mergeCell ref="E15:G15"/>
  </mergeCells>
  <pageMargins left="0.7" right="0.7" top="0.75" bottom="0.75" header="0.3" footer="0.3"/>
  <pageSetup paperSize="9" scale="9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E26F-579E-4701-9CC9-2BC5A141A55B}">
  <sheetPr codeName="Sheet7"/>
  <dimension ref="A1:G8"/>
  <sheetViews>
    <sheetView showGridLines="0" workbookViewId="0"/>
  </sheetViews>
  <sheetFormatPr defaultRowHeight="15" x14ac:dyDescent="0.25"/>
  <cols>
    <col min="1" max="1" width="31.28515625" customWidth="1"/>
  </cols>
  <sheetData>
    <row r="1" spans="1:7" x14ac:dyDescent="0.25">
      <c r="A1" s="156" t="s">
        <v>141</v>
      </c>
      <c r="B1" s="168"/>
      <c r="C1" s="170"/>
      <c r="D1" s="170"/>
      <c r="E1" s="170"/>
      <c r="F1" s="168"/>
      <c r="G1" s="158"/>
    </row>
    <row r="2" spans="1:7" x14ac:dyDescent="0.25">
      <c r="A2" s="157"/>
      <c r="B2" s="157">
        <v>2018</v>
      </c>
      <c r="C2" s="157">
        <v>2019</v>
      </c>
      <c r="D2" s="157">
        <v>2020</v>
      </c>
      <c r="E2" s="157">
        <v>2021</v>
      </c>
      <c r="F2" s="168"/>
      <c r="G2" s="158"/>
    </row>
    <row r="3" spans="1:7" x14ac:dyDescent="0.25">
      <c r="A3" s="158" t="s">
        <v>126</v>
      </c>
      <c r="B3" s="168">
        <v>-0.91793025239904613</v>
      </c>
      <c r="C3" s="171">
        <v>-0.26292339453158015</v>
      </c>
      <c r="D3" s="171">
        <v>0.14224414142945518</v>
      </c>
      <c r="E3" s="171">
        <v>0.37442903149489931</v>
      </c>
      <c r="F3" s="158"/>
      <c r="G3" s="158"/>
    </row>
    <row r="4" spans="1:7" x14ac:dyDescent="0.25">
      <c r="A4" s="158" t="s">
        <v>127</v>
      </c>
      <c r="B4" s="168">
        <v>-0.60002033967253443</v>
      </c>
      <c r="C4" s="168">
        <v>-0.10015790339816655</v>
      </c>
      <c r="D4" s="168">
        <v>0</v>
      </c>
      <c r="E4" s="168">
        <v>0.2003167806479286</v>
      </c>
      <c r="F4" s="158"/>
      <c r="G4" s="158"/>
    </row>
    <row r="5" spans="1:7" x14ac:dyDescent="0.25">
      <c r="A5" s="166" t="s">
        <v>128</v>
      </c>
      <c r="B5" s="167">
        <v>0.3179099127265117</v>
      </c>
      <c r="C5" s="167">
        <v>0.1627654911334136</v>
      </c>
      <c r="D5" s="167">
        <v>-0.14224414142945518</v>
      </c>
      <c r="E5" s="167">
        <v>-0.17411225084697071</v>
      </c>
      <c r="F5" s="158"/>
      <c r="G5" s="158"/>
    </row>
    <row r="6" spans="1:7" x14ac:dyDescent="0.25">
      <c r="A6" s="159" t="s">
        <v>129</v>
      </c>
      <c r="B6" s="160">
        <v>0.31747675566299888</v>
      </c>
      <c r="C6" s="160">
        <v>0.59744030046773655</v>
      </c>
      <c r="D6" s="160">
        <v>0.56687559199808812</v>
      </c>
      <c r="E6" s="160">
        <v>0.37977337021719898</v>
      </c>
      <c r="F6" s="158"/>
      <c r="G6" s="158"/>
    </row>
    <row r="7" spans="1:7" ht="33.75" customHeight="1" x14ac:dyDescent="0.25">
      <c r="A7" s="1531" t="s">
        <v>142</v>
      </c>
      <c r="B7" s="1531"/>
      <c r="C7" s="1531"/>
      <c r="D7" s="1531"/>
      <c r="E7" s="1531"/>
      <c r="F7" s="158"/>
      <c r="G7" s="158"/>
    </row>
    <row r="8" spans="1:7" x14ac:dyDescent="0.25">
      <c r="A8" s="158"/>
      <c r="B8" s="158"/>
      <c r="C8" s="158"/>
      <c r="D8" s="158"/>
      <c r="E8" s="158"/>
      <c r="F8" s="158"/>
      <c r="G8" s="158"/>
    </row>
  </sheetData>
  <mergeCells count="1">
    <mergeCell ref="A7:E7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17E0-B93D-4B7E-9CE2-3381EA03E945}">
  <sheetPr>
    <pageSetUpPr fitToPage="1"/>
  </sheetPr>
  <dimension ref="A1:T25"/>
  <sheetViews>
    <sheetView showGridLines="0" workbookViewId="0">
      <selection sqref="A1:D1"/>
    </sheetView>
  </sheetViews>
  <sheetFormatPr defaultRowHeight="12.75" x14ac:dyDescent="0.2"/>
  <cols>
    <col min="1" max="1" width="44.5703125" style="272" customWidth="1"/>
    <col min="2" max="2" width="0" style="272" hidden="1" customWidth="1"/>
    <col min="3" max="16384" width="9.140625" style="272"/>
  </cols>
  <sheetData>
    <row r="1" spans="1:20" x14ac:dyDescent="0.2">
      <c r="A1" s="1532" t="s">
        <v>1183</v>
      </c>
      <c r="B1" s="1532"/>
      <c r="C1" s="1532"/>
      <c r="D1" s="1532"/>
    </row>
    <row r="2" spans="1:20" x14ac:dyDescent="0.2">
      <c r="A2" s="1013"/>
      <c r="B2" s="958">
        <v>2015</v>
      </c>
      <c r="C2" s="958">
        <v>2016</v>
      </c>
      <c r="D2" s="958">
        <v>2017</v>
      </c>
      <c r="E2" s="958">
        <v>2018</v>
      </c>
      <c r="F2" s="958">
        <v>2019</v>
      </c>
      <c r="G2" s="958">
        <v>2020</v>
      </c>
      <c r="H2" s="958">
        <v>2021</v>
      </c>
      <c r="I2" s="958"/>
      <c r="J2" s="1014"/>
    </row>
    <row r="3" spans="1:20" x14ac:dyDescent="0.2">
      <c r="A3" s="1015" t="s">
        <v>784</v>
      </c>
      <c r="B3" s="1016" t="e">
        <v>#REF!</v>
      </c>
      <c r="C3" s="1017">
        <v>-2.2218235270342319</v>
      </c>
      <c r="D3" s="1017">
        <v>-0.77696312238339471</v>
      </c>
      <c r="E3" s="1017">
        <v>-0.91894875113976826</v>
      </c>
      <c r="F3" s="1017">
        <v>-0.69630420475980503</v>
      </c>
      <c r="G3" s="1017">
        <v>-0.56410956107767629</v>
      </c>
      <c r="H3" s="1017">
        <v>-0.17780900241371267</v>
      </c>
      <c r="I3" s="1017"/>
      <c r="J3" s="1018"/>
    </row>
    <row r="4" spans="1:20" x14ac:dyDescent="0.2">
      <c r="A4" s="1019" t="s">
        <v>894</v>
      </c>
      <c r="B4" s="1020" t="e">
        <v>#REF!</v>
      </c>
      <c r="C4" s="1021">
        <v>-0.22841883398210858</v>
      </c>
      <c r="D4" s="1021">
        <v>7.4346970979326132E-2</v>
      </c>
      <c r="E4" s="1021">
        <v>0.14176242308922402</v>
      </c>
      <c r="F4" s="1021">
        <v>0.21186781722435485</v>
      </c>
      <c r="G4" s="1021">
        <v>0.23264003146889167</v>
      </c>
      <c r="H4" s="1021">
        <v>5.7010025035629616E-2</v>
      </c>
      <c r="I4" s="1021"/>
    </row>
    <row r="5" spans="1:20" x14ac:dyDescent="0.2">
      <c r="A5" s="1019" t="s">
        <v>895</v>
      </c>
      <c r="B5" s="1020" t="e">
        <f>#REF!</f>
        <v>#REF!</v>
      </c>
      <c r="C5" s="1021">
        <v>-0.14437731465855855</v>
      </c>
      <c r="D5" s="1021">
        <v>-1.497124237046705E-2</v>
      </c>
      <c r="E5" s="1021">
        <v>-6.4082835653038834E-3</v>
      </c>
      <c r="F5" s="1021">
        <v>-5.9832193467282699E-3</v>
      </c>
      <c r="G5" s="1021">
        <v>-5.6180247430092931E-3</v>
      </c>
      <c r="H5" s="1021">
        <v>-5.3052166668059175E-3</v>
      </c>
      <c r="I5" s="1021"/>
    </row>
    <row r="6" spans="1:20" ht="15" customHeight="1" x14ac:dyDescent="0.2">
      <c r="A6" s="1022" t="s">
        <v>874</v>
      </c>
      <c r="B6" s="1023" t="e">
        <f t="shared" ref="B6" si="0">B3-B4-B5</f>
        <v>#REF!</v>
      </c>
      <c r="C6" s="1024">
        <v>-1.8490273783935649</v>
      </c>
      <c r="D6" s="1024">
        <v>-0.8363388509922538</v>
      </c>
      <c r="E6" s="1024">
        <v>-1.0543028906636884</v>
      </c>
      <c r="F6" s="1024">
        <v>-0.90218880263743162</v>
      </c>
      <c r="G6" s="1024">
        <v>-0.79113156780355864</v>
      </c>
      <c r="H6" s="1024">
        <v>-0.22951381078253638</v>
      </c>
      <c r="I6" s="1024"/>
      <c r="K6" s="1025"/>
      <c r="L6" s="1025"/>
      <c r="M6" s="1025"/>
      <c r="N6" s="1025"/>
      <c r="O6" s="1025"/>
      <c r="P6" s="1025"/>
      <c r="Q6" s="1025"/>
      <c r="R6" s="1025"/>
      <c r="S6" s="1025"/>
      <c r="T6" s="1025"/>
    </row>
    <row r="7" spans="1:20" ht="13.5" customHeight="1" x14ac:dyDescent="0.2">
      <c r="A7" s="1006" t="s">
        <v>896</v>
      </c>
      <c r="B7" s="1026"/>
      <c r="C7" s="1027">
        <v>0.45702028708460629</v>
      </c>
      <c r="D7" s="1027">
        <v>1.0126885274013111</v>
      </c>
      <c r="E7" s="1027">
        <v>-0.21796403967143463</v>
      </c>
      <c r="F7" s="1027">
        <v>0.15211408802625681</v>
      </c>
      <c r="G7" s="1027">
        <v>0.11105723483387298</v>
      </c>
      <c r="H7" s="1027">
        <v>0.56161775702102223</v>
      </c>
      <c r="I7" s="1027"/>
      <c r="J7" s="1028">
        <f>SUM(F7:H7)</f>
        <v>0.82478907988115202</v>
      </c>
    </row>
    <row r="8" spans="1:20" ht="13.5" customHeight="1" x14ac:dyDescent="0.2">
      <c r="A8" s="1029" t="s">
        <v>897</v>
      </c>
      <c r="B8" s="1030"/>
      <c r="C8" s="1030">
        <v>-2.2218235270342319</v>
      </c>
      <c r="D8" s="1030">
        <v>-0.77696312238339471</v>
      </c>
      <c r="E8" s="1030">
        <v>-0.91906030830530994</v>
      </c>
      <c r="F8" s="1030">
        <v>-0.26292339453158015</v>
      </c>
      <c r="G8" s="1030">
        <v>0.14224414142945518</v>
      </c>
      <c r="H8" s="1030">
        <v>0.37442903149489931</v>
      </c>
      <c r="I8" s="981"/>
      <c r="J8" s="1031"/>
    </row>
    <row r="9" spans="1:20" ht="13.5" customHeight="1" x14ac:dyDescent="0.2">
      <c r="A9" s="1032" t="s">
        <v>898</v>
      </c>
      <c r="B9" s="1020"/>
      <c r="C9" s="1021">
        <v>-1.9101528602669464</v>
      </c>
      <c r="D9" s="1021">
        <v>-0.96336732530405222</v>
      </c>
      <c r="E9" s="1021">
        <v>-1.1304843581720512</v>
      </c>
      <c r="F9" s="1021">
        <v>-0.4468460115455834</v>
      </c>
      <c r="G9" s="1021">
        <v>-2.4146004861988382E-2</v>
      </c>
      <c r="H9" s="1021">
        <v>0.31083117506120855</v>
      </c>
      <c r="I9" s="1021"/>
      <c r="J9" s="1031"/>
    </row>
    <row r="10" spans="1:20" x14ac:dyDescent="0.2">
      <c r="A10" s="1022" t="s">
        <v>899</v>
      </c>
      <c r="B10" s="981"/>
      <c r="C10" s="981"/>
      <c r="D10" s="981">
        <v>0.94678553496289419</v>
      </c>
      <c r="E10" s="981">
        <v>-0.16711703286799895</v>
      </c>
      <c r="F10" s="981">
        <v>0.68363834662646772</v>
      </c>
      <c r="G10" s="981">
        <v>0.42270000668359503</v>
      </c>
      <c r="H10" s="981">
        <v>0.33497717992319692</v>
      </c>
      <c r="I10" s="981"/>
      <c r="J10" s="1028">
        <f>SUM(F10:H10)</f>
        <v>1.4413155332332597</v>
      </c>
    </row>
    <row r="11" spans="1:20" x14ac:dyDescent="0.2">
      <c r="A11" s="1033" t="s">
        <v>900</v>
      </c>
      <c r="B11" s="1034"/>
      <c r="C11" s="1035"/>
      <c r="D11" s="1035">
        <v>0</v>
      </c>
      <c r="E11" s="1035">
        <v>1.1155716554167583E-4</v>
      </c>
      <c r="F11" s="1035">
        <v>-0.43338081022822489</v>
      </c>
      <c r="G11" s="1035">
        <v>-0.70635370250713148</v>
      </c>
      <c r="H11" s="1035">
        <v>-0.55223803390861192</v>
      </c>
      <c r="I11" s="1035"/>
      <c r="J11" s="1028"/>
    </row>
    <row r="12" spans="1:20" x14ac:dyDescent="0.2">
      <c r="A12" s="1036" t="s">
        <v>901</v>
      </c>
      <c r="B12" s="1037"/>
      <c r="C12" s="1037"/>
      <c r="D12" s="1038">
        <v>6.5902992438416907E-2</v>
      </c>
      <c r="E12" s="1038">
        <v>-5.0847006803435679E-2</v>
      </c>
      <c r="F12" s="1038">
        <v>-0.53152425860021091</v>
      </c>
      <c r="G12" s="1038">
        <v>-0.31164277184972206</v>
      </c>
      <c r="H12" s="1038">
        <v>0.22664057709782531</v>
      </c>
      <c r="I12" s="1039"/>
      <c r="J12" s="1028">
        <f>SUM(F12:H12)</f>
        <v>-0.61652645335210776</v>
      </c>
    </row>
    <row r="13" spans="1:20" x14ac:dyDescent="0.2">
      <c r="A13" s="1032" t="s">
        <v>902</v>
      </c>
      <c r="B13" s="981"/>
      <c r="C13" s="979">
        <v>0.10410943389754214</v>
      </c>
      <c r="D13" s="979">
        <v>0.13982701807277709</v>
      </c>
      <c r="E13" s="979">
        <v>3.6869850180114502E-2</v>
      </c>
      <c r="F13" s="979">
        <v>0.11721076445755735</v>
      </c>
      <c r="G13" s="979">
        <v>3.4681458436383386E-2</v>
      </c>
      <c r="H13" s="979">
        <v>-0.1328591230690078</v>
      </c>
      <c r="I13" s="979"/>
      <c r="J13" s="1028"/>
    </row>
    <row r="14" spans="1:20" x14ac:dyDescent="0.2">
      <c r="A14" s="1040" t="s">
        <v>903</v>
      </c>
      <c r="B14" s="1020" t="e">
        <f>(#REF!-#REF!+#REF!-#REF!+#REF!-#REF!)</f>
        <v>#REF!</v>
      </c>
      <c r="C14" s="1021">
        <v>5.5651903088051319E-3</v>
      </c>
      <c r="D14" s="1041">
        <v>-9.075144992495536E-2</v>
      </c>
      <c r="E14" s="1021">
        <v>-5.4694369156341197E-2</v>
      </c>
      <c r="F14" s="1021">
        <v>1.8709154105705478E-2</v>
      </c>
      <c r="G14" s="1021">
        <v>-4.8664660883892139E-2</v>
      </c>
      <c r="H14" s="1021">
        <v>-0.16035951711854118</v>
      </c>
      <c r="I14" s="1021"/>
      <c r="J14" s="1031"/>
    </row>
    <row r="15" spans="1:20" x14ac:dyDescent="0.2">
      <c r="A15" s="1040" t="s">
        <v>904</v>
      </c>
      <c r="B15" s="1020" t="e">
        <f>#REF!-#REF!</f>
        <v>#REF!</v>
      </c>
      <c r="C15" s="1021">
        <v>6.4247355525764993E-5</v>
      </c>
      <c r="D15" s="1021">
        <v>-9.8244061697252971E-3</v>
      </c>
      <c r="E15" s="1021">
        <v>2.9742908552409519E-2</v>
      </c>
      <c r="F15" s="1021">
        <v>-5.0672389819366448E-3</v>
      </c>
      <c r="G15" s="1021">
        <v>-1.6446092174861093E-2</v>
      </c>
      <c r="H15" s="1021">
        <v>-1.9952108281802966E-2</v>
      </c>
      <c r="I15" s="1021"/>
      <c r="J15" s="1031"/>
    </row>
    <row r="16" spans="1:20" x14ac:dyDescent="0.2">
      <c r="A16" s="1042" t="s">
        <v>905</v>
      </c>
      <c r="B16" s="1043" t="e">
        <f>#REF!-#REF!</f>
        <v>#REF!</v>
      </c>
      <c r="C16" s="1043">
        <v>9.8479996233211242E-2</v>
      </c>
      <c r="D16" s="1043">
        <v>0.24040287416745776</v>
      </c>
      <c r="E16" s="1043">
        <v>6.182131078404618E-2</v>
      </c>
      <c r="F16" s="1043">
        <v>0.10356884933378852</v>
      </c>
      <c r="G16" s="1043">
        <v>9.9792211495136618E-2</v>
      </c>
      <c r="H16" s="1043">
        <v>4.7452502331336355E-2</v>
      </c>
      <c r="I16" s="1043"/>
      <c r="J16" s="1031"/>
    </row>
    <row r="17" spans="1:10" x14ac:dyDescent="0.2">
      <c r="A17" s="1044" t="s">
        <v>906</v>
      </c>
      <c r="B17" s="1043"/>
      <c r="C17" s="1043"/>
      <c r="D17" s="1043"/>
      <c r="E17" s="1043">
        <v>0</v>
      </c>
      <c r="F17" s="1043">
        <v>0</v>
      </c>
      <c r="G17" s="1043">
        <v>0</v>
      </c>
      <c r="H17" s="1043">
        <v>0</v>
      </c>
      <c r="I17" s="1043"/>
      <c r="J17" s="1031"/>
    </row>
    <row r="18" spans="1:10" ht="24" x14ac:dyDescent="0.2">
      <c r="A18" s="1045" t="s">
        <v>907</v>
      </c>
      <c r="B18" s="1046"/>
      <c r="C18" s="1046"/>
      <c r="D18" s="1047">
        <v>0.87286150932853401</v>
      </c>
      <c r="E18" s="1047">
        <v>-0.25483388985154914</v>
      </c>
      <c r="F18" s="1047">
        <v>3.4903323568699463E-2</v>
      </c>
      <c r="G18" s="1047">
        <v>7.6375776397489589E-2</v>
      </c>
      <c r="H18" s="1047">
        <v>0.69447688009003006</v>
      </c>
      <c r="I18" s="1039"/>
      <c r="J18" s="1031"/>
    </row>
    <row r="19" spans="1:10" s="956" customFormat="1" ht="24" x14ac:dyDescent="0.2">
      <c r="A19" s="1048" t="s">
        <v>908</v>
      </c>
      <c r="B19" s="1049"/>
      <c r="C19" s="1049"/>
      <c r="D19" s="1050">
        <v>6.5902992438416907E-2</v>
      </c>
      <c r="E19" s="1050">
        <v>-5.0847006803435679E-2</v>
      </c>
      <c r="F19" s="1050">
        <v>-0.53152425860021091</v>
      </c>
      <c r="G19" s="1050">
        <v>-0.31164277184972206</v>
      </c>
      <c r="H19" s="1050">
        <v>0.22664057709782531</v>
      </c>
      <c r="I19" s="1051"/>
      <c r="J19" s="1028">
        <f>SUM(F19:H19)</f>
        <v>-0.61652645335210776</v>
      </c>
    </row>
    <row r="20" spans="1:10" s="956" customFormat="1" ht="24.75" customHeight="1" x14ac:dyDescent="0.2">
      <c r="A20" s="1533" t="s">
        <v>909</v>
      </c>
      <c r="B20" s="1533"/>
      <c r="C20" s="1533"/>
      <c r="D20" s="1533"/>
      <c r="E20" s="1533"/>
      <c r="F20" s="1534" t="s">
        <v>910</v>
      </c>
      <c r="G20" s="1534"/>
      <c r="J20" s="1052"/>
    </row>
    <row r="21" spans="1:10" s="956" customFormat="1" x14ac:dyDescent="0.2">
      <c r="A21" s="963"/>
      <c r="B21" s="979"/>
      <c r="C21" s="979"/>
      <c r="D21" s="979"/>
      <c r="E21" s="979"/>
      <c r="F21" s="979"/>
    </row>
    <row r="22" spans="1:10" s="956" customFormat="1" x14ac:dyDescent="0.2">
      <c r="A22" s="963"/>
      <c r="B22" s="979"/>
      <c r="C22" s="979"/>
      <c r="D22" s="979"/>
      <c r="E22" s="979"/>
      <c r="F22" s="979"/>
    </row>
    <row r="23" spans="1:10" s="956" customFormat="1" x14ac:dyDescent="0.2">
      <c r="A23" s="1053"/>
    </row>
    <row r="24" spans="1:10" s="956" customFormat="1" x14ac:dyDescent="0.2">
      <c r="A24" s="1053"/>
    </row>
    <row r="25" spans="1:10" s="956" customFormat="1" x14ac:dyDescent="0.2">
      <c r="A25" s="1054"/>
    </row>
  </sheetData>
  <mergeCells count="3">
    <mergeCell ref="A1:D1"/>
    <mergeCell ref="A20:E20"/>
    <mergeCell ref="F20:G20"/>
  </mergeCells>
  <pageMargins left="0.7" right="0.7" top="0.75" bottom="0.75" header="0.3" footer="0.3"/>
  <pageSetup paperSize="9" scale="7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4D11-8E73-436D-B696-2F517BBEE79B}">
  <sheetPr codeName="Sheet8"/>
  <dimension ref="A1:H20"/>
  <sheetViews>
    <sheetView showGridLines="0" workbookViewId="0"/>
  </sheetViews>
  <sheetFormatPr defaultRowHeight="12.75" x14ac:dyDescent="0.2"/>
  <cols>
    <col min="1" max="1" width="72.140625" style="272" customWidth="1"/>
    <col min="2" max="16384" width="9.140625" style="272"/>
  </cols>
  <sheetData>
    <row r="1" spans="1:8" ht="15" x14ac:dyDescent="0.25">
      <c r="A1" s="282" t="s">
        <v>247</v>
      </c>
      <c r="B1" s="282"/>
      <c r="C1" s="282"/>
      <c r="D1" s="282"/>
      <c r="E1" s="283"/>
      <c r="F1" s="284"/>
      <c r="G1" s="284"/>
      <c r="H1" s="284"/>
    </row>
    <row r="2" spans="1:8" ht="15" customHeight="1" x14ac:dyDescent="0.2">
      <c r="A2" s="285"/>
      <c r="B2" s="286">
        <v>2016</v>
      </c>
      <c r="C2" s="286">
        <v>2017</v>
      </c>
      <c r="D2" s="286">
        <v>2018</v>
      </c>
      <c r="E2" s="286">
        <v>2019</v>
      </c>
      <c r="F2" s="286">
        <v>2020</v>
      </c>
      <c r="G2" s="286">
        <v>2021</v>
      </c>
    </row>
    <row r="3" spans="1:8" ht="15" customHeight="1" x14ac:dyDescent="0.2">
      <c r="A3" s="287" t="s">
        <v>219</v>
      </c>
      <c r="B3" s="288">
        <v>33684.61</v>
      </c>
      <c r="C3" s="288">
        <v>34103.112000000001</v>
      </c>
      <c r="D3" s="288">
        <v>36608.475598026962</v>
      </c>
      <c r="E3" s="288">
        <v>38461.045725626434</v>
      </c>
      <c r="F3" s="288">
        <v>40183.831537163293</v>
      </c>
      <c r="G3" s="288">
        <v>41398.32496441777</v>
      </c>
    </row>
    <row r="4" spans="1:8" ht="15" customHeight="1" x14ac:dyDescent="0.2">
      <c r="A4" s="289" t="s">
        <v>220</v>
      </c>
      <c r="B4" s="290">
        <v>1335.8</v>
      </c>
      <c r="C4" s="290">
        <v>1191.427574</v>
      </c>
      <c r="D4" s="290">
        <v>1212.3929330000001</v>
      </c>
      <c r="E4" s="290">
        <v>1198.335008595521</v>
      </c>
      <c r="F4" s="290">
        <v>1173.4202301902808</v>
      </c>
      <c r="G4" s="290">
        <v>1190.8370949657249</v>
      </c>
    </row>
    <row r="5" spans="1:8" ht="15" customHeight="1" x14ac:dyDescent="0.2">
      <c r="A5" s="289" t="s">
        <v>221</v>
      </c>
      <c r="B5" s="290">
        <v>797.44193458999973</v>
      </c>
      <c r="C5" s="290">
        <v>631.81299999999999</v>
      </c>
      <c r="D5" s="290">
        <v>892.1837238244168</v>
      </c>
      <c r="E5" s="290">
        <v>1087.7635804616332</v>
      </c>
      <c r="F5" s="290">
        <v>1040.4836211136615</v>
      </c>
      <c r="G5" s="290">
        <v>1091.7917684052074</v>
      </c>
    </row>
    <row r="6" spans="1:8" ht="15" customHeight="1" x14ac:dyDescent="0.2">
      <c r="A6" s="291" t="s">
        <v>222</v>
      </c>
      <c r="B6" s="290">
        <v>509.61545803999996</v>
      </c>
      <c r="C6" s="290">
        <v>440.38300000000004</v>
      </c>
      <c r="D6" s="290">
        <v>616.74780944366785</v>
      </c>
      <c r="E6" s="290">
        <v>838.4618094436679</v>
      </c>
      <c r="F6" s="290">
        <v>778.10480944366793</v>
      </c>
      <c r="G6" s="290">
        <v>818.03980944366799</v>
      </c>
    </row>
    <row r="7" spans="1:8" ht="15" customHeight="1" x14ac:dyDescent="0.2">
      <c r="A7" s="289" t="s">
        <v>223</v>
      </c>
      <c r="B7" s="290">
        <v>2089.9845419600001</v>
      </c>
      <c r="C7" s="290">
        <v>2258.5829999999996</v>
      </c>
      <c r="D7" s="290">
        <v>2488.2239128123515</v>
      </c>
      <c r="E7" s="290">
        <v>2391.0992820144706</v>
      </c>
      <c r="F7" s="290">
        <v>2359.7190395939456</v>
      </c>
      <c r="G7" s="290">
        <v>2395.9656250767584</v>
      </c>
    </row>
    <row r="8" spans="1:8" ht="15" customHeight="1" x14ac:dyDescent="0.2">
      <c r="A8" s="292" t="s">
        <v>224</v>
      </c>
      <c r="B8" s="290">
        <v>2050.0143666450003</v>
      </c>
      <c r="C8" s="290">
        <v>2244.0101116525002</v>
      </c>
      <c r="D8" s="290">
        <v>2358.8473618055878</v>
      </c>
      <c r="E8" s="290">
        <v>2306.9726841967054</v>
      </c>
      <c r="F8" s="290">
        <v>2374.406308605192</v>
      </c>
      <c r="G8" s="290">
        <v>2408.7519648743814</v>
      </c>
    </row>
    <row r="9" spans="1:8" ht="15" customHeight="1" x14ac:dyDescent="0.2">
      <c r="A9" s="292" t="s">
        <v>225</v>
      </c>
      <c r="B9" s="290">
        <v>7.0609834027695983</v>
      </c>
      <c r="C9" s="290">
        <v>-1.0617343630204532</v>
      </c>
      <c r="D9" s="290">
        <v>70.684498132646141</v>
      </c>
      <c r="E9" s="290">
        <v>61.962914095344551</v>
      </c>
      <c r="F9" s="290">
        <v>55.380488336854349</v>
      </c>
      <c r="G9" s="290">
        <v>58.728243724708975</v>
      </c>
    </row>
    <row r="10" spans="1:8" ht="15" customHeight="1" x14ac:dyDescent="0.2">
      <c r="A10" s="293" t="s">
        <v>246</v>
      </c>
      <c r="B10" s="290">
        <v>51.894999999999996</v>
      </c>
      <c r="C10" s="290">
        <v>5.7880000000000003</v>
      </c>
      <c r="D10" s="290">
        <v>5.7880000000000003</v>
      </c>
      <c r="E10" s="290">
        <v>5.7880000000000003</v>
      </c>
      <c r="F10" s="290">
        <v>5.7880000000000003</v>
      </c>
      <c r="G10" s="290">
        <v>5.7880000000000003</v>
      </c>
    </row>
    <row r="11" spans="1:8" ht="15" customHeight="1" x14ac:dyDescent="0.2">
      <c r="A11" s="294" t="s">
        <v>226</v>
      </c>
      <c r="B11" s="295">
        <f t="shared" ref="B11:G11" si="0">B3-B4-B5-B7+B8-B9-B10</f>
        <v>31452.441906692231</v>
      </c>
      <c r="C11" s="295">
        <f t="shared" si="0"/>
        <v>32260.572272015525</v>
      </c>
      <c r="D11" s="295">
        <f t="shared" si="0"/>
        <v>34298.049892063136</v>
      </c>
      <c r="E11" s="295">
        <f t="shared" si="0"/>
        <v>36023.069624656164</v>
      </c>
      <c r="F11" s="295">
        <f t="shared" si="0"/>
        <v>37923.446466533729</v>
      </c>
      <c r="G11" s="295">
        <f t="shared" si="0"/>
        <v>39063.966197119749</v>
      </c>
    </row>
    <row r="12" spans="1:8" ht="15" customHeight="1" x14ac:dyDescent="0.2">
      <c r="A12" s="296" t="s">
        <v>227</v>
      </c>
      <c r="B12" s="290"/>
      <c r="C12" s="290">
        <f>C11-B11</f>
        <v>808.13036532329352</v>
      </c>
      <c r="D12" s="290">
        <f>D11-C11</f>
        <v>2037.4776200476117</v>
      </c>
      <c r="E12" s="290">
        <f>E11-D11</f>
        <v>1725.0197325930276</v>
      </c>
      <c r="F12" s="290">
        <f>F11-E11</f>
        <v>1900.3768418775653</v>
      </c>
      <c r="G12" s="290">
        <f>G11-F11</f>
        <v>1140.5197305860202</v>
      </c>
    </row>
    <row r="13" spans="1:8" ht="15" customHeight="1" x14ac:dyDescent="0.2">
      <c r="A13" s="297" t="s">
        <v>228</v>
      </c>
      <c r="B13" s="290"/>
      <c r="C13" s="290">
        <v>75.389341566250621</v>
      </c>
      <c r="D13" s="290">
        <v>43.317276830024433</v>
      </c>
      <c r="E13" s="290">
        <v>-348.90698844288175</v>
      </c>
      <c r="F13" s="290">
        <v>-113.46723429827153</v>
      </c>
      <c r="G13" s="290">
        <v>-267.49839700089711</v>
      </c>
    </row>
    <row r="14" spans="1:8" ht="15" customHeight="1" x14ac:dyDescent="0.2">
      <c r="A14" s="298" t="s">
        <v>229</v>
      </c>
      <c r="B14" s="299"/>
      <c r="C14" s="299">
        <f>((C12-C13)/B11)*100</f>
        <v>2.3296792850959385</v>
      </c>
      <c r="D14" s="299">
        <f>((D12-D13)/C11)*100</f>
        <v>6.1814165179810656</v>
      </c>
      <c r="E14" s="299">
        <f>((E12-E13)/D11)*100</f>
        <v>6.0467773752811347</v>
      </c>
      <c r="F14" s="299">
        <f>((F12-F13)/E11)*100</f>
        <v>5.5904288478443585</v>
      </c>
      <c r="G14" s="299">
        <f>((G12-G13)/F11)*100</f>
        <v>3.7127905261180567</v>
      </c>
    </row>
    <row r="15" spans="1:8" ht="15" customHeight="1" x14ac:dyDescent="0.2">
      <c r="A15" s="298" t="s">
        <v>230</v>
      </c>
      <c r="B15" s="302"/>
      <c r="C15" s="302">
        <v>1.2348771116390509</v>
      </c>
      <c r="D15" s="302">
        <v>2.2786909961402699</v>
      </c>
      <c r="E15" s="302">
        <v>2.4926049611506755</v>
      </c>
      <c r="F15" s="302">
        <v>2.4881140598415783</v>
      </c>
      <c r="G15" s="302">
        <v>2.4882174027980994</v>
      </c>
    </row>
    <row r="16" spans="1:8" ht="15" customHeight="1" x14ac:dyDescent="0.2">
      <c r="A16" s="304" t="s">
        <v>231</v>
      </c>
      <c r="B16" s="300"/>
      <c r="C16" s="300">
        <f>(((1+C14/100)/(1+C15/100))-1)*100</f>
        <v>1.0814476242704041</v>
      </c>
      <c r="D16" s="300">
        <f>(((1+D14/100)/(1+D15/100))-1)*100</f>
        <v>3.8157757826486893</v>
      </c>
      <c r="E16" s="300">
        <f>(((1+E14/100)/(1+E15/100))-1)*100</f>
        <v>3.4677354678200212</v>
      </c>
      <c r="F16" s="300">
        <f>(((1+F14/100)/(1+F15/100))-1)*100</f>
        <v>3.0269995857191478</v>
      </c>
      <c r="G16" s="300">
        <f>(((1+G14/100)/(1+G15/100))-1)*100</f>
        <v>1.1948428359400243</v>
      </c>
    </row>
    <row r="17" spans="1:7" ht="15" customHeight="1" x14ac:dyDescent="0.2">
      <c r="A17" s="323" t="s">
        <v>232</v>
      </c>
      <c r="B17" s="324"/>
      <c r="C17" s="324">
        <v>2.7847527391314353</v>
      </c>
      <c r="D17" s="324">
        <v>3.8641957413637851</v>
      </c>
      <c r="E17" s="324">
        <v>4.2356898809600141</v>
      </c>
      <c r="F17" s="324">
        <v>3.8705573504574264</v>
      </c>
      <c r="G17" s="324">
        <v>3.9844969194229307</v>
      </c>
    </row>
    <row r="18" spans="1:7" ht="15" customHeight="1" x14ac:dyDescent="0.2">
      <c r="A18" s="322" t="s">
        <v>244</v>
      </c>
      <c r="B18" s="321"/>
      <c r="C18" s="321">
        <v>0.65609334397821961</v>
      </c>
      <c r="D18" s="321">
        <v>1.8381035510323905E-2</v>
      </c>
      <c r="E18" s="321">
        <v>0.29659518430530424</v>
      </c>
      <c r="F18" s="321">
        <v>0.32928882810245275</v>
      </c>
      <c r="G18" s="321">
        <v>1.1095146013417729</v>
      </c>
    </row>
    <row r="19" spans="1:7" ht="15" customHeight="1" x14ac:dyDescent="0.2">
      <c r="A19" s="325" t="s">
        <v>245</v>
      </c>
      <c r="B19" s="326">
        <v>2599.6</v>
      </c>
      <c r="C19" s="326">
        <v>2698.9659999999999</v>
      </c>
      <c r="D19" s="326">
        <v>3104.9717222560193</v>
      </c>
      <c r="E19" s="326">
        <v>3229.5610914581384</v>
      </c>
      <c r="F19" s="326">
        <v>3137.8238490376134</v>
      </c>
      <c r="G19" s="326">
        <v>3214.0054345204262</v>
      </c>
    </row>
    <row r="20" spans="1:7" ht="15" customHeight="1" x14ac:dyDescent="0.2">
      <c r="A20" s="314"/>
      <c r="B20" s="315"/>
      <c r="C20" s="315"/>
      <c r="D20" s="315"/>
      <c r="E20" s="1535" t="s">
        <v>237</v>
      </c>
      <c r="F20" s="1535"/>
      <c r="G20" s="1535"/>
    </row>
  </sheetData>
  <mergeCells count="1">
    <mergeCell ref="E20:G20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B223-2070-4E1B-8EE1-075AA7F00841}">
  <sheetPr codeName="Sheet9"/>
  <dimension ref="A1:F13"/>
  <sheetViews>
    <sheetView showGridLines="0" workbookViewId="0">
      <selection sqref="A1:E1"/>
    </sheetView>
  </sheetViews>
  <sheetFormatPr defaultRowHeight="12.75" x14ac:dyDescent="0.2"/>
  <cols>
    <col min="1" max="1" width="38.28515625" style="272" customWidth="1"/>
    <col min="2" max="16384" width="9.140625" style="272"/>
  </cols>
  <sheetData>
    <row r="1" spans="1:6" ht="15" x14ac:dyDescent="0.25">
      <c r="A1" s="1536" t="s">
        <v>248</v>
      </c>
      <c r="B1" s="1536"/>
      <c r="C1" s="1536"/>
      <c r="D1" s="1536"/>
      <c r="E1" s="1536"/>
      <c r="F1" s="284"/>
    </row>
    <row r="2" spans="1:6" ht="15" x14ac:dyDescent="0.25">
      <c r="A2" s="305"/>
      <c r="B2" s="306">
        <v>2018</v>
      </c>
      <c r="C2" s="306">
        <v>2019</v>
      </c>
      <c r="D2" s="306">
        <v>2020</v>
      </c>
      <c r="E2" s="306">
        <v>2021</v>
      </c>
      <c r="F2" s="307"/>
    </row>
    <row r="3" spans="1:6" ht="15" x14ac:dyDescent="0.25">
      <c r="A3" s="308" t="s">
        <v>233</v>
      </c>
      <c r="B3" s="301"/>
      <c r="C3" s="301"/>
      <c r="D3" s="301"/>
      <c r="E3" s="309"/>
      <c r="F3" s="284"/>
    </row>
    <row r="4" spans="1:6" ht="15" x14ac:dyDescent="0.25">
      <c r="A4" s="303" t="s">
        <v>234</v>
      </c>
      <c r="B4" s="310">
        <v>2.2786909961402699</v>
      </c>
      <c r="C4" s="310">
        <v>2.4926049611506755</v>
      </c>
      <c r="D4" s="310">
        <v>2.4881140598415783</v>
      </c>
      <c r="E4" s="310">
        <v>2.4882174027980994</v>
      </c>
      <c r="F4" s="284"/>
    </row>
    <row r="5" spans="1:6" ht="15" x14ac:dyDescent="0.25">
      <c r="A5" s="311" t="s">
        <v>235</v>
      </c>
      <c r="B5" s="312">
        <v>3.8641957413637851</v>
      </c>
      <c r="C5" s="312">
        <v>4.2356898809600141</v>
      </c>
      <c r="D5" s="312">
        <v>3.8705573504574264</v>
      </c>
      <c r="E5" s="312">
        <v>3.9844969194229307</v>
      </c>
      <c r="F5" s="313"/>
    </row>
    <row r="6" spans="1:6" ht="15" x14ac:dyDescent="0.25">
      <c r="A6" s="308" t="s">
        <v>236</v>
      </c>
      <c r="B6" s="301"/>
      <c r="C6" s="301"/>
      <c r="D6" s="301"/>
      <c r="E6" s="309"/>
      <c r="F6" s="313"/>
    </row>
    <row r="7" spans="1:6" ht="15" x14ac:dyDescent="0.25">
      <c r="A7" s="303" t="s">
        <v>234</v>
      </c>
      <c r="B7" s="310">
        <v>1.508664164</v>
      </c>
      <c r="C7" s="310">
        <v>1.875123248</v>
      </c>
      <c r="D7" s="310">
        <v>2.4881140598415952</v>
      </c>
      <c r="E7" s="310">
        <v>2.4882174027980986</v>
      </c>
      <c r="F7" s="313"/>
    </row>
    <row r="8" spans="1:6" ht="15" x14ac:dyDescent="0.25">
      <c r="A8" s="311" t="s">
        <v>235</v>
      </c>
      <c r="B8" s="312">
        <v>2.5851214899376629</v>
      </c>
      <c r="C8" s="312">
        <v>2.8951680495910921</v>
      </c>
      <c r="D8" s="312">
        <v>3.1738527703586437</v>
      </c>
      <c r="E8" s="312">
        <v>3.1974580377560886</v>
      </c>
      <c r="F8" s="313"/>
    </row>
    <row r="9" spans="1:6" ht="15" x14ac:dyDescent="0.25">
      <c r="A9" s="316" t="s">
        <v>238</v>
      </c>
      <c r="F9" s="284"/>
    </row>
    <row r="10" spans="1:6" ht="15" x14ac:dyDescent="0.25">
      <c r="A10" s="303" t="s">
        <v>234</v>
      </c>
      <c r="B10" s="310">
        <v>0.7700268321402699</v>
      </c>
      <c r="C10" s="310">
        <v>0.61748171315067557</v>
      </c>
      <c r="D10" s="310">
        <v>-1.6875389974302379E-14</v>
      </c>
      <c r="E10" s="310">
        <v>0</v>
      </c>
      <c r="F10" s="284"/>
    </row>
    <row r="11" spans="1:6" ht="15" x14ac:dyDescent="0.25">
      <c r="A11" s="311" t="s">
        <v>235</v>
      </c>
      <c r="B11" s="312">
        <v>1.2790742514261222</v>
      </c>
      <c r="C11" s="312">
        <v>1.340521831368922</v>
      </c>
      <c r="D11" s="312">
        <v>0.69670458009878278</v>
      </c>
      <c r="E11" s="312">
        <v>0.78703888166684211</v>
      </c>
      <c r="F11" s="284"/>
    </row>
    <row r="12" spans="1:6" ht="15" x14ac:dyDescent="0.25">
      <c r="A12" s="317" t="s">
        <v>239</v>
      </c>
      <c r="B12" s="318">
        <f>((1+B4/100)*(1+B5/100)-1)*100-((1+B7/100)*(1+B8/100)-1)*100</f>
        <v>2.0981533624835347</v>
      </c>
      <c r="C12" s="318">
        <f t="shared" ref="C12:E12" si="0">((1+C4/100)*(1+C5/100)-1)*100-((1+C7/100)*(1+C8/100)-1)*100</f>
        <v>2.0092945914647942</v>
      </c>
      <c r="D12" s="318">
        <f t="shared" si="0"/>
        <v>0.71403938471175099</v>
      </c>
      <c r="E12" s="318">
        <f t="shared" si="0"/>
        <v>0.80662212008726364</v>
      </c>
      <c r="F12" s="284"/>
    </row>
    <row r="13" spans="1:6" ht="15" x14ac:dyDescent="0.25">
      <c r="A13" s="319" t="s">
        <v>240</v>
      </c>
      <c r="E13" s="320" t="s">
        <v>89</v>
      </c>
      <c r="F13" s="284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A9F1-7250-44B3-B2CD-D7C349780849}">
  <sheetPr codeName="Sheet10"/>
  <dimension ref="A1:E8"/>
  <sheetViews>
    <sheetView showGridLines="0" workbookViewId="0">
      <selection sqref="A1:E1"/>
    </sheetView>
  </sheetViews>
  <sheetFormatPr defaultRowHeight="15" x14ac:dyDescent="0.25"/>
  <cols>
    <col min="1" max="1" width="34.140625" customWidth="1"/>
    <col min="2" max="2" width="22.5703125" customWidth="1"/>
    <col min="3" max="5" width="13.5703125" customWidth="1"/>
  </cols>
  <sheetData>
    <row r="1" spans="1:5" x14ac:dyDescent="0.25">
      <c r="A1" s="1518" t="s">
        <v>249</v>
      </c>
      <c r="B1" s="1518"/>
      <c r="C1" s="1518"/>
      <c r="D1" s="1518"/>
      <c r="E1" s="1518"/>
    </row>
    <row r="2" spans="1:5" x14ac:dyDescent="0.25">
      <c r="A2" s="328"/>
      <c r="B2" s="328"/>
      <c r="C2" s="329" t="s">
        <v>250</v>
      </c>
      <c r="D2" s="329" t="s">
        <v>251</v>
      </c>
      <c r="E2" s="329" t="s">
        <v>252</v>
      </c>
    </row>
    <row r="3" spans="1:5" ht="24" x14ac:dyDescent="0.25">
      <c r="A3" s="328"/>
      <c r="B3" s="328"/>
      <c r="C3" s="338" t="s">
        <v>253</v>
      </c>
      <c r="D3" s="338" t="s">
        <v>254</v>
      </c>
      <c r="E3" s="329"/>
    </row>
    <row r="4" spans="1:5" x14ac:dyDescent="0.25">
      <c r="A4" s="1537" t="s">
        <v>255</v>
      </c>
      <c r="B4" s="336" t="s">
        <v>256</v>
      </c>
      <c r="C4" s="337">
        <v>43131</v>
      </c>
      <c r="D4" s="337">
        <v>43264</v>
      </c>
      <c r="E4" s="337">
        <v>43355</v>
      </c>
    </row>
    <row r="5" spans="1:5" x14ac:dyDescent="0.25">
      <c r="A5" s="1538"/>
      <c r="B5" s="333" t="s">
        <v>257</v>
      </c>
      <c r="C5" s="334">
        <v>43136</v>
      </c>
      <c r="D5" s="334">
        <v>43269</v>
      </c>
      <c r="E5" s="335">
        <v>43363</v>
      </c>
    </row>
    <row r="6" spans="1:5" x14ac:dyDescent="0.25">
      <c r="A6" s="1537" t="s">
        <v>258</v>
      </c>
      <c r="B6" s="336" t="s">
        <v>259</v>
      </c>
      <c r="C6" s="337">
        <v>43139</v>
      </c>
      <c r="D6" s="337">
        <v>43272</v>
      </c>
      <c r="E6" s="337">
        <v>43363</v>
      </c>
    </row>
    <row r="7" spans="1:5" x14ac:dyDescent="0.25">
      <c r="A7" s="1538"/>
      <c r="B7" s="333" t="s">
        <v>257</v>
      </c>
      <c r="C7" s="334">
        <v>43145</v>
      </c>
      <c r="D7" s="334">
        <v>43279</v>
      </c>
      <c r="E7" s="335">
        <v>43369</v>
      </c>
    </row>
    <row r="8" spans="1:5" x14ac:dyDescent="0.25">
      <c r="A8" s="331"/>
      <c r="B8" s="330"/>
      <c r="C8" s="332"/>
      <c r="D8" s="332"/>
      <c r="E8" s="38" t="s">
        <v>260</v>
      </c>
    </row>
  </sheetData>
  <mergeCells count="3">
    <mergeCell ref="A1:E1"/>
    <mergeCell ref="A4:A5"/>
    <mergeCell ref="A6:A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16962-C22E-4F79-A3B5-F98F3DB08C82}">
  <sheetPr>
    <pageSetUpPr fitToPage="1"/>
  </sheetPr>
  <dimension ref="A1:J15"/>
  <sheetViews>
    <sheetView showGridLines="0" workbookViewId="0">
      <selection sqref="A1:J1"/>
    </sheetView>
  </sheetViews>
  <sheetFormatPr defaultRowHeight="12.75" x14ac:dyDescent="0.2"/>
  <cols>
    <col min="1" max="1" width="31.42578125" style="1354" customWidth="1"/>
    <col min="2" max="3" width="7.7109375" style="1354" customWidth="1"/>
    <col min="4" max="10" width="8.28515625" style="1354" customWidth="1"/>
    <col min="11" max="16384" width="9.140625" style="1354"/>
  </cols>
  <sheetData>
    <row r="1" spans="1:10" ht="14.25" customHeight="1" x14ac:dyDescent="0.2">
      <c r="A1" s="1514" t="s">
        <v>1073</v>
      </c>
      <c r="B1" s="1514"/>
      <c r="C1" s="1514"/>
      <c r="D1" s="1514"/>
      <c r="E1" s="1514"/>
      <c r="F1" s="1514"/>
      <c r="G1" s="1514"/>
      <c r="H1" s="1514"/>
      <c r="I1" s="1514"/>
      <c r="J1" s="1514"/>
    </row>
    <row r="2" spans="1:10" ht="14.25" customHeight="1" x14ac:dyDescent="0.2">
      <c r="A2" s="1369" t="s">
        <v>1074</v>
      </c>
      <c r="B2" s="1370" t="s">
        <v>1045</v>
      </c>
      <c r="C2" s="1371" t="s">
        <v>1075</v>
      </c>
      <c r="D2" s="1539" t="s">
        <v>1076</v>
      </c>
      <c r="E2" s="1516"/>
      <c r="F2" s="1516"/>
      <c r="G2" s="1540"/>
      <c r="H2" s="1516" t="s">
        <v>1077</v>
      </c>
      <c r="I2" s="1541"/>
      <c r="J2" s="1541"/>
    </row>
    <row r="3" spans="1:10" ht="14.25" customHeight="1" x14ac:dyDescent="0.2">
      <c r="A3" s="1372"/>
      <c r="B3" s="1370">
        <v>2017</v>
      </c>
      <c r="C3" s="1371"/>
      <c r="D3" s="1370">
        <v>2018</v>
      </c>
      <c r="E3" s="1373">
        <f>D3+1</f>
        <v>2019</v>
      </c>
      <c r="F3" s="1373">
        <f t="shared" ref="F3:G3" si="0">E3+1</f>
        <v>2020</v>
      </c>
      <c r="G3" s="1371">
        <f t="shared" si="0"/>
        <v>2021</v>
      </c>
      <c r="H3" s="1374">
        <f>D3</f>
        <v>2018</v>
      </c>
      <c r="I3" s="1374">
        <f t="shared" ref="I3:J3" si="1">E3</f>
        <v>2019</v>
      </c>
      <c r="J3" s="1374">
        <f t="shared" si="1"/>
        <v>2020</v>
      </c>
    </row>
    <row r="4" spans="1:10" ht="14.25" customHeight="1" x14ac:dyDescent="0.2">
      <c r="A4" s="1359" t="s">
        <v>1078</v>
      </c>
      <c r="B4" s="1375">
        <v>3.1883556147536325</v>
      </c>
      <c r="C4" s="1376">
        <v>-0.21181069632621163</v>
      </c>
      <c r="D4" s="1377">
        <v>4.0747365700230409</v>
      </c>
      <c r="E4" s="1377">
        <v>4.4995126620853032</v>
      </c>
      <c r="F4" s="1377">
        <v>3.9148883673591151</v>
      </c>
      <c r="G4" s="1376">
        <v>3.3252780949083238</v>
      </c>
      <c r="H4" s="1377">
        <v>-9.1519900785352881E-2</v>
      </c>
      <c r="I4" s="1377">
        <v>0.12606106383397098</v>
      </c>
      <c r="J4" s="1377">
        <v>3.6550779577182446E-2</v>
      </c>
    </row>
    <row r="5" spans="1:10" ht="14.25" customHeight="1" x14ac:dyDescent="0.2">
      <c r="A5" s="1359" t="s">
        <v>1079</v>
      </c>
      <c r="B5" s="1375">
        <v>1.3130422700641873</v>
      </c>
      <c r="C5" s="1376" t="s">
        <v>175</v>
      </c>
      <c r="D5" s="1377">
        <v>2.5321335879291862</v>
      </c>
      <c r="E5" s="1377">
        <v>2.4980441543422494</v>
      </c>
      <c r="F5" s="1377">
        <v>2.483730356432412</v>
      </c>
      <c r="G5" s="1376">
        <v>2.4951473618607167</v>
      </c>
      <c r="H5" s="1377">
        <v>0.7877020443431304</v>
      </c>
      <c r="I5" s="1377">
        <v>0.6181053700794914</v>
      </c>
      <c r="J5" s="1377">
        <v>0.38381090188643885</v>
      </c>
    </row>
    <row r="6" spans="1:10" ht="14.25" customHeight="1" x14ac:dyDescent="0.2">
      <c r="A6" s="1359" t="s">
        <v>1069</v>
      </c>
      <c r="B6" s="1375">
        <v>4.6052631578947114</v>
      </c>
      <c r="C6" s="1376" t="s">
        <v>175</v>
      </c>
      <c r="D6" s="1377">
        <v>6.1844863731656208</v>
      </c>
      <c r="E6" s="1377">
        <v>6.3178677196446209</v>
      </c>
      <c r="F6" s="1377">
        <v>6.2209842154131945</v>
      </c>
      <c r="G6" s="1376">
        <v>5.4195804195804165</v>
      </c>
      <c r="H6" s="1377">
        <v>1.5431361621951467</v>
      </c>
      <c r="I6" s="1377">
        <v>1.4791580422252704</v>
      </c>
      <c r="J6" s="1377">
        <v>1.0286765231054984</v>
      </c>
    </row>
    <row r="7" spans="1:10" ht="14.25" customHeight="1" x14ac:dyDescent="0.2">
      <c r="A7" s="1359" t="s">
        <v>1070</v>
      </c>
      <c r="B7" s="1375">
        <v>3.2559616198673424</v>
      </c>
      <c r="C7" s="1376" t="s">
        <v>175</v>
      </c>
      <c r="D7" s="1377">
        <v>3.5621542802523276</v>
      </c>
      <c r="E7" s="1377">
        <v>3.7267282481512121</v>
      </c>
      <c r="F7" s="1377">
        <v>3.6466801569213114</v>
      </c>
      <c r="G7" s="1376">
        <v>2.8532405025917473</v>
      </c>
      <c r="H7" s="1377">
        <v>0.70700988442835566</v>
      </c>
      <c r="I7" s="1377">
        <v>0.82229120359733621</v>
      </c>
      <c r="J7" s="1377">
        <v>0.5770095729596969</v>
      </c>
    </row>
    <row r="8" spans="1:10" ht="14.25" customHeight="1" x14ac:dyDescent="0.2">
      <c r="A8" s="1359" t="s">
        <v>1080</v>
      </c>
      <c r="B8" s="1375">
        <v>2.206179188806459</v>
      </c>
      <c r="C8" s="1376" t="s">
        <v>175</v>
      </c>
      <c r="D8" s="1377">
        <v>1.9788488243035252</v>
      </c>
      <c r="E8" s="1377">
        <v>1.140427931886201</v>
      </c>
      <c r="F8" s="1377">
        <v>0.87120048972815223</v>
      </c>
      <c r="G8" s="1376">
        <v>0.66797109230412044</v>
      </c>
      <c r="H8" s="1377">
        <v>0.57678037766619727</v>
      </c>
      <c r="I8" s="1377">
        <v>0.13916992733660205</v>
      </c>
      <c r="J8" s="1377">
        <v>-0.10387701705494301</v>
      </c>
    </row>
    <row r="9" spans="1:10" ht="14.25" customHeight="1" x14ac:dyDescent="0.2">
      <c r="A9" s="1359" t="s">
        <v>1081</v>
      </c>
      <c r="B9" s="1375">
        <v>8.1310523102569157</v>
      </c>
      <c r="C9" s="1376" t="s">
        <v>175</v>
      </c>
      <c r="D9" s="1377">
        <v>6.901849836953768</v>
      </c>
      <c r="E9" s="1377">
        <v>6.3742792848351684</v>
      </c>
      <c r="F9" s="1377">
        <v>5.9254151933624506</v>
      </c>
      <c r="G9" s="1376">
        <v>5.6505170972840659</v>
      </c>
      <c r="H9" s="1377">
        <v>-0.40061890501309705</v>
      </c>
      <c r="I9" s="1377">
        <v>-0.32526893633876419</v>
      </c>
      <c r="J9" s="1377">
        <v>-0.15530875359789764</v>
      </c>
    </row>
    <row r="10" spans="1:10" ht="14.25" customHeight="1" x14ac:dyDescent="0.2">
      <c r="A10" s="1359" t="s">
        <v>1082</v>
      </c>
      <c r="B10" s="1375">
        <v>3.4852389878163024</v>
      </c>
      <c r="C10" s="1376">
        <v>-9.2821537950797506E-2</v>
      </c>
      <c r="D10" s="1377">
        <v>2.95896744030264</v>
      </c>
      <c r="E10" s="1377">
        <v>3.2446565266949667</v>
      </c>
      <c r="F10" s="1377">
        <v>2.8206049573037628</v>
      </c>
      <c r="G10" s="1376">
        <v>2.4180859334398841</v>
      </c>
      <c r="H10" s="1377">
        <v>5.3124246005764597E-2</v>
      </c>
      <c r="I10" s="1377">
        <v>0.39064398790296107</v>
      </c>
      <c r="J10" s="1377">
        <v>-5.6005485668864097E-2</v>
      </c>
    </row>
    <row r="11" spans="1:10" ht="14.25" customHeight="1" x14ac:dyDescent="0.2">
      <c r="A11" s="1359" t="s">
        <v>1083</v>
      </c>
      <c r="B11" s="1375">
        <v>3.4107583007104552</v>
      </c>
      <c r="C11" s="1376">
        <v>0.22648210481313757</v>
      </c>
      <c r="D11" s="1377">
        <v>9.5593079254990609</v>
      </c>
      <c r="E11" s="1377">
        <v>3.087142592502512</v>
      </c>
      <c r="F11" s="1377">
        <v>3.0210367968918517</v>
      </c>
      <c r="G11" s="1376">
        <v>2.9957550160556901</v>
      </c>
      <c r="H11" s="1377">
        <v>5.3473930699258876</v>
      </c>
      <c r="I11" s="1377">
        <v>-0.11229370377559</v>
      </c>
      <c r="J11" s="1377">
        <v>-0.16977390803973869</v>
      </c>
    </row>
    <row r="12" spans="1:10" ht="14.25" customHeight="1" x14ac:dyDescent="0.2">
      <c r="A12" s="1359" t="s">
        <v>1084</v>
      </c>
      <c r="B12" s="1375">
        <v>5.9049824647505744</v>
      </c>
      <c r="C12" s="1376">
        <v>1.6497239682170095</v>
      </c>
      <c r="D12" s="1377">
        <v>6.7934477777647162</v>
      </c>
      <c r="E12" s="1377">
        <v>7.9421012393676493</v>
      </c>
      <c r="F12" s="1377">
        <v>6.6272854248330626</v>
      </c>
      <c r="G12" s="1376">
        <v>5.7146649088417378</v>
      </c>
      <c r="H12" s="1377">
        <v>-1.0482974947475965</v>
      </c>
      <c r="I12" s="1377">
        <v>0.25070982560981836</v>
      </c>
      <c r="J12" s="1377">
        <v>0.35165454006285124</v>
      </c>
    </row>
    <row r="13" spans="1:10" x14ac:dyDescent="0.2">
      <c r="A13" s="1378" t="s">
        <v>1085</v>
      </c>
      <c r="B13" s="1379">
        <v>5.4365051560802691</v>
      </c>
      <c r="C13" s="1380">
        <v>-9.4987923369183491E-2</v>
      </c>
      <c r="D13" s="1381">
        <v>6.7104046080914319</v>
      </c>
      <c r="E13" s="1381">
        <v>6.5285662397688569</v>
      </c>
      <c r="F13" s="1381">
        <v>6.1100924011372069</v>
      </c>
      <c r="G13" s="1380">
        <v>5.3586842252936213</v>
      </c>
      <c r="H13" s="1381">
        <v>1.3805580268084565</v>
      </c>
      <c r="I13" s="1381">
        <v>1.1837320002093286</v>
      </c>
      <c r="J13" s="1381">
        <v>0.61543113817131267</v>
      </c>
    </row>
    <row r="14" spans="1:10" x14ac:dyDescent="0.2">
      <c r="A14" s="1382" t="s">
        <v>1086</v>
      </c>
      <c r="B14" s="1542"/>
      <c r="C14" s="1542"/>
      <c r="D14" s="1542"/>
      <c r="E14" s="1542"/>
      <c r="F14" s="1542"/>
      <c r="G14" s="1542"/>
      <c r="H14" s="1543" t="s">
        <v>366</v>
      </c>
      <c r="I14" s="1543"/>
      <c r="J14" s="1543"/>
    </row>
    <row r="15" spans="1:10" x14ac:dyDescent="0.2">
      <c r="A15" s="1368"/>
    </row>
  </sheetData>
  <mergeCells count="5">
    <mergeCell ref="A1:J1"/>
    <mergeCell ref="D2:G2"/>
    <mergeCell ref="H2:J2"/>
    <mergeCell ref="B14:G14"/>
    <mergeCell ref="H14:J14"/>
  </mergeCells>
  <conditionalFormatting sqref="C4:C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{6967DBF2-3944-4447-84DA-424A56B5CA16}</x14:id>
        </ext>
      </extLst>
    </cfRule>
  </conditionalFormatting>
  <conditionalFormatting sqref="H4:J1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{BEB034C7-B3F8-40DB-B11D-8E4CCA1C7FCF}</x14:id>
        </ext>
      </extLst>
    </cfRule>
  </conditionalFormatting>
  <pageMargins left="0.25" right="0.25" top="0.75" bottom="0.75" header="0.3" footer="0.3"/>
  <pageSetup paperSize="9" fitToHeight="0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67DBF2-3944-4447-84DA-424A56B5CA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C4:C13</xm:sqref>
        </x14:conditionalFormatting>
        <x14:conditionalFormatting xmlns:xm="http://schemas.microsoft.com/office/excel/2006/main">
          <x14:cfRule type="dataBar" id="{BEB034C7-B3F8-40DB-B11D-8E4CCA1C7F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H4:J13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E5D3-DE25-4910-9606-DB39BE526D77}">
  <dimension ref="A1:Q7"/>
  <sheetViews>
    <sheetView showGridLines="0" workbookViewId="0">
      <selection activeCell="E28" sqref="E28"/>
    </sheetView>
  </sheetViews>
  <sheetFormatPr defaultRowHeight="12.75" x14ac:dyDescent="0.2"/>
  <cols>
    <col min="1" max="1" width="50.28515625" style="272" customWidth="1"/>
    <col min="2" max="2" width="10.7109375" style="272" customWidth="1"/>
    <col min="3" max="3" width="8.28515625" style="272" customWidth="1"/>
    <col min="4" max="4" width="7.42578125" style="272" customWidth="1"/>
    <col min="5" max="5" width="9.140625" style="272"/>
    <col min="6" max="6" width="8.140625" style="272" customWidth="1"/>
    <col min="7" max="8" width="9.140625" style="272"/>
    <col min="9" max="9" width="26.42578125" style="272" customWidth="1"/>
    <col min="10" max="16384" width="9.140625" style="272"/>
  </cols>
  <sheetData>
    <row r="1" spans="1:17" ht="15" x14ac:dyDescent="0.25">
      <c r="A1" s="1505" t="s">
        <v>866</v>
      </c>
      <c r="B1" s="1505"/>
      <c r="C1" s="1505"/>
      <c r="D1" s="1505"/>
      <c r="E1" s="1505"/>
      <c r="J1" s="1506"/>
      <c r="K1" s="1506"/>
      <c r="L1" s="1506"/>
      <c r="M1" s="1506"/>
      <c r="N1" s="1506"/>
      <c r="O1" s="955"/>
      <c r="P1" s="956"/>
      <c r="Q1" s="956"/>
    </row>
    <row r="2" spans="1:17" x14ac:dyDescent="0.2">
      <c r="A2" s="957"/>
      <c r="B2" s="958">
        <v>2016</v>
      </c>
      <c r="C2" s="958">
        <v>2017</v>
      </c>
      <c r="D2" s="958">
        <v>2018</v>
      </c>
      <c r="E2" s="958">
        <v>2019</v>
      </c>
      <c r="F2" s="958">
        <v>2020</v>
      </c>
      <c r="G2" s="958">
        <v>2021</v>
      </c>
      <c r="J2" s="959"/>
      <c r="K2" s="960"/>
      <c r="L2" s="960"/>
      <c r="M2" s="960"/>
      <c r="N2" s="960"/>
      <c r="O2" s="960"/>
      <c r="P2" s="956"/>
      <c r="Q2" s="956"/>
    </row>
    <row r="3" spans="1:17" ht="15" x14ac:dyDescent="0.25">
      <c r="A3" s="961" t="s">
        <v>867</v>
      </c>
      <c r="B3" s="962">
        <v>-2.2200000000000002</v>
      </c>
      <c r="C3" s="962">
        <v>-0.7770491556751673</v>
      </c>
      <c r="D3" s="962">
        <v>-0.6</v>
      </c>
      <c r="E3" s="962">
        <v>-0.1</v>
      </c>
      <c r="F3" s="962">
        <v>0</v>
      </c>
      <c r="G3" s="962">
        <v>0.2</v>
      </c>
      <c r="I3" s="961"/>
      <c r="J3" s="963"/>
      <c r="K3" s="964"/>
      <c r="L3" s="964"/>
      <c r="M3" s="964"/>
      <c r="N3" s="964"/>
      <c r="O3" s="955"/>
      <c r="P3" s="956"/>
      <c r="Q3" s="956"/>
    </row>
    <row r="4" spans="1:17" x14ac:dyDescent="0.2">
      <c r="A4" s="965" t="s">
        <v>868</v>
      </c>
      <c r="B4" s="966">
        <v>51.772784829816899</v>
      </c>
      <c r="C4" s="966">
        <v>50.947662603557362</v>
      </c>
      <c r="D4" s="966">
        <v>48.679657950939628</v>
      </c>
      <c r="E4" s="966">
        <v>47.261309400574113</v>
      </c>
      <c r="F4" s="966">
        <v>45.989684811323947</v>
      </c>
      <c r="G4" s="966">
        <v>44.815110238301905</v>
      </c>
      <c r="H4" s="967"/>
      <c r="I4" s="961"/>
      <c r="J4" s="963"/>
      <c r="K4" s="964"/>
      <c r="L4" s="964"/>
      <c r="M4" s="964"/>
      <c r="N4" s="964"/>
      <c r="O4" s="964"/>
      <c r="P4" s="956"/>
      <c r="Q4" s="956"/>
    </row>
    <row r="5" spans="1:17" x14ac:dyDescent="0.2">
      <c r="G5" s="968" t="s">
        <v>869</v>
      </c>
      <c r="H5" s="967"/>
      <c r="I5" s="969"/>
      <c r="J5" s="970"/>
      <c r="K5" s="971"/>
      <c r="L5" s="971"/>
      <c r="M5" s="971"/>
      <c r="N5" s="971"/>
      <c r="O5" s="971"/>
      <c r="P5" s="956"/>
      <c r="Q5" s="956"/>
    </row>
    <row r="6" spans="1:17" ht="15" x14ac:dyDescent="0.2">
      <c r="A6" s="972"/>
      <c r="B6" s="973"/>
      <c r="C6" s="973"/>
      <c r="D6" s="973"/>
      <c r="E6" s="973"/>
      <c r="H6" s="967"/>
      <c r="I6" s="961"/>
      <c r="J6" s="974"/>
      <c r="K6" s="975"/>
      <c r="L6" s="975"/>
      <c r="M6" s="975"/>
      <c r="N6" s="975"/>
      <c r="O6" s="976"/>
      <c r="P6" s="956"/>
      <c r="Q6" s="956"/>
    </row>
    <row r="7" spans="1:17" x14ac:dyDescent="0.2">
      <c r="H7" s="977"/>
      <c r="J7" s="974"/>
      <c r="K7" s="975"/>
      <c r="L7" s="975"/>
      <c r="M7" s="975"/>
      <c r="N7" s="975"/>
      <c r="O7" s="975"/>
      <c r="P7" s="956"/>
      <c r="Q7" s="956"/>
    </row>
  </sheetData>
  <mergeCells count="2">
    <mergeCell ref="A1:E1"/>
    <mergeCell ref="J1:N1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271B-D94C-44A9-BD11-0CD29742AC9C}">
  <dimension ref="A1:K10"/>
  <sheetViews>
    <sheetView showGridLines="0" workbookViewId="0">
      <selection sqref="A1:K1"/>
    </sheetView>
  </sheetViews>
  <sheetFormatPr defaultRowHeight="12" x14ac:dyDescent="0.2"/>
  <cols>
    <col min="1" max="1" width="36.42578125" style="1383" bestFit="1" customWidth="1"/>
    <col min="2" max="11" width="7.140625" style="1383" customWidth="1"/>
    <col min="12" max="16384" width="9.140625" style="1383"/>
  </cols>
  <sheetData>
    <row r="1" spans="1:11" x14ac:dyDescent="0.2">
      <c r="A1" s="1544" t="s">
        <v>1087</v>
      </c>
      <c r="B1" s="1544"/>
      <c r="C1" s="1544"/>
      <c r="D1" s="1544"/>
      <c r="E1" s="1544"/>
      <c r="F1" s="1544"/>
      <c r="G1" s="1544"/>
      <c r="H1" s="1544"/>
      <c r="I1" s="1544"/>
      <c r="J1" s="1544"/>
      <c r="K1" s="1544"/>
    </row>
    <row r="2" spans="1:11" x14ac:dyDescent="0.2">
      <c r="A2" s="1384"/>
      <c r="B2" s="1385" t="s">
        <v>1088</v>
      </c>
      <c r="C2" s="1545" t="s">
        <v>751</v>
      </c>
      <c r="D2" s="1545"/>
      <c r="E2" s="1546"/>
      <c r="F2" s="1545" t="s">
        <v>1089</v>
      </c>
      <c r="G2" s="1545"/>
      <c r="H2" s="1546"/>
      <c r="I2" s="1545" t="s">
        <v>1090</v>
      </c>
      <c r="J2" s="1545"/>
      <c r="K2" s="1545"/>
    </row>
    <row r="3" spans="1:11" x14ac:dyDescent="0.2">
      <c r="A3" s="1386" t="s">
        <v>1091</v>
      </c>
      <c r="B3" s="1386">
        <v>2018</v>
      </c>
      <c r="C3" s="1387">
        <v>2019</v>
      </c>
      <c r="D3" s="1387">
        <v>2020</v>
      </c>
      <c r="E3" s="1386">
        <v>2021</v>
      </c>
      <c r="F3" s="1387">
        <v>2019</v>
      </c>
      <c r="G3" s="1387">
        <v>2020</v>
      </c>
      <c r="H3" s="1386">
        <v>2021</v>
      </c>
      <c r="I3" s="1387">
        <v>2019</v>
      </c>
      <c r="J3" s="1387">
        <v>2020</v>
      </c>
      <c r="K3" s="1387">
        <v>2021</v>
      </c>
    </row>
    <row r="4" spans="1:11" x14ac:dyDescent="0.2">
      <c r="A4" s="1388" t="s">
        <v>1092</v>
      </c>
      <c r="B4" s="1389">
        <v>-0.20108435209702338</v>
      </c>
      <c r="C4" s="1390">
        <v>-0.24171984279406139</v>
      </c>
      <c r="D4" s="1390">
        <v>-0.43612806877899735</v>
      </c>
      <c r="E4" s="1391">
        <v>-0.39783720837176206</v>
      </c>
      <c r="F4" s="1390">
        <v>0.14534186061446519</v>
      </c>
      <c r="G4" s="1390">
        <v>0.5806248572075382</v>
      </c>
      <c r="H4" s="1391">
        <v>8.6486160563883696E-2</v>
      </c>
      <c r="I4" s="1390">
        <v>2.5489879260142102E-2</v>
      </c>
      <c r="J4" s="1390">
        <v>0.61397209063441771</v>
      </c>
      <c r="K4" s="1390">
        <v>0.6145288050027008</v>
      </c>
    </row>
    <row r="5" spans="1:11" x14ac:dyDescent="0.2">
      <c r="A5" s="1392" t="s">
        <v>1093</v>
      </c>
      <c r="B5" s="1393">
        <v>-4.6488285156314334E-2</v>
      </c>
      <c r="C5" s="1394">
        <v>-5.6050222828566629E-2</v>
      </c>
      <c r="D5" s="1394">
        <v>-0.10141521782663589</v>
      </c>
      <c r="E5" s="1395">
        <v>-9.279258444480272E-2</v>
      </c>
      <c r="F5" s="1394">
        <v>3.3947445920083807E-2</v>
      </c>
      <c r="G5" s="1394">
        <v>0.13604135006468371</v>
      </c>
      <c r="H5" s="1395">
        <v>2.062059286050355E-2</v>
      </c>
      <c r="I5" s="1394">
        <v>5.9125832992816037E-3</v>
      </c>
      <c r="J5" s="1394">
        <v>0.1427708831376322</v>
      </c>
      <c r="K5" s="1394">
        <v>0.14331608165866927</v>
      </c>
    </row>
    <row r="6" spans="1:11" x14ac:dyDescent="0.2">
      <c r="A6" s="1396" t="s">
        <v>409</v>
      </c>
      <c r="B6" s="1393">
        <v>-8.496330809216722E-2</v>
      </c>
      <c r="C6" s="1394">
        <v>-0.10243897650355246</v>
      </c>
      <c r="D6" s="1394">
        <v>-0.18534932765246032</v>
      </c>
      <c r="E6" s="1395">
        <v>-0.16959035839551431</v>
      </c>
      <c r="F6" s="1394">
        <v>6.3410792992740689E-2</v>
      </c>
      <c r="G6" s="1394">
        <v>0.25411307547885564</v>
      </c>
      <c r="H6" s="1395">
        <v>3.8517423323779498E-2</v>
      </c>
      <c r="I6" s="1394">
        <v>1.1142878243966431E-2</v>
      </c>
      <c r="J6" s="1394">
        <v>0.26906658004792788</v>
      </c>
      <c r="K6" s="1394">
        <v>0.27009406337140923</v>
      </c>
    </row>
    <row r="7" spans="1:11" x14ac:dyDescent="0.2">
      <c r="A7" s="1396" t="s">
        <v>1094</v>
      </c>
      <c r="B7" s="1393">
        <v>-2.91999825397933E-2</v>
      </c>
      <c r="C7" s="1394">
        <v>-3.4481456133075516E-2</v>
      </c>
      <c r="D7" s="1394">
        <v>-6.1158531377749778E-2</v>
      </c>
      <c r="E7" s="1395">
        <v>-5.4748733001003608E-2</v>
      </c>
      <c r="F7" s="1394">
        <v>1.9994597730426826E-2</v>
      </c>
      <c r="G7" s="1394">
        <v>7.8306924076405687E-2</v>
      </c>
      <c r="H7" s="1395">
        <v>1.0346857471832838E-2</v>
      </c>
      <c r="I7" s="1394">
        <v>3.5160394522659468E-3</v>
      </c>
      <c r="J7" s="1394">
        <v>8.3370768590207478E-2</v>
      </c>
      <c r="K7" s="1394">
        <v>8.1901278107183964E-2</v>
      </c>
    </row>
    <row r="8" spans="1:11" x14ac:dyDescent="0.2">
      <c r="A8" s="1388" t="s">
        <v>1095</v>
      </c>
      <c r="B8" s="1389">
        <v>0</v>
      </c>
      <c r="C8" s="1390">
        <v>-9.7956062813605763E-2</v>
      </c>
      <c r="D8" s="1390">
        <v>2.0625948377266529E-2</v>
      </c>
      <c r="E8" s="1391">
        <v>6.8991626839976852E-2</v>
      </c>
      <c r="F8" s="1390">
        <v>-6.8226046282165262E-2</v>
      </c>
      <c r="G8" s="1390">
        <v>6.3372881958102548E-2</v>
      </c>
      <c r="H8" s="1391">
        <v>3.0199870465291156E-3</v>
      </c>
      <c r="I8" s="1390">
        <v>-9.7956062813605763E-2</v>
      </c>
      <c r="J8" s="1390">
        <v>2.0625948377266529E-2</v>
      </c>
      <c r="K8" s="1390">
        <v>6.8991626839976852E-2</v>
      </c>
    </row>
    <row r="9" spans="1:11" x14ac:dyDescent="0.2">
      <c r="A9" s="1397" t="s">
        <v>1096</v>
      </c>
      <c r="B9" s="1398">
        <v>-7.5565021096273277E-2</v>
      </c>
      <c r="C9" s="1399">
        <v>-1.7754230127247084E-2</v>
      </c>
      <c r="D9" s="1399">
        <v>-9.8259870435388308E-2</v>
      </c>
      <c r="E9" s="1398">
        <v>5.03012935859104E-3</v>
      </c>
      <c r="F9" s="1399">
        <v>0.20821149659990645</v>
      </c>
      <c r="G9" s="1399">
        <v>0.3438446889521849</v>
      </c>
      <c r="H9" s="1398">
        <v>-0.17332480226515301</v>
      </c>
      <c r="I9" s="1399">
        <v>-3.0030600489627801E-3</v>
      </c>
      <c r="J9" s="1399">
        <v>0.36843840009511197</v>
      </c>
      <c r="K9" s="1399">
        <v>-8.3175464179017666E-2</v>
      </c>
    </row>
    <row r="10" spans="1:11" ht="12.75" customHeight="1" x14ac:dyDescent="0.2">
      <c r="A10" s="1547" t="s">
        <v>84</v>
      </c>
      <c r="B10" s="1547"/>
      <c r="C10" s="1547"/>
      <c r="D10" s="1547"/>
      <c r="E10" s="1547"/>
      <c r="F10" s="1547"/>
      <c r="G10" s="1547"/>
      <c r="H10" s="1547"/>
      <c r="I10" s="1547"/>
      <c r="J10" s="1547"/>
      <c r="K10" s="1547"/>
    </row>
  </sheetData>
  <mergeCells count="5">
    <mergeCell ref="A1:K1"/>
    <mergeCell ref="C2:E2"/>
    <mergeCell ref="F2:H2"/>
    <mergeCell ref="I2:K2"/>
    <mergeCell ref="A10:K10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8B5FA-FDC6-41C4-85F8-FD132A0EDD26}">
  <dimension ref="A1:M14"/>
  <sheetViews>
    <sheetView showGridLines="0" workbookViewId="0">
      <selection sqref="A1:M1"/>
    </sheetView>
  </sheetViews>
  <sheetFormatPr defaultRowHeight="12" x14ac:dyDescent="0.2"/>
  <cols>
    <col min="1" max="1" width="24.7109375" style="1383" customWidth="1"/>
    <col min="2" max="10" width="4.5703125" style="1383" customWidth="1"/>
    <col min="11" max="13" width="5.42578125" style="1383" customWidth="1"/>
    <col min="14" max="16384" width="9.140625" style="1383"/>
  </cols>
  <sheetData>
    <row r="1" spans="1:13" x14ac:dyDescent="0.2">
      <c r="A1" s="1544" t="s">
        <v>723</v>
      </c>
      <c r="B1" s="1544"/>
      <c r="C1" s="1544"/>
      <c r="D1" s="1544"/>
      <c r="E1" s="1544"/>
      <c r="F1" s="1544"/>
      <c r="G1" s="1544"/>
      <c r="H1" s="1544"/>
      <c r="I1" s="1544"/>
      <c r="J1" s="1544"/>
      <c r="K1" s="1544"/>
      <c r="L1" s="1544"/>
      <c r="M1" s="1544"/>
    </row>
    <row r="2" spans="1:13" ht="33.75" customHeight="1" x14ac:dyDescent="0.2">
      <c r="A2" s="1400" t="s">
        <v>1097</v>
      </c>
      <c r="B2" s="1549" t="s">
        <v>751</v>
      </c>
      <c r="C2" s="1550"/>
      <c r="D2" s="1551"/>
      <c r="E2" s="1549" t="s">
        <v>1089</v>
      </c>
      <c r="F2" s="1550"/>
      <c r="G2" s="1551"/>
      <c r="H2" s="1552" t="s">
        <v>1090</v>
      </c>
      <c r="I2" s="1553"/>
      <c r="J2" s="1554"/>
      <c r="K2" s="1552" t="s">
        <v>1098</v>
      </c>
      <c r="L2" s="1553"/>
      <c r="M2" s="1553"/>
    </row>
    <row r="3" spans="1:13" ht="12" customHeight="1" x14ac:dyDescent="0.2">
      <c r="A3" s="1400"/>
      <c r="B3" s="1401">
        <v>2019</v>
      </c>
      <c r="C3" s="1401">
        <v>2020</v>
      </c>
      <c r="D3" s="1400">
        <v>2021</v>
      </c>
      <c r="E3" s="1401">
        <v>2019</v>
      </c>
      <c r="F3" s="1401">
        <v>2020</v>
      </c>
      <c r="G3" s="1400">
        <v>2021</v>
      </c>
      <c r="H3" s="1401">
        <v>2019</v>
      </c>
      <c r="I3" s="1401">
        <v>2020</v>
      </c>
      <c r="J3" s="1400">
        <v>2021</v>
      </c>
      <c r="K3" s="1401">
        <v>2019</v>
      </c>
      <c r="L3" s="1401">
        <v>2020</v>
      </c>
      <c r="M3" s="1401">
        <v>2021</v>
      </c>
    </row>
    <row r="4" spans="1:13" x14ac:dyDescent="0.2">
      <c r="A4" s="1402" t="s">
        <v>1099</v>
      </c>
      <c r="B4" s="1403">
        <v>2.4801790799866748</v>
      </c>
      <c r="C4" s="1403">
        <v>2.5097464805414917</v>
      </c>
      <c r="D4" s="1404">
        <v>2.5192262029591781</v>
      </c>
      <c r="E4" s="1403">
        <v>2.6044553940790385</v>
      </c>
      <c r="F4" s="1403">
        <v>2.6033436675324948</v>
      </c>
      <c r="G4" s="1404">
        <v>2.4376690413659232</v>
      </c>
      <c r="H4" s="1403">
        <v>2.4988554397068103</v>
      </c>
      <c r="I4" s="1403">
        <v>2.5902269557020743</v>
      </c>
      <c r="J4" s="1404">
        <v>2.5011310621357907</v>
      </c>
      <c r="K4" s="1405">
        <v>8.1128536456098743E-4</v>
      </c>
      <c r="L4" s="1405">
        <v>0.10649659926966226</v>
      </c>
      <c r="M4" s="1405">
        <v>5.9837002750739998E-3</v>
      </c>
    </row>
    <row r="5" spans="1:13" x14ac:dyDescent="0.2">
      <c r="A5" s="1402" t="s">
        <v>1100</v>
      </c>
      <c r="B5" s="1403">
        <v>0.97312817244577587</v>
      </c>
      <c r="C5" s="1403">
        <v>0.68770011998657488</v>
      </c>
      <c r="D5" s="1404">
        <v>0.64269346373268998</v>
      </c>
      <c r="E5" s="1403">
        <v>1.3910874850703934</v>
      </c>
      <c r="F5" s="1403">
        <v>1.1130947546213168</v>
      </c>
      <c r="G5" s="1404">
        <v>0.54243329913017302</v>
      </c>
      <c r="H5" s="1403">
        <v>1.3063835485415964</v>
      </c>
      <c r="I5" s="1403">
        <v>1.1017073798674364</v>
      </c>
      <c r="J5" s="1404">
        <v>0.57559686964869794</v>
      </c>
      <c r="K5" s="1405">
        <v>0.16414428820549887</v>
      </c>
      <c r="L5" s="1405">
        <v>0.22160981538159863</v>
      </c>
      <c r="M5" s="1405">
        <v>-9.9136318206993757E-2</v>
      </c>
    </row>
    <row r="6" spans="1:13" x14ac:dyDescent="0.2">
      <c r="A6" s="1402" t="s">
        <v>1101</v>
      </c>
      <c r="B6" s="1403">
        <v>6.0690579304813781</v>
      </c>
      <c r="C6" s="1403">
        <v>5.9275082321023689</v>
      </c>
      <c r="D6" s="1404">
        <v>5.366368676965223</v>
      </c>
      <c r="E6" s="1403">
        <v>6.7058022956685477</v>
      </c>
      <c r="F6" s="1403">
        <v>6.5449162263181933</v>
      </c>
      <c r="G6" s="1404">
        <v>5.1684468782883073</v>
      </c>
      <c r="H6" s="1403">
        <v>6.5771907321357332</v>
      </c>
      <c r="I6" s="1403">
        <v>6.5648503260385667</v>
      </c>
      <c r="J6" s="1404">
        <v>5.2227342261506209</v>
      </c>
      <c r="K6" s="1405">
        <v>0.25932301249110878</v>
      </c>
      <c r="L6" s="1405">
        <v>0.34386611062539885</v>
      </c>
      <c r="M6" s="1405">
        <v>-0.19684619342979204</v>
      </c>
    </row>
    <row r="7" spans="1:13" x14ac:dyDescent="0.2">
      <c r="A7" s="1402" t="s">
        <v>1102</v>
      </c>
      <c r="B7" s="1403">
        <v>2.7771868957987067</v>
      </c>
      <c r="C7" s="1403">
        <v>2.8448259889473775</v>
      </c>
      <c r="D7" s="1404">
        <v>2.4701860554695116</v>
      </c>
      <c r="E7" s="1403">
        <v>3.4743498268316131</v>
      </c>
      <c r="F7" s="1403">
        <v>3.0282888034703319</v>
      </c>
      <c r="G7" s="1404">
        <v>2.1420262263827539</v>
      </c>
      <c r="H7" s="1403">
        <v>3.394733928670405</v>
      </c>
      <c r="I7" s="1403">
        <v>3.0855038771882448</v>
      </c>
      <c r="J7" s="1404">
        <v>2.1765252088740539</v>
      </c>
      <c r="K7" s="1405">
        <v>0.16482117475057123</v>
      </c>
      <c r="L7" s="1405">
        <v>0.26494673227064425</v>
      </c>
      <c r="M7" s="1405">
        <v>-0.24150599001069395</v>
      </c>
    </row>
    <row r="8" spans="1:13" x14ac:dyDescent="0.2">
      <c r="A8" s="1402" t="s">
        <v>1103</v>
      </c>
      <c r="B8" s="1403">
        <v>1.6331113136106357</v>
      </c>
      <c r="C8" s="1403">
        <v>1.1016811551094463</v>
      </c>
      <c r="D8" s="1404">
        <v>1.3863856121308249</v>
      </c>
      <c r="E8" s="1403">
        <v>2.6888293675768615</v>
      </c>
      <c r="F8" s="1403">
        <v>4.2008117191807859</v>
      </c>
      <c r="G8" s="1404">
        <v>1.2220728624713795</v>
      </c>
      <c r="H8" s="1403">
        <v>2.1475481498543392</v>
      </c>
      <c r="I8" s="1403">
        <v>4.2471831946515159</v>
      </c>
      <c r="J8" s="1404">
        <v>1.4760502693005328</v>
      </c>
      <c r="K8" s="1405">
        <v>0.6583908325545007</v>
      </c>
      <c r="L8" s="1405">
        <v>2.5569906454992575</v>
      </c>
      <c r="M8" s="1405">
        <v>0.286842987018332</v>
      </c>
    </row>
    <row r="9" spans="1:13" x14ac:dyDescent="0.2">
      <c r="A9" s="1402" t="s">
        <v>1104</v>
      </c>
      <c r="B9" s="1403">
        <v>4.0108916979001492</v>
      </c>
      <c r="C9" s="1403">
        <v>2.7791446955010883</v>
      </c>
      <c r="D9" s="1404">
        <v>2.5875242450142935</v>
      </c>
      <c r="E9" s="1403">
        <v>2.788453720044302</v>
      </c>
      <c r="F9" s="1403">
        <v>2.4363107638872634</v>
      </c>
      <c r="G9" s="1404">
        <v>2.0327170342901155</v>
      </c>
      <c r="H9" s="1403">
        <v>1.6216378802588594</v>
      </c>
      <c r="I9" s="1403">
        <v>2.4062231996453392</v>
      </c>
      <c r="J9" s="1404">
        <v>2.5156216207572015</v>
      </c>
      <c r="K9" s="1405">
        <v>-1.4655047122436526</v>
      </c>
      <c r="L9" s="1405">
        <v>-0.61481359724651252</v>
      </c>
      <c r="M9" s="1405">
        <v>-0.48013339529848853</v>
      </c>
    </row>
    <row r="10" spans="1:13" x14ac:dyDescent="0.2">
      <c r="A10" s="1406" t="s">
        <v>1105</v>
      </c>
      <c r="B10" s="1407">
        <v>6.808989722556241</v>
      </c>
      <c r="C10" s="1407">
        <v>5.6429969141054794</v>
      </c>
      <c r="D10" s="1408">
        <v>5.0169202523072842</v>
      </c>
      <c r="E10" s="1407">
        <v>6.8205313417963893</v>
      </c>
      <c r="F10" s="1407">
        <v>5.7293146246045676</v>
      </c>
      <c r="G10" s="1408">
        <v>4.870802091446703</v>
      </c>
      <c r="H10" s="1407">
        <v>6.6334337760689337</v>
      </c>
      <c r="I10" s="1407">
        <v>5.7454763306097743</v>
      </c>
      <c r="J10" s="1408">
        <v>4.9467967580056582</v>
      </c>
      <c r="K10" s="1409">
        <v>-0.14531449432080024</v>
      </c>
      <c r="L10" s="1409">
        <v>5.2483026277712952E-2</v>
      </c>
      <c r="M10" s="1409">
        <v>-0.10739041105992442</v>
      </c>
    </row>
    <row r="11" spans="1:13" x14ac:dyDescent="0.2">
      <c r="A11" s="1410" t="s">
        <v>1106</v>
      </c>
      <c r="B11" s="1403">
        <v>4.1660356347359908</v>
      </c>
      <c r="C11" s="1403">
        <v>4.4793724862828697</v>
      </c>
      <c r="D11" s="1404">
        <v>4.0263308147387562</v>
      </c>
      <c r="E11" s="1403">
        <v>4.7077241586852097</v>
      </c>
      <c r="F11" s="1403">
        <v>4.2587330563112999</v>
      </c>
      <c r="G11" s="1404">
        <v>3.1519532926431708</v>
      </c>
      <c r="H11" s="1403">
        <v>4.1832018875693819</v>
      </c>
      <c r="I11" s="1403">
        <v>4.4182239294301269</v>
      </c>
      <c r="J11" s="1404">
        <v>4.1203114650990074</v>
      </c>
      <c r="K11" s="1405">
        <v>-3.0030600489627801E-3</v>
      </c>
      <c r="L11" s="1405">
        <v>0.36843840009511197</v>
      </c>
      <c r="M11" s="1405">
        <v>-8.3175464179017666E-2</v>
      </c>
    </row>
    <row r="12" spans="1:13" x14ac:dyDescent="0.2">
      <c r="A12" s="1411" t="s">
        <v>1107</v>
      </c>
      <c r="B12" s="1407">
        <v>1.2066913895963918</v>
      </c>
      <c r="C12" s="1407">
        <v>1.2809644075061895</v>
      </c>
      <c r="D12" s="1408">
        <v>1.2345563159508914</v>
      </c>
      <c r="E12" s="1407">
        <v>1.3474702431990409</v>
      </c>
      <c r="F12" s="1407">
        <v>1.7463155297989204</v>
      </c>
      <c r="G12" s="1408">
        <v>1.5463743268509234</v>
      </c>
      <c r="H12" s="1407">
        <v>1.1762950825149545</v>
      </c>
      <c r="I12" s="1407">
        <v>1.631382239951833</v>
      </c>
      <c r="J12" s="1408">
        <v>1.537785571138599</v>
      </c>
      <c r="K12" s="1409">
        <v>-3.0396307081437257E-2</v>
      </c>
      <c r="L12" s="1409">
        <v>0.35041783244564351</v>
      </c>
      <c r="M12" s="1409">
        <v>0.3032292551877076</v>
      </c>
    </row>
    <row r="13" spans="1:13" ht="12.75" customHeight="1" x14ac:dyDescent="0.2">
      <c r="A13" s="1548" t="s">
        <v>84</v>
      </c>
      <c r="B13" s="1548"/>
      <c r="C13" s="1548"/>
      <c r="D13" s="1548"/>
      <c r="E13" s="1548"/>
      <c r="F13" s="1548"/>
      <c r="G13" s="1548"/>
      <c r="H13" s="1548"/>
      <c r="I13" s="1548"/>
      <c r="J13" s="1548"/>
      <c r="K13" s="1548"/>
      <c r="L13" s="1548"/>
      <c r="M13" s="1548"/>
    </row>
    <row r="14" spans="1:13" x14ac:dyDescent="0.2">
      <c r="A14" s="1412"/>
      <c r="B14" s="1412"/>
      <c r="C14" s="1412"/>
      <c r="D14" s="1412"/>
      <c r="E14" s="1412"/>
      <c r="F14" s="1412"/>
      <c r="G14" s="1412"/>
      <c r="H14" s="1412"/>
      <c r="I14" s="1412"/>
      <c r="J14" s="1412"/>
      <c r="K14" s="1412"/>
      <c r="L14" s="1412"/>
    </row>
  </sheetData>
  <mergeCells count="6">
    <mergeCell ref="A13:M13"/>
    <mergeCell ref="A1:M1"/>
    <mergeCell ref="B2:D2"/>
    <mergeCell ref="E2:G2"/>
    <mergeCell ref="H2:J2"/>
    <mergeCell ref="K2:M2"/>
  </mergeCells>
  <pageMargins left="0.7" right="0.7" top="0.75" bottom="0.75" header="0.3" footer="0.3"/>
  <pageSetup paperSize="9" orientation="portrait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1B03-05D1-4D94-89EF-0C934DA1E083}">
  <dimension ref="A1:G8"/>
  <sheetViews>
    <sheetView showGridLines="0" zoomScaleNormal="100" workbookViewId="0">
      <selection sqref="A1:F1"/>
    </sheetView>
  </sheetViews>
  <sheetFormatPr defaultRowHeight="15" x14ac:dyDescent="0.25"/>
  <cols>
    <col min="1" max="1" width="40" style="1414" bestFit="1" customWidth="1"/>
    <col min="2" max="4" width="9.140625" style="1414"/>
    <col min="5" max="5" width="9.140625" style="1414" customWidth="1"/>
    <col min="6" max="17" width="9.140625" style="1414"/>
    <col min="18" max="18" width="11.85546875" style="1414" bestFit="1" customWidth="1"/>
    <col min="19" max="30" width="9.140625" style="1414"/>
    <col min="31" max="31" width="41.7109375" style="1414" bestFit="1" customWidth="1"/>
    <col min="32" max="32" width="9" style="1414" customWidth="1"/>
    <col min="33" max="37" width="8.140625" style="1414" customWidth="1"/>
    <col min="38" max="16384" width="9.140625" style="1414"/>
  </cols>
  <sheetData>
    <row r="1" spans="1:7" x14ac:dyDescent="0.25">
      <c r="A1" s="1555" t="s">
        <v>1184</v>
      </c>
      <c r="B1" s="1555"/>
      <c r="C1" s="1555"/>
      <c r="D1" s="1555"/>
      <c r="E1" s="1555"/>
      <c r="F1" s="1555"/>
      <c r="G1" s="1413"/>
    </row>
    <row r="2" spans="1:7" ht="22.5" customHeight="1" x14ac:dyDescent="0.25">
      <c r="A2" s="1415" t="s">
        <v>1074</v>
      </c>
      <c r="B2" s="1416" t="s">
        <v>1045</v>
      </c>
      <c r="C2" s="1556" t="s">
        <v>1108</v>
      </c>
      <c r="D2" s="1556"/>
      <c r="E2" s="1556"/>
      <c r="F2" s="1556"/>
      <c r="G2" s="1417"/>
    </row>
    <row r="3" spans="1:7" x14ac:dyDescent="0.25">
      <c r="A3" s="1418"/>
      <c r="B3" s="1419">
        <v>2017</v>
      </c>
      <c r="C3" s="1420">
        <v>2018</v>
      </c>
      <c r="D3" s="1420">
        <v>2019</v>
      </c>
      <c r="E3" s="1420">
        <v>2020</v>
      </c>
      <c r="F3" s="1420">
        <v>2021</v>
      </c>
      <c r="G3" s="1417"/>
    </row>
    <row r="4" spans="1:7" x14ac:dyDescent="0.25">
      <c r="A4" s="1421" t="s">
        <v>1109</v>
      </c>
      <c r="B4" s="1422">
        <v>5.4365051560802691</v>
      </c>
      <c r="C4" s="1423">
        <v>6.7104046080914319</v>
      </c>
      <c r="D4" s="1423">
        <v>6.5285662397688569</v>
      </c>
      <c r="E4" s="1423">
        <v>6.1100924011372069</v>
      </c>
      <c r="F4" s="1423">
        <v>5.3586842252936213</v>
      </c>
      <c r="G4" s="1417"/>
    </row>
    <row r="5" spans="1:7" x14ac:dyDescent="0.25">
      <c r="A5" s="1424" t="s">
        <v>1110</v>
      </c>
      <c r="B5" s="1425">
        <v>5.4365051560802691</v>
      </c>
      <c r="C5" s="1426" t="s">
        <v>1111</v>
      </c>
      <c r="D5" s="1426" t="s">
        <v>1112</v>
      </c>
      <c r="E5" s="1426" t="s">
        <v>1113</v>
      </c>
      <c r="F5" s="1426" t="s">
        <v>1114</v>
      </c>
      <c r="G5" s="1417"/>
    </row>
    <row r="6" spans="1:7" x14ac:dyDescent="0.25">
      <c r="A6" s="1424" t="s">
        <v>1115</v>
      </c>
      <c r="B6" s="1425">
        <v>5.4365051560802691</v>
      </c>
      <c r="C6" s="1426" t="s">
        <v>1116</v>
      </c>
      <c r="D6" s="1426" t="s">
        <v>1117</v>
      </c>
      <c r="E6" s="1426" t="s">
        <v>1118</v>
      </c>
      <c r="F6" s="1426" t="s">
        <v>1119</v>
      </c>
      <c r="G6" s="1417"/>
    </row>
    <row r="7" spans="1:7" x14ac:dyDescent="0.25">
      <c r="A7" s="1427" t="s">
        <v>1120</v>
      </c>
      <c r="B7" s="1428">
        <v>5.4365051560802691</v>
      </c>
      <c r="C7" s="1429" t="s">
        <v>1121</v>
      </c>
      <c r="D7" s="1429" t="s">
        <v>1122</v>
      </c>
      <c r="E7" s="1429" t="s">
        <v>1123</v>
      </c>
      <c r="F7" s="1429" t="s">
        <v>1124</v>
      </c>
      <c r="G7" s="1417"/>
    </row>
    <row r="8" spans="1:7" x14ac:dyDescent="0.25">
      <c r="A8" s="1430"/>
      <c r="B8" s="1557" t="s">
        <v>89</v>
      </c>
      <c r="C8" s="1557"/>
      <c r="D8" s="1557"/>
      <c r="E8" s="1557"/>
      <c r="F8" s="1557"/>
      <c r="G8" s="1417"/>
    </row>
  </sheetData>
  <mergeCells count="3">
    <mergeCell ref="A1:F1"/>
    <mergeCell ref="C2:F2"/>
    <mergeCell ref="B8:F8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9AAE-1BB8-44B7-B49A-0C6ADE89A64F}">
  <dimension ref="A1:C40"/>
  <sheetViews>
    <sheetView showGridLines="0" workbookViewId="0"/>
  </sheetViews>
  <sheetFormatPr defaultRowHeight="15" x14ac:dyDescent="0.25"/>
  <cols>
    <col min="1" max="1" width="40.7109375" style="874" customWidth="1"/>
    <col min="2" max="3" width="15.7109375" style="931" customWidth="1"/>
    <col min="4" max="16384" width="9.140625" style="874"/>
  </cols>
  <sheetData>
    <row r="1" spans="1:3" ht="15.75" customHeight="1" thickBot="1" x14ac:dyDescent="0.3">
      <c r="A1" s="901" t="s">
        <v>814</v>
      </c>
      <c r="B1" s="902"/>
      <c r="C1" s="902"/>
    </row>
    <row r="2" spans="1:3" ht="15.75" thickBot="1" x14ac:dyDescent="0.3">
      <c r="A2" s="903" t="s">
        <v>815</v>
      </c>
      <c r="B2" s="904" t="s">
        <v>816</v>
      </c>
      <c r="C2" s="905" t="s">
        <v>817</v>
      </c>
    </row>
    <row r="3" spans="1:3" ht="15.75" thickBot="1" x14ac:dyDescent="0.3">
      <c r="A3" s="906" t="s">
        <v>818</v>
      </c>
      <c r="B3" s="907">
        <v>-1109</v>
      </c>
      <c r="C3" s="908">
        <v>-424.14026482667077</v>
      </c>
    </row>
    <row r="4" spans="1:3" x14ac:dyDescent="0.25">
      <c r="A4" s="909" t="s">
        <v>40</v>
      </c>
      <c r="B4" s="910">
        <v>-183</v>
      </c>
      <c r="C4" s="911">
        <v>-260.14979915600003</v>
      </c>
    </row>
    <row r="5" spans="1:3" x14ac:dyDescent="0.25">
      <c r="A5" s="912" t="s">
        <v>41</v>
      </c>
      <c r="B5" s="910">
        <v>-64</v>
      </c>
      <c r="C5" s="913">
        <v>-73.734260806000009</v>
      </c>
    </row>
    <row r="6" spans="1:3" x14ac:dyDescent="0.25">
      <c r="A6" s="912" t="s">
        <v>42</v>
      </c>
      <c r="B6" s="910">
        <v>-30</v>
      </c>
      <c r="C6" s="913">
        <v>-29.483816370000003</v>
      </c>
    </row>
    <row r="7" spans="1:3" x14ac:dyDescent="0.25">
      <c r="A7" s="912" t="s">
        <v>819</v>
      </c>
      <c r="B7" s="910">
        <v>-58</v>
      </c>
      <c r="C7" s="913">
        <v>-56.050003799999999</v>
      </c>
    </row>
    <row r="8" spans="1:3" x14ac:dyDescent="0.25">
      <c r="A8" s="912" t="s">
        <v>820</v>
      </c>
      <c r="B8" s="910">
        <v>-31</v>
      </c>
      <c r="C8" s="913">
        <v>-30.212685919999998</v>
      </c>
    </row>
    <row r="9" spans="1:3" x14ac:dyDescent="0.25">
      <c r="A9" s="912" t="s">
        <v>821</v>
      </c>
      <c r="B9" s="910">
        <v>0</v>
      </c>
      <c r="C9" s="913">
        <v>-36.661742440000012</v>
      </c>
    </row>
    <row r="10" spans="1:3" ht="24.75" thickBot="1" x14ac:dyDescent="0.3">
      <c r="A10" s="912" t="s">
        <v>822</v>
      </c>
      <c r="B10" s="910">
        <v>0</v>
      </c>
      <c r="C10" s="914">
        <v>-34.007289820000004</v>
      </c>
    </row>
    <row r="11" spans="1:3" ht="15.75" thickBot="1" x14ac:dyDescent="0.3">
      <c r="A11" s="915" t="s">
        <v>823</v>
      </c>
      <c r="B11" s="916">
        <v>-80</v>
      </c>
      <c r="C11" s="917">
        <v>-13.4</v>
      </c>
    </row>
    <row r="12" spans="1:3" x14ac:dyDescent="0.25">
      <c r="A12" s="918" t="s">
        <v>824</v>
      </c>
      <c r="B12" s="910">
        <v>-489</v>
      </c>
      <c r="C12" s="911">
        <v>-330.93384131252151</v>
      </c>
    </row>
    <row r="13" spans="1:3" x14ac:dyDescent="0.25">
      <c r="A13" s="912" t="s">
        <v>49</v>
      </c>
      <c r="B13" s="910">
        <v>-166</v>
      </c>
      <c r="C13" s="913">
        <v>-53.139290999999957</v>
      </c>
    </row>
    <row r="14" spans="1:3" ht="24" x14ac:dyDescent="0.25">
      <c r="A14" s="912" t="s">
        <v>825</v>
      </c>
      <c r="B14" s="910">
        <v>2</v>
      </c>
      <c r="C14" s="913">
        <v>-50.522741280002037</v>
      </c>
    </row>
    <row r="15" spans="1:3" x14ac:dyDescent="0.25">
      <c r="A15" s="912" t="s">
        <v>826</v>
      </c>
      <c r="B15" s="910">
        <v>-107</v>
      </c>
      <c r="C15" s="913">
        <v>0</v>
      </c>
    </row>
    <row r="16" spans="1:3" x14ac:dyDescent="0.25">
      <c r="A16" s="912" t="s">
        <v>827</v>
      </c>
      <c r="B16" s="910">
        <v>-20</v>
      </c>
      <c r="C16" s="913">
        <v>-18.7</v>
      </c>
    </row>
    <row r="17" spans="1:3" ht="15.75" thickBot="1" x14ac:dyDescent="0.3">
      <c r="A17" s="912" t="s">
        <v>53</v>
      </c>
      <c r="B17" s="910">
        <v>-218</v>
      </c>
      <c r="C17" s="914">
        <v>-227.27180903251951</v>
      </c>
    </row>
    <row r="18" spans="1:3" x14ac:dyDescent="0.25">
      <c r="A18" s="909" t="s">
        <v>828</v>
      </c>
      <c r="B18" s="919">
        <v>-135</v>
      </c>
      <c r="C18" s="911">
        <v>-97.312964809999912</v>
      </c>
    </row>
    <row r="19" spans="1:3" ht="24" x14ac:dyDescent="0.25">
      <c r="A19" s="918" t="s">
        <v>829</v>
      </c>
      <c r="B19" s="910">
        <v>-110</v>
      </c>
      <c r="C19" s="913">
        <v>-30.170964809999916</v>
      </c>
    </row>
    <row r="20" spans="1:3" ht="24.75" thickBot="1" x14ac:dyDescent="0.3">
      <c r="A20" s="920" t="s">
        <v>57</v>
      </c>
      <c r="B20" s="921">
        <v>-25</v>
      </c>
      <c r="C20" s="914">
        <v>-67.141999999999996</v>
      </c>
    </row>
    <row r="21" spans="1:3" ht="15.75" thickBot="1" x14ac:dyDescent="0.3">
      <c r="A21" s="920" t="s">
        <v>830</v>
      </c>
      <c r="B21" s="922">
        <v>-133</v>
      </c>
      <c r="C21" s="923">
        <v>-282.16177124829812</v>
      </c>
    </row>
    <row r="22" spans="1:3" x14ac:dyDescent="0.25">
      <c r="A22" s="918" t="s">
        <v>831</v>
      </c>
      <c r="B22" s="910">
        <v>-66</v>
      </c>
      <c r="C22" s="911">
        <v>-72.722262269999987</v>
      </c>
    </row>
    <row r="23" spans="1:3" x14ac:dyDescent="0.25">
      <c r="A23" s="912" t="s">
        <v>832</v>
      </c>
      <c r="B23" s="910">
        <v>-27</v>
      </c>
      <c r="C23" s="913">
        <v>-54.22003998000001</v>
      </c>
    </row>
    <row r="24" spans="1:3" x14ac:dyDescent="0.25">
      <c r="A24" s="912" t="s">
        <v>833</v>
      </c>
      <c r="B24" s="910">
        <v>-24</v>
      </c>
      <c r="C24" s="913">
        <v>-28.081177289999971</v>
      </c>
    </row>
    <row r="25" spans="1:3" ht="15.75" thickBot="1" x14ac:dyDescent="0.3">
      <c r="A25" s="912" t="s">
        <v>834</v>
      </c>
      <c r="B25" s="910">
        <v>-15</v>
      </c>
      <c r="C25" s="914">
        <v>9.5789549999999934</v>
      </c>
    </row>
    <row r="26" spans="1:3" ht="15.75" thickBot="1" x14ac:dyDescent="0.3">
      <c r="A26" s="909" t="s">
        <v>835</v>
      </c>
      <c r="B26" s="924">
        <v>-23</v>
      </c>
      <c r="C26" s="923">
        <v>733.73518947869525</v>
      </c>
    </row>
    <row r="27" spans="1:3" ht="15.75" thickBot="1" x14ac:dyDescent="0.3">
      <c r="A27" s="909" t="s">
        <v>836</v>
      </c>
      <c r="B27" s="921">
        <v>0</v>
      </c>
      <c r="C27" s="917">
        <v>-101.19481550854653</v>
      </c>
    </row>
    <row r="28" spans="1:3" ht="24.75" thickBot="1" x14ac:dyDescent="0.3">
      <c r="A28" s="909" t="s">
        <v>837</v>
      </c>
      <c r="B28" s="921" t="s">
        <v>45</v>
      </c>
      <c r="C28" s="925" t="s">
        <v>45</v>
      </c>
    </row>
    <row r="29" spans="1:3" ht="15.75" thickBot="1" x14ac:dyDescent="0.3">
      <c r="A29" s="909" t="s">
        <v>838</v>
      </c>
      <c r="B29" s="921" t="s">
        <v>45</v>
      </c>
      <c r="C29" s="925" t="s">
        <v>45</v>
      </c>
    </row>
    <row r="30" spans="1:3" ht="24.75" thickBot="1" x14ac:dyDescent="0.3">
      <c r="A30" s="909" t="s">
        <v>839</v>
      </c>
      <c r="B30" s="921" t="s">
        <v>45</v>
      </c>
      <c r="C30" s="925" t="s">
        <v>45</v>
      </c>
    </row>
    <row r="31" spans="1:3" ht="15.75" thickBot="1" x14ac:dyDescent="0.3">
      <c r="A31" s="915" t="s">
        <v>840</v>
      </c>
      <c r="B31" s="921" t="s">
        <v>45</v>
      </c>
      <c r="C31" s="925" t="s">
        <v>45</v>
      </c>
    </row>
    <row r="32" spans="1:3" ht="15.75" thickBot="1" x14ac:dyDescent="0.3">
      <c r="A32" s="926" t="s">
        <v>841</v>
      </c>
      <c r="B32" s="927"/>
      <c r="C32" s="928"/>
    </row>
    <row r="33" spans="1:3" ht="15.75" thickBot="1" x14ac:dyDescent="0.3">
      <c r="A33" s="906" t="s">
        <v>842</v>
      </c>
      <c r="B33" s="929">
        <v>574</v>
      </c>
      <c r="C33" s="908">
        <v>336.75146633500526</v>
      </c>
    </row>
    <row r="34" spans="1:3" ht="15.75" thickBot="1" x14ac:dyDescent="0.3">
      <c r="A34" s="915" t="s">
        <v>843</v>
      </c>
      <c r="B34" s="921">
        <v>-133</v>
      </c>
      <c r="C34" s="917">
        <v>-92.018277606151031</v>
      </c>
    </row>
    <row r="35" spans="1:3" ht="15.75" thickBot="1" x14ac:dyDescent="0.3">
      <c r="A35" s="920" t="s">
        <v>844</v>
      </c>
      <c r="B35" s="921">
        <v>697</v>
      </c>
      <c r="C35" s="917">
        <v>410.49925000000002</v>
      </c>
    </row>
    <row r="36" spans="1:3" ht="15.75" thickBot="1" x14ac:dyDescent="0.3">
      <c r="A36" s="920" t="s">
        <v>845</v>
      </c>
      <c r="B36" s="921">
        <v>10</v>
      </c>
      <c r="C36" s="917">
        <v>-5.5945857768440419</v>
      </c>
    </row>
    <row r="37" spans="1:3" ht="15.75" thickBot="1" x14ac:dyDescent="0.3">
      <c r="A37" s="920" t="s">
        <v>846</v>
      </c>
      <c r="B37" s="921">
        <v>0</v>
      </c>
      <c r="C37" s="917">
        <v>29.526690999999914</v>
      </c>
    </row>
    <row r="38" spans="1:3" ht="15.75" thickBot="1" x14ac:dyDescent="0.3">
      <c r="A38" s="920" t="s">
        <v>847</v>
      </c>
      <c r="B38" s="921" t="s">
        <v>45</v>
      </c>
      <c r="C38" s="917">
        <v>0</v>
      </c>
    </row>
    <row r="39" spans="1:3" ht="15.75" thickBot="1" x14ac:dyDescent="0.3">
      <c r="A39" s="920" t="s">
        <v>848</v>
      </c>
      <c r="B39" s="921">
        <v>0</v>
      </c>
      <c r="C39" s="917">
        <v>-5.661611281999626</v>
      </c>
    </row>
    <row r="40" spans="1:3" ht="24" customHeight="1" x14ac:dyDescent="0.25">
      <c r="A40" s="1522" t="s">
        <v>849</v>
      </c>
      <c r="B40" s="1522"/>
      <c r="C40" s="930" t="s">
        <v>275</v>
      </c>
    </row>
  </sheetData>
  <mergeCells count="1">
    <mergeCell ref="A40:B4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2C14-58EA-4AE0-AD4F-9DF235D8EBAA}">
  <sheetPr codeName="Sheet11"/>
  <dimension ref="A1:I14"/>
  <sheetViews>
    <sheetView showGridLines="0" workbookViewId="0">
      <selection sqref="A1:I1"/>
    </sheetView>
  </sheetViews>
  <sheetFormatPr defaultRowHeight="15" x14ac:dyDescent="0.25"/>
  <cols>
    <col min="1" max="1" width="42.5703125" customWidth="1"/>
  </cols>
  <sheetData>
    <row r="1" spans="1:9" x14ac:dyDescent="0.25">
      <c r="A1" s="1558" t="s">
        <v>261</v>
      </c>
      <c r="B1" s="1558"/>
      <c r="C1" s="1558"/>
      <c r="D1" s="1558"/>
      <c r="E1" s="1558"/>
      <c r="F1" s="1558"/>
      <c r="G1" s="1558"/>
      <c r="H1" s="1558"/>
      <c r="I1" s="1558"/>
    </row>
    <row r="2" spans="1:9" x14ac:dyDescent="0.25">
      <c r="A2" s="348"/>
      <c r="B2" s="1560" t="s">
        <v>166</v>
      </c>
      <c r="C2" s="1561"/>
      <c r="D2" s="1561" t="s">
        <v>262</v>
      </c>
      <c r="E2" s="1561"/>
      <c r="F2" s="1562" t="s">
        <v>263</v>
      </c>
      <c r="G2" s="1562"/>
      <c r="H2" s="1563" t="s">
        <v>264</v>
      </c>
      <c r="I2" s="1563"/>
    </row>
    <row r="3" spans="1:9" x14ac:dyDescent="0.25">
      <c r="A3" s="346"/>
      <c r="B3" s="347" t="s">
        <v>265</v>
      </c>
      <c r="C3" s="347" t="s">
        <v>266</v>
      </c>
      <c r="D3" s="347" t="s">
        <v>265</v>
      </c>
      <c r="E3" s="347" t="s">
        <v>266</v>
      </c>
      <c r="F3" s="347" t="s">
        <v>265</v>
      </c>
      <c r="G3" s="347" t="s">
        <v>266</v>
      </c>
      <c r="H3" s="347" t="s">
        <v>265</v>
      </c>
      <c r="I3" s="347" t="s">
        <v>266</v>
      </c>
    </row>
    <row r="4" spans="1:9" x14ac:dyDescent="0.25">
      <c r="A4" s="343" t="s">
        <v>267</v>
      </c>
      <c r="B4" s="344"/>
      <c r="C4" s="339"/>
      <c r="D4" s="345"/>
      <c r="E4" s="339"/>
      <c r="F4" s="339"/>
      <c r="G4" s="345"/>
      <c r="H4" s="339"/>
      <c r="I4" s="339"/>
    </row>
    <row r="5" spans="1:9" x14ac:dyDescent="0.25">
      <c r="A5" s="340" t="s">
        <v>268</v>
      </c>
      <c r="B5" s="341">
        <f>SUM(B6:B7)</f>
        <v>300</v>
      </c>
      <c r="C5" s="341">
        <f t="shared" ref="C5:I5" si="0">SUM(C6:C7)</f>
        <v>300</v>
      </c>
      <c r="D5" s="341">
        <f t="shared" si="0"/>
        <v>300</v>
      </c>
      <c r="E5" s="341">
        <f t="shared" si="0"/>
        <v>300</v>
      </c>
      <c r="F5" s="341">
        <f t="shared" si="0"/>
        <v>300</v>
      </c>
      <c r="G5" s="341">
        <f t="shared" si="0"/>
        <v>300</v>
      </c>
      <c r="H5" s="341">
        <f t="shared" si="0"/>
        <v>300</v>
      </c>
      <c r="I5" s="341">
        <f t="shared" si="0"/>
        <v>300</v>
      </c>
    </row>
    <row r="6" spans="1:9" x14ac:dyDescent="0.25">
      <c r="A6" s="340" t="s">
        <v>269</v>
      </c>
      <c r="B6" s="341">
        <v>169</v>
      </c>
      <c r="C6" s="341">
        <v>233</v>
      </c>
      <c r="D6" s="341">
        <v>300</v>
      </c>
      <c r="E6" s="341">
        <v>250</v>
      </c>
      <c r="F6" s="341">
        <v>300</v>
      </c>
      <c r="G6" s="341">
        <v>250</v>
      </c>
      <c r="H6" s="341">
        <v>300</v>
      </c>
      <c r="I6" s="341">
        <v>250</v>
      </c>
    </row>
    <row r="7" spans="1:9" x14ac:dyDescent="0.25">
      <c r="A7" s="349" t="s">
        <v>270</v>
      </c>
      <c r="B7" s="350">
        <v>131</v>
      </c>
      <c r="C7" s="350">
        <v>67</v>
      </c>
      <c r="D7" s="350" t="s">
        <v>175</v>
      </c>
      <c r="E7" s="350">
        <v>50</v>
      </c>
      <c r="F7" s="350" t="s">
        <v>175</v>
      </c>
      <c r="G7" s="350">
        <v>50</v>
      </c>
      <c r="H7" s="350" t="s">
        <v>175</v>
      </c>
      <c r="I7" s="350">
        <v>50</v>
      </c>
    </row>
    <row r="8" spans="1:9" x14ac:dyDescent="0.25">
      <c r="A8" s="343" t="s">
        <v>271</v>
      </c>
      <c r="B8" s="344"/>
      <c r="C8" s="339"/>
      <c r="D8" s="345"/>
      <c r="E8" s="339"/>
      <c r="F8" s="339"/>
      <c r="G8" s="345"/>
      <c r="H8" s="339"/>
      <c r="I8" s="339"/>
    </row>
    <row r="9" spans="1:9" x14ac:dyDescent="0.25">
      <c r="A9" s="340" t="s">
        <v>268</v>
      </c>
      <c r="B9" s="341">
        <f>SUM(B10:B11)</f>
        <v>23</v>
      </c>
      <c r="C9" s="341">
        <f t="shared" ref="C9:I9" si="1">SUM(C10:C11)</f>
        <v>23</v>
      </c>
      <c r="D9" s="341">
        <f t="shared" si="1"/>
        <v>38</v>
      </c>
      <c r="E9" s="341">
        <f t="shared" si="1"/>
        <v>38</v>
      </c>
      <c r="F9" s="341">
        <f t="shared" si="1"/>
        <v>38</v>
      </c>
      <c r="G9" s="341">
        <f t="shared" si="1"/>
        <v>38</v>
      </c>
      <c r="H9" s="341">
        <f t="shared" si="1"/>
        <v>38</v>
      </c>
      <c r="I9" s="341">
        <f t="shared" si="1"/>
        <v>38</v>
      </c>
    </row>
    <row r="10" spans="1:9" x14ac:dyDescent="0.25">
      <c r="A10" s="340" t="s">
        <v>269</v>
      </c>
      <c r="B10" s="341">
        <v>8</v>
      </c>
      <c r="C10" s="341">
        <v>8</v>
      </c>
      <c r="D10" s="342">
        <v>38</v>
      </c>
      <c r="E10" s="342">
        <v>20</v>
      </c>
      <c r="F10" s="342">
        <v>38</v>
      </c>
      <c r="G10" s="342">
        <v>20</v>
      </c>
      <c r="H10" s="342">
        <v>38</v>
      </c>
      <c r="I10" s="342">
        <v>20</v>
      </c>
    </row>
    <row r="11" spans="1:9" x14ac:dyDescent="0.25">
      <c r="A11" s="349" t="s">
        <v>270</v>
      </c>
      <c r="B11" s="350">
        <v>15</v>
      </c>
      <c r="C11" s="350">
        <v>15</v>
      </c>
      <c r="D11" s="352" t="s">
        <v>175</v>
      </c>
      <c r="E11" s="352">
        <v>18</v>
      </c>
      <c r="F11" s="352" t="s">
        <v>175</v>
      </c>
      <c r="G11" s="352">
        <v>18</v>
      </c>
      <c r="H11" s="352" t="s">
        <v>175</v>
      </c>
      <c r="I11" s="352">
        <v>18</v>
      </c>
    </row>
    <row r="12" spans="1:9" x14ac:dyDescent="0.25">
      <c r="A12" s="351" t="s">
        <v>272</v>
      </c>
      <c r="B12" s="345">
        <f>B10+B6</f>
        <v>177</v>
      </c>
      <c r="C12" s="345">
        <f t="shared" ref="C12:I12" si="2">C10+C6</f>
        <v>241</v>
      </c>
      <c r="D12" s="345">
        <f t="shared" si="2"/>
        <v>338</v>
      </c>
      <c r="E12" s="345">
        <f t="shared" si="2"/>
        <v>270</v>
      </c>
      <c r="F12" s="345">
        <f t="shared" si="2"/>
        <v>338</v>
      </c>
      <c r="G12" s="345">
        <f t="shared" si="2"/>
        <v>270</v>
      </c>
      <c r="H12" s="345">
        <f t="shared" si="2"/>
        <v>338</v>
      </c>
      <c r="I12" s="345">
        <f t="shared" si="2"/>
        <v>270</v>
      </c>
    </row>
    <row r="13" spans="1:9" x14ac:dyDescent="0.25">
      <c r="A13" s="346" t="s">
        <v>273</v>
      </c>
      <c r="B13" s="353" t="s">
        <v>175</v>
      </c>
      <c r="C13" s="353">
        <f>C12-B12</f>
        <v>64</v>
      </c>
      <c r="D13" s="353" t="s">
        <v>175</v>
      </c>
      <c r="E13" s="353">
        <f>E12-D12</f>
        <v>-68</v>
      </c>
      <c r="F13" s="353" t="s">
        <v>175</v>
      </c>
      <c r="G13" s="353">
        <f>G12-F12</f>
        <v>-68</v>
      </c>
      <c r="H13" s="353" t="s">
        <v>175</v>
      </c>
      <c r="I13" s="353">
        <f>I12-H12</f>
        <v>-68</v>
      </c>
    </row>
    <row r="14" spans="1:9" x14ac:dyDescent="0.25">
      <c r="A14" s="1559" t="s">
        <v>274</v>
      </c>
      <c r="B14" s="1559"/>
      <c r="C14" s="1559"/>
      <c r="D14" s="1559"/>
      <c r="E14" s="1559"/>
      <c r="F14" s="1559"/>
      <c r="G14" s="1559"/>
      <c r="H14" s="1530" t="s">
        <v>275</v>
      </c>
      <c r="I14" s="1530"/>
    </row>
  </sheetData>
  <mergeCells count="7">
    <mergeCell ref="A1:I1"/>
    <mergeCell ref="A14:G14"/>
    <mergeCell ref="H14:I14"/>
    <mergeCell ref="B2:C2"/>
    <mergeCell ref="D2:E2"/>
    <mergeCell ref="F2:G2"/>
    <mergeCell ref="H2:I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E8E2-5830-4CD6-BB2F-F29A22D8204E}">
  <sheetPr codeName="Sheet12">
    <pageSetUpPr fitToPage="1"/>
  </sheetPr>
  <dimension ref="A1:N12"/>
  <sheetViews>
    <sheetView showGridLines="0" zoomScaleNormal="100" workbookViewId="0">
      <selection sqref="A1:N1"/>
    </sheetView>
  </sheetViews>
  <sheetFormatPr defaultRowHeight="15" x14ac:dyDescent="0.25"/>
  <cols>
    <col min="1" max="1" width="5" customWidth="1"/>
    <col min="2" max="7" width="6.85546875" customWidth="1"/>
    <col min="8" max="10" width="7.85546875" customWidth="1"/>
    <col min="11" max="12" width="6.85546875" customWidth="1"/>
    <col min="13" max="13" width="6.85546875" style="44" customWidth="1"/>
    <col min="14" max="14" width="6.85546875" customWidth="1"/>
    <col min="15" max="15" width="8.42578125" customWidth="1"/>
  </cols>
  <sheetData>
    <row r="1" spans="1:14" x14ac:dyDescent="0.25">
      <c r="A1" s="1565" t="s">
        <v>299</v>
      </c>
      <c r="B1" s="1565"/>
      <c r="C1" s="1565"/>
      <c r="D1" s="1565"/>
      <c r="E1" s="1565"/>
      <c r="F1" s="1565"/>
      <c r="G1" s="1565"/>
      <c r="H1" s="1565"/>
      <c r="I1" s="1565"/>
      <c r="J1" s="1565"/>
      <c r="K1" s="1565"/>
      <c r="L1" s="1565"/>
      <c r="M1" s="1565"/>
      <c r="N1" s="1565"/>
    </row>
    <row r="2" spans="1:14" ht="46.5" customHeight="1" x14ac:dyDescent="0.25">
      <c r="A2" s="1566" t="s">
        <v>276</v>
      </c>
      <c r="B2" s="1568" t="s">
        <v>277</v>
      </c>
      <c r="C2" s="1569"/>
      <c r="D2" s="1568" t="s">
        <v>278</v>
      </c>
      <c r="E2" s="1569"/>
      <c r="F2" s="1568" t="s">
        <v>279</v>
      </c>
      <c r="G2" s="1569"/>
      <c r="H2" s="1572" t="s">
        <v>280</v>
      </c>
      <c r="I2" s="1572" t="s">
        <v>281</v>
      </c>
      <c r="J2" s="1572" t="s">
        <v>282</v>
      </c>
      <c r="K2" s="1568" t="s">
        <v>283</v>
      </c>
      <c r="L2" s="1569"/>
      <c r="M2" s="1568" t="s">
        <v>284</v>
      </c>
      <c r="N2" s="1574"/>
    </row>
    <row r="3" spans="1:14" x14ac:dyDescent="0.25">
      <c r="A3" s="1567"/>
      <c r="B3" s="1570"/>
      <c r="C3" s="1571"/>
      <c r="D3" s="1570"/>
      <c r="E3" s="1571"/>
      <c r="F3" s="1570"/>
      <c r="G3" s="1571"/>
      <c r="H3" s="1573"/>
      <c r="I3" s="1573"/>
      <c r="J3" s="1573"/>
      <c r="K3" s="354" t="s">
        <v>285</v>
      </c>
      <c r="L3" s="355" t="s">
        <v>286</v>
      </c>
      <c r="M3" s="354" t="s">
        <v>285</v>
      </c>
      <c r="N3" s="356" t="s">
        <v>286</v>
      </c>
    </row>
    <row r="4" spans="1:14" s="39" customFormat="1" x14ac:dyDescent="0.25">
      <c r="A4" s="357"/>
      <c r="B4" s="358" t="s">
        <v>287</v>
      </c>
      <c r="C4" s="359" t="s">
        <v>0</v>
      </c>
      <c r="D4" s="358" t="s">
        <v>287</v>
      </c>
      <c r="E4" s="359" t="s">
        <v>0</v>
      </c>
      <c r="F4" s="358" t="s">
        <v>287</v>
      </c>
      <c r="G4" s="359" t="s">
        <v>0</v>
      </c>
      <c r="H4" s="360" t="s">
        <v>288</v>
      </c>
      <c r="I4" s="360" t="s">
        <v>288</v>
      </c>
      <c r="J4" s="360" t="s">
        <v>0</v>
      </c>
      <c r="K4" s="358" t="s">
        <v>0</v>
      </c>
      <c r="L4" s="359" t="s">
        <v>0</v>
      </c>
      <c r="M4" s="358" t="s">
        <v>287</v>
      </c>
      <c r="N4" s="358" t="s">
        <v>287</v>
      </c>
    </row>
    <row r="5" spans="1:14" ht="22.5" x14ac:dyDescent="0.25">
      <c r="A5" s="361">
        <v>1</v>
      </c>
      <c r="B5" s="362">
        <v>2</v>
      </c>
      <c r="C5" s="363" t="s">
        <v>289</v>
      </c>
      <c r="D5" s="364">
        <v>4</v>
      </c>
      <c r="E5" s="365" t="s">
        <v>290</v>
      </c>
      <c r="F5" s="362">
        <v>6</v>
      </c>
      <c r="G5" s="363" t="s">
        <v>291</v>
      </c>
      <c r="H5" s="366">
        <v>8</v>
      </c>
      <c r="I5" s="366" t="s">
        <v>292</v>
      </c>
      <c r="J5" s="366" t="s">
        <v>293</v>
      </c>
      <c r="K5" s="364">
        <v>11</v>
      </c>
      <c r="L5" s="365" t="s">
        <v>294</v>
      </c>
      <c r="M5" s="364">
        <v>13</v>
      </c>
      <c r="N5" s="367" t="s">
        <v>295</v>
      </c>
    </row>
    <row r="6" spans="1:14" x14ac:dyDescent="0.25">
      <c r="A6" s="368">
        <v>2015</v>
      </c>
      <c r="B6" s="369">
        <v>14.904201</v>
      </c>
      <c r="C6" s="370">
        <v>113.66837530204072</v>
      </c>
      <c r="D6" s="369">
        <v>11.055</v>
      </c>
      <c r="E6" s="370">
        <v>84.312060000000002</v>
      </c>
      <c r="F6" s="369">
        <v>21.181215999999999</v>
      </c>
      <c r="G6" s="370">
        <v>161.54065619764449</v>
      </c>
      <c r="H6" s="371">
        <v>7.6265997286295795</v>
      </c>
      <c r="I6" s="371">
        <v>2.2878361305929795</v>
      </c>
      <c r="J6" s="372">
        <v>48.459151254694106</v>
      </c>
      <c r="K6" s="373">
        <v>63.007142018862361</v>
      </c>
      <c r="L6" s="374">
        <v>98.860050764168264</v>
      </c>
      <c r="M6" s="373">
        <v>27.540058999999999</v>
      </c>
      <c r="N6" s="374">
        <v>32.318044</v>
      </c>
    </row>
    <row r="7" spans="1:14" x14ac:dyDescent="0.25">
      <c r="A7" s="368">
        <v>2016</v>
      </c>
      <c r="B7" s="369">
        <v>14.433933</v>
      </c>
      <c r="C7" s="370">
        <v>75.948762797212154</v>
      </c>
      <c r="D7" s="369">
        <v>12.349608182943157</v>
      </c>
      <c r="E7" s="370">
        <v>64.98142</v>
      </c>
      <c r="F7" s="369">
        <v>21.264044999999999</v>
      </c>
      <c r="G7" s="370">
        <v>111.88758530431345</v>
      </c>
      <c r="H7" s="371">
        <v>5.2618203782165365</v>
      </c>
      <c r="I7" s="371">
        <v>3.05897382787672</v>
      </c>
      <c r="J7" s="372">
        <v>65.046157129792832</v>
      </c>
      <c r="K7" s="373">
        <v>98.860050764168264</v>
      </c>
      <c r="L7" s="374">
        <v>98.795313634375418</v>
      </c>
      <c r="M7" s="373">
        <v>32.318044</v>
      </c>
      <c r="N7" s="374">
        <v>37.837540182943158</v>
      </c>
    </row>
    <row r="8" spans="1:14" x14ac:dyDescent="0.25">
      <c r="A8" s="368">
        <v>2017</v>
      </c>
      <c r="B8" s="369">
        <v>13.701783855352724</v>
      </c>
      <c r="C8" s="370">
        <v>76.091111569506836</v>
      </c>
      <c r="D8" s="369">
        <v>15.667463837565316</v>
      </c>
      <c r="E8" s="370">
        <v>87.007265000000004</v>
      </c>
      <c r="F8" s="369">
        <v>22.063224999999999</v>
      </c>
      <c r="G8" s="370">
        <v>122.52531004583672</v>
      </c>
      <c r="H8" s="371">
        <v>5.5533726391240048</v>
      </c>
      <c r="I8" s="371">
        <v>2.6110395431812852</v>
      </c>
      <c r="J8" s="372">
        <v>57.607952925105906</v>
      </c>
      <c r="K8" s="373">
        <v>98.795313634375418</v>
      </c>
      <c r="L8" s="374">
        <v>128.19462570926953</v>
      </c>
      <c r="M8" s="373">
        <v>37.837540182943158</v>
      </c>
      <c r="N8" s="374">
        <v>45.1435628758612</v>
      </c>
    </row>
    <row r="9" spans="1:14" x14ac:dyDescent="0.25">
      <c r="A9" s="368">
        <v>2018</v>
      </c>
      <c r="B9" s="369">
        <v>13.308531481803771</v>
      </c>
      <c r="C9" s="370">
        <v>198.07847227591404</v>
      </c>
      <c r="D9" s="369">
        <v>14.906499999999999</v>
      </c>
      <c r="E9" s="370">
        <v>221.86195005947604</v>
      </c>
      <c r="F9" s="369">
        <v>21.3433755</v>
      </c>
      <c r="G9" s="370">
        <v>317.66564312760499</v>
      </c>
      <c r="H9" s="371">
        <v>14.883570929425153</v>
      </c>
      <c r="I9" s="371">
        <v>2.8397099728656268</v>
      </c>
      <c r="J9" s="372">
        <v>60.608996261965885</v>
      </c>
      <c r="K9" s="373">
        <v>128.19462570926953</v>
      </c>
      <c r="L9" s="374">
        <v>289.44757950677968</v>
      </c>
      <c r="M9" s="373">
        <v>45.1435628758612</v>
      </c>
      <c r="N9" s="374">
        <v>52.015218857664969</v>
      </c>
    </row>
    <row r="10" spans="1:14" x14ac:dyDescent="0.25">
      <c r="A10" s="368">
        <v>2019</v>
      </c>
      <c r="B10" s="369">
        <v>12.932877837187888</v>
      </c>
      <c r="C10" s="370">
        <v>192.48740461137649</v>
      </c>
      <c r="D10" s="369">
        <v>8.1571840000000009</v>
      </c>
      <c r="E10" s="370">
        <v>121.40802664837197</v>
      </c>
      <c r="F10" s="369">
        <v>21.3433755</v>
      </c>
      <c r="G10" s="370">
        <v>317.66564312760499</v>
      </c>
      <c r="H10" s="371">
        <v>14.883570929425153</v>
      </c>
      <c r="I10" s="371">
        <v>5.5646709917500736</v>
      </c>
      <c r="J10" s="372">
        <v>118.76886251087922</v>
      </c>
      <c r="K10" s="373">
        <v>289.44757950677968</v>
      </c>
      <c r="L10" s="374">
        <v>292.08674364427247</v>
      </c>
      <c r="M10" s="373">
        <v>52.015218857664969</v>
      </c>
      <c r="N10" s="374">
        <v>51.761905194852858</v>
      </c>
    </row>
    <row r="11" spans="1:14" x14ac:dyDescent="0.25">
      <c r="A11" s="375">
        <v>2020</v>
      </c>
      <c r="B11" s="376">
        <v>12.562567940194226</v>
      </c>
      <c r="C11" s="377">
        <v>186.97587099360319</v>
      </c>
      <c r="D11" s="376">
        <v>9.7458399999999994</v>
      </c>
      <c r="E11" s="377">
        <v>145.05290090682882</v>
      </c>
      <c r="F11" s="376">
        <v>21.3433755</v>
      </c>
      <c r="G11" s="377">
        <v>317.66564312760499</v>
      </c>
      <c r="H11" s="378">
        <v>14.883570929425153</v>
      </c>
      <c r="I11" s="378">
        <v>5.6428901244020899</v>
      </c>
      <c r="J11" s="379">
        <v>120.43832283035553</v>
      </c>
      <c r="K11" s="380">
        <v>292.08674364427247</v>
      </c>
      <c r="L11" s="381">
        <v>316.70132172074574</v>
      </c>
      <c r="M11" s="380">
        <v>51.761905194852858</v>
      </c>
      <c r="N11" s="381">
        <v>52.726937635047079</v>
      </c>
    </row>
    <row r="12" spans="1:14" x14ac:dyDescent="0.25">
      <c r="A12" s="382"/>
      <c r="J12" s="1564" t="s">
        <v>296</v>
      </c>
      <c r="K12" s="1564"/>
      <c r="L12" s="1564"/>
      <c r="M12" s="1564"/>
      <c r="N12" s="1564"/>
    </row>
  </sheetData>
  <mergeCells count="11">
    <mergeCell ref="J12:N12"/>
    <mergeCell ref="A1:N1"/>
    <mergeCell ref="A2:A3"/>
    <mergeCell ref="B2:C3"/>
    <mergeCell ref="D2:E3"/>
    <mergeCell ref="F2:G3"/>
    <mergeCell ref="H2:H3"/>
    <mergeCell ref="I2:I3"/>
    <mergeCell ref="J2:J3"/>
    <mergeCell ref="K2:L2"/>
    <mergeCell ref="M2:N2"/>
  </mergeCells>
  <pageMargins left="0.25" right="0.25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3449-7372-4ED0-8AA3-6ACF05FFAC14}">
  <sheetPr codeName="Sheet13"/>
  <dimension ref="A1:F21"/>
  <sheetViews>
    <sheetView showGridLines="0" workbookViewId="0">
      <selection sqref="A1:E1"/>
    </sheetView>
  </sheetViews>
  <sheetFormatPr defaultRowHeight="15" x14ac:dyDescent="0.25"/>
  <cols>
    <col min="1" max="1" width="44.85546875" customWidth="1"/>
  </cols>
  <sheetData>
    <row r="1" spans="1:6" x14ac:dyDescent="0.25">
      <c r="A1" s="1575" t="s">
        <v>300</v>
      </c>
      <c r="B1" s="1575"/>
      <c r="C1" s="1575"/>
      <c r="D1" s="1575"/>
      <c r="E1" s="1575"/>
      <c r="F1" s="158"/>
    </row>
    <row r="2" spans="1:6" x14ac:dyDescent="0.25">
      <c r="A2" s="383"/>
      <c r="B2" s="383">
        <v>2018</v>
      </c>
      <c r="C2" s="383">
        <f>B2+1</f>
        <v>2019</v>
      </c>
      <c r="D2" s="383">
        <f>C2+1</f>
        <v>2020</v>
      </c>
      <c r="E2" s="383">
        <f>D2+1</f>
        <v>2021</v>
      </c>
      <c r="F2" s="158"/>
    </row>
    <row r="3" spans="1:6" x14ac:dyDescent="0.25">
      <c r="A3" s="158" t="s">
        <v>301</v>
      </c>
      <c r="B3" s="384">
        <v>163.155</v>
      </c>
      <c r="C3" s="384">
        <v>136.65899999999999</v>
      </c>
      <c r="D3" s="384">
        <v>116.65900000000001</v>
      </c>
      <c r="E3" s="384">
        <v>116.65900000000001</v>
      </c>
      <c r="F3" s="158"/>
    </row>
    <row r="4" spans="1:6" x14ac:dyDescent="0.25">
      <c r="A4" s="158" t="s">
        <v>297</v>
      </c>
      <c r="B4" s="385">
        <v>60.608996261965885</v>
      </c>
      <c r="C4" s="385">
        <v>118.76886251087922</v>
      </c>
      <c r="D4" s="385">
        <v>120.43832283035553</v>
      </c>
      <c r="E4" s="386" t="s">
        <v>175</v>
      </c>
      <c r="F4" s="158"/>
    </row>
    <row r="5" spans="1:6" x14ac:dyDescent="0.25">
      <c r="A5" s="159" t="s">
        <v>298</v>
      </c>
      <c r="B5" s="387">
        <f>B4-B3</f>
        <v>-102.54600373803412</v>
      </c>
      <c r="C5" s="387">
        <f>C4-C3</f>
        <v>-17.890137489120775</v>
      </c>
      <c r="D5" s="387">
        <f>D4-D3</f>
        <v>3.7793228303555253</v>
      </c>
      <c r="E5" s="388" t="s">
        <v>175</v>
      </c>
      <c r="F5" s="158"/>
    </row>
    <row r="6" spans="1:6" x14ac:dyDescent="0.25">
      <c r="A6" s="158"/>
      <c r="B6" s="158"/>
      <c r="C6" s="158"/>
      <c r="D6" s="1576" t="s">
        <v>275</v>
      </c>
      <c r="E6" s="1576"/>
      <c r="F6" s="158"/>
    </row>
    <row r="7" spans="1:6" x14ac:dyDescent="0.25">
      <c r="A7" s="158"/>
      <c r="B7" s="158"/>
      <c r="C7" s="158"/>
      <c r="D7" s="158"/>
      <c r="E7" s="158"/>
      <c r="F7" s="158"/>
    </row>
    <row r="8" spans="1:6" x14ac:dyDescent="0.25">
      <c r="A8" s="158"/>
      <c r="B8" s="158"/>
      <c r="C8" s="158"/>
      <c r="D8" s="158"/>
      <c r="E8" s="158"/>
      <c r="F8" s="158"/>
    </row>
    <row r="9" spans="1:6" x14ac:dyDescent="0.25">
      <c r="A9" s="158"/>
      <c r="B9" s="158"/>
      <c r="C9" s="158"/>
      <c r="D9" s="158"/>
      <c r="E9" s="158"/>
      <c r="F9" s="158"/>
    </row>
    <row r="10" spans="1:6" x14ac:dyDescent="0.25">
      <c r="A10" s="158"/>
      <c r="B10" s="158"/>
      <c r="C10" s="158"/>
      <c r="D10" s="158"/>
      <c r="E10" s="158"/>
      <c r="F10" s="158"/>
    </row>
    <row r="11" spans="1:6" x14ac:dyDescent="0.25">
      <c r="A11" s="158"/>
      <c r="B11" s="158"/>
      <c r="C11" s="158"/>
      <c r="D11" s="158"/>
      <c r="E11" s="158"/>
      <c r="F11" s="158"/>
    </row>
    <row r="12" spans="1:6" x14ac:dyDescent="0.25">
      <c r="A12" s="158"/>
      <c r="B12" s="158"/>
      <c r="C12" s="158"/>
      <c r="D12" s="158"/>
      <c r="E12" s="158"/>
      <c r="F12" s="158"/>
    </row>
    <row r="13" spans="1:6" x14ac:dyDescent="0.25">
      <c r="A13" s="158"/>
      <c r="B13" s="158"/>
      <c r="C13" s="158"/>
      <c r="D13" s="158"/>
      <c r="E13" s="158"/>
      <c r="F13" s="158"/>
    </row>
    <row r="14" spans="1:6" x14ac:dyDescent="0.25">
      <c r="A14" s="158"/>
      <c r="B14" s="158"/>
      <c r="C14" s="158"/>
      <c r="D14" s="158"/>
      <c r="E14" s="158"/>
      <c r="F14" s="158"/>
    </row>
    <row r="15" spans="1:6" x14ac:dyDescent="0.25">
      <c r="A15" s="158"/>
      <c r="B15" s="158"/>
      <c r="C15" s="158"/>
      <c r="D15" s="158"/>
      <c r="E15" s="158"/>
      <c r="F15" s="158"/>
    </row>
    <row r="16" spans="1:6" x14ac:dyDescent="0.25">
      <c r="A16" s="158"/>
      <c r="B16" s="158"/>
      <c r="C16" s="158"/>
      <c r="D16" s="158"/>
      <c r="E16" s="158"/>
      <c r="F16" s="158"/>
    </row>
    <row r="17" spans="1:6" x14ac:dyDescent="0.25">
      <c r="A17" s="158"/>
      <c r="B17" s="158"/>
      <c r="C17" s="158"/>
      <c r="D17" s="158"/>
      <c r="E17" s="158"/>
      <c r="F17" s="158"/>
    </row>
    <row r="18" spans="1:6" x14ac:dyDescent="0.25">
      <c r="A18" s="158"/>
      <c r="B18" s="158"/>
      <c r="C18" s="158"/>
      <c r="D18" s="158"/>
      <c r="E18" s="158"/>
      <c r="F18" s="158"/>
    </row>
    <row r="19" spans="1:6" x14ac:dyDescent="0.25">
      <c r="A19" s="158"/>
      <c r="B19" s="158"/>
      <c r="C19" s="158"/>
      <c r="D19" s="158"/>
      <c r="E19" s="158"/>
      <c r="F19" s="158"/>
    </row>
    <row r="20" spans="1:6" x14ac:dyDescent="0.25">
      <c r="A20" s="158"/>
      <c r="B20" s="158"/>
      <c r="C20" s="158"/>
      <c r="D20" s="158"/>
      <c r="E20" s="158"/>
      <c r="F20" s="158"/>
    </row>
    <row r="21" spans="1:6" x14ac:dyDescent="0.25">
      <c r="A21" s="158"/>
      <c r="B21" s="158"/>
      <c r="C21" s="158"/>
      <c r="D21" s="158"/>
      <c r="E21" s="158"/>
      <c r="F21" s="158"/>
    </row>
  </sheetData>
  <mergeCells count="2">
    <mergeCell ref="A1:E1"/>
    <mergeCell ref="D6:E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EE70-97AF-4BE6-947C-6044F5C5D63E}">
  <sheetPr codeName="Sheet14">
    <pageSetUpPr fitToPage="1"/>
  </sheetPr>
  <dimension ref="A1:F60"/>
  <sheetViews>
    <sheetView showGridLines="0" workbookViewId="0"/>
  </sheetViews>
  <sheetFormatPr defaultRowHeight="15" x14ac:dyDescent="0.25"/>
  <cols>
    <col min="1" max="1" width="41.85546875" customWidth="1"/>
  </cols>
  <sheetData>
    <row r="1" spans="1:6" x14ac:dyDescent="0.25">
      <c r="A1" s="30" t="s">
        <v>316</v>
      </c>
      <c r="B1" s="124"/>
      <c r="C1" s="124"/>
      <c r="D1" s="124"/>
      <c r="E1" s="124"/>
    </row>
    <row r="2" spans="1:6" x14ac:dyDescent="0.25">
      <c r="A2" s="410"/>
      <c r="B2" s="410">
        <v>2018</v>
      </c>
      <c r="C2" s="410">
        <v>2019</v>
      </c>
      <c r="D2" s="410">
        <v>2020</v>
      </c>
      <c r="E2" s="410">
        <v>2021</v>
      </c>
    </row>
    <row r="3" spans="1:6" x14ac:dyDescent="0.25">
      <c r="A3" s="218" t="s">
        <v>309</v>
      </c>
      <c r="B3" s="414">
        <v>-4456.469188</v>
      </c>
      <c r="C3" s="414">
        <f>B3+C4</f>
        <v>-4690.6021639999999</v>
      </c>
      <c r="D3" s="414">
        <f>C3+D4</f>
        <v>-4933.773066667095</v>
      </c>
      <c r="E3" s="414">
        <f>D3+E4</f>
        <v>-5125.708024911035</v>
      </c>
    </row>
    <row r="4" spans="1:6" x14ac:dyDescent="0.25">
      <c r="A4" s="118" t="s">
        <v>310</v>
      </c>
      <c r="B4" s="411"/>
      <c r="C4" s="411">
        <f>SUM(C5:C8)</f>
        <v>-234.13297600000001</v>
      </c>
      <c r="D4" s="411">
        <f t="shared" ref="D4:E4" si="0">SUM(D5:D8)</f>
        <v>-243.17090266709488</v>
      </c>
      <c r="E4" s="411">
        <f t="shared" si="0"/>
        <v>-191.93495824394</v>
      </c>
    </row>
    <row r="5" spans="1:6" x14ac:dyDescent="0.25">
      <c r="A5" s="415" t="s">
        <v>311</v>
      </c>
      <c r="B5" s="411"/>
      <c r="C5" s="416">
        <v>-95.9</v>
      </c>
      <c r="D5" s="416">
        <v>-125.22212297240446</v>
      </c>
      <c r="E5" s="416">
        <v>-133.74697702091672</v>
      </c>
      <c r="F5" s="143"/>
    </row>
    <row r="6" spans="1:6" x14ac:dyDescent="0.25">
      <c r="A6" s="216" t="s">
        <v>312</v>
      </c>
      <c r="B6" s="143"/>
      <c r="C6" s="417">
        <v>-29</v>
      </c>
      <c r="D6" s="417">
        <v>-29.554111746417448</v>
      </c>
      <c r="E6" s="417">
        <v>-30.427382272382602</v>
      </c>
      <c r="F6" s="143"/>
    </row>
    <row r="7" spans="1:6" x14ac:dyDescent="0.25">
      <c r="A7" s="415" t="s">
        <v>313</v>
      </c>
      <c r="B7" s="143"/>
      <c r="C7" s="417">
        <v>-21</v>
      </c>
      <c r="D7" s="417">
        <v>-22</v>
      </c>
      <c r="E7" s="417">
        <v>-22</v>
      </c>
      <c r="F7" s="143"/>
    </row>
    <row r="8" spans="1:6" x14ac:dyDescent="0.25">
      <c r="A8" s="418" t="s">
        <v>314</v>
      </c>
      <c r="B8" s="419"/>
      <c r="C8" s="420">
        <v>-88.232976000000008</v>
      </c>
      <c r="D8" s="420">
        <v>-66.394667948272982</v>
      </c>
      <c r="E8" s="420">
        <v>-5.7605989506406701</v>
      </c>
    </row>
    <row r="9" spans="1:6" x14ac:dyDescent="0.25">
      <c r="A9" s="421" t="s">
        <v>315</v>
      </c>
      <c r="E9" s="422" t="s">
        <v>275</v>
      </c>
    </row>
    <row r="12" spans="1:6" x14ac:dyDescent="0.25">
      <c r="C12" s="423"/>
      <c r="D12" s="423"/>
      <c r="E12" s="44"/>
      <c r="F12" s="44"/>
    </row>
    <row r="13" spans="1:6" x14ac:dyDescent="0.25">
      <c r="C13" s="138"/>
      <c r="D13" s="138"/>
      <c r="E13" s="44"/>
      <c r="F13" s="44"/>
    </row>
    <row r="14" spans="1:6" x14ac:dyDescent="0.25">
      <c r="C14" s="138"/>
      <c r="D14" s="138"/>
      <c r="E14" s="44"/>
      <c r="F14" s="44"/>
    </row>
    <row r="15" spans="1:6" x14ac:dyDescent="0.25">
      <c r="C15" s="138"/>
      <c r="D15" s="138"/>
      <c r="E15" s="44"/>
      <c r="F15" s="44"/>
    </row>
    <row r="16" spans="1:6" x14ac:dyDescent="0.25">
      <c r="C16" s="138"/>
      <c r="D16" s="138"/>
      <c r="E16" s="44"/>
      <c r="F16" s="44"/>
    </row>
    <row r="17" spans="2:6" x14ac:dyDescent="0.25">
      <c r="C17" s="138"/>
      <c r="D17" s="138"/>
      <c r="E17" s="44"/>
      <c r="F17" s="44"/>
    </row>
    <row r="18" spans="2:6" x14ac:dyDescent="0.25">
      <c r="C18" s="138"/>
      <c r="D18" s="138"/>
      <c r="E18" s="44"/>
      <c r="F18" s="44"/>
    </row>
    <row r="19" spans="2:6" x14ac:dyDescent="0.25">
      <c r="C19" s="138"/>
      <c r="D19" s="138"/>
      <c r="E19" s="44"/>
      <c r="F19" s="44"/>
    </row>
    <row r="20" spans="2:6" x14ac:dyDescent="0.25">
      <c r="C20" s="138"/>
      <c r="D20" s="138"/>
      <c r="E20" s="44"/>
      <c r="F20" s="44"/>
    </row>
    <row r="21" spans="2:6" x14ac:dyDescent="0.25">
      <c r="C21" s="138"/>
      <c r="D21" s="138"/>
      <c r="E21" s="138"/>
      <c r="F21" s="138"/>
    </row>
    <row r="22" spans="2:6" x14ac:dyDescent="0.25">
      <c r="C22" s="143"/>
      <c r="D22" s="143"/>
      <c r="E22" s="143"/>
      <c r="F22" s="143"/>
    </row>
    <row r="23" spans="2:6" x14ac:dyDescent="0.25">
      <c r="C23" s="138"/>
      <c r="D23" s="138"/>
      <c r="E23" s="44"/>
      <c r="F23" s="44"/>
    </row>
    <row r="24" spans="2:6" x14ac:dyDescent="0.25">
      <c r="C24" s="138"/>
      <c r="D24" s="138"/>
      <c r="E24" s="44"/>
      <c r="F24" s="44"/>
    </row>
    <row r="25" spans="2:6" x14ac:dyDescent="0.25">
      <c r="C25" s="138"/>
      <c r="D25" s="138"/>
      <c r="E25" s="44"/>
      <c r="F25" s="44"/>
    </row>
    <row r="26" spans="2:6" x14ac:dyDescent="0.25">
      <c r="C26" s="138"/>
      <c r="D26" s="138"/>
      <c r="E26" s="44"/>
      <c r="F26" s="44"/>
    </row>
    <row r="27" spans="2:6" x14ac:dyDescent="0.25">
      <c r="C27" s="138"/>
      <c r="D27" s="138"/>
      <c r="E27" s="44"/>
      <c r="F27" s="44"/>
    </row>
    <row r="28" spans="2:6" x14ac:dyDescent="0.25">
      <c r="C28" s="138"/>
      <c r="D28" s="138"/>
      <c r="E28" s="44"/>
      <c r="F28" s="44"/>
    </row>
    <row r="29" spans="2:6" x14ac:dyDescent="0.25">
      <c r="C29" s="138"/>
      <c r="D29" s="138"/>
      <c r="E29" s="44"/>
      <c r="F29" s="44"/>
    </row>
    <row r="30" spans="2:6" x14ac:dyDescent="0.25">
      <c r="C30" s="143"/>
      <c r="D30" s="143"/>
      <c r="E30" s="44"/>
      <c r="F30" s="44"/>
    </row>
    <row r="31" spans="2:6" x14ac:dyDescent="0.25">
      <c r="B31" s="141"/>
      <c r="C31" s="143"/>
      <c r="D31" s="143"/>
      <c r="E31" s="44"/>
      <c r="F31" s="44"/>
    </row>
    <row r="32" spans="2:6" x14ac:dyDescent="0.25">
      <c r="C32" s="44"/>
      <c r="D32" s="44"/>
      <c r="E32" s="44"/>
      <c r="F32" s="44"/>
    </row>
    <row r="33" spans="3:6" x14ac:dyDescent="0.25">
      <c r="C33" s="44"/>
      <c r="D33" s="44"/>
      <c r="E33" s="44"/>
      <c r="F33" s="44"/>
    </row>
    <row r="34" spans="3:6" x14ac:dyDescent="0.25">
      <c r="C34" s="44"/>
      <c r="D34" s="44"/>
      <c r="E34" s="44"/>
      <c r="F34" s="44"/>
    </row>
    <row r="35" spans="3:6" x14ac:dyDescent="0.25">
      <c r="C35" s="44"/>
      <c r="D35" s="44"/>
      <c r="E35" s="44"/>
      <c r="F35" s="44"/>
    </row>
    <row r="36" spans="3:6" x14ac:dyDescent="0.25">
      <c r="C36" s="44"/>
      <c r="D36" s="44"/>
      <c r="E36" s="44"/>
      <c r="F36" s="44"/>
    </row>
    <row r="37" spans="3:6" x14ac:dyDescent="0.25">
      <c r="C37" s="44"/>
      <c r="D37" s="44"/>
      <c r="E37" s="44"/>
      <c r="F37" s="44"/>
    </row>
    <row r="38" spans="3:6" x14ac:dyDescent="0.25">
      <c r="C38" s="44"/>
      <c r="D38" s="44"/>
      <c r="E38" s="44"/>
      <c r="F38" s="44"/>
    </row>
    <row r="39" spans="3:6" x14ac:dyDescent="0.25">
      <c r="C39" s="44"/>
      <c r="D39" s="44"/>
      <c r="E39" s="44"/>
      <c r="F39" s="44"/>
    </row>
    <row r="40" spans="3:6" x14ac:dyDescent="0.25">
      <c r="C40" s="44"/>
      <c r="D40" s="44"/>
      <c r="E40" s="44"/>
      <c r="F40" s="44"/>
    </row>
    <row r="41" spans="3:6" x14ac:dyDescent="0.25">
      <c r="C41" s="44"/>
      <c r="D41" s="44"/>
      <c r="E41" s="44"/>
      <c r="F41" s="44"/>
    </row>
    <row r="42" spans="3:6" x14ac:dyDescent="0.25">
      <c r="C42" s="44"/>
      <c r="D42" s="44"/>
      <c r="E42" s="44"/>
      <c r="F42" s="44"/>
    </row>
    <row r="43" spans="3:6" x14ac:dyDescent="0.25">
      <c r="C43" s="44"/>
      <c r="D43" s="44"/>
      <c r="E43" s="44"/>
      <c r="F43" s="44"/>
    </row>
    <row r="44" spans="3:6" x14ac:dyDescent="0.25">
      <c r="C44" s="44"/>
      <c r="D44" s="44"/>
      <c r="E44" s="44"/>
      <c r="F44" s="44"/>
    </row>
    <row r="45" spans="3:6" x14ac:dyDescent="0.25">
      <c r="C45" s="44"/>
      <c r="D45" s="44"/>
      <c r="E45" s="44"/>
      <c r="F45" s="44"/>
    </row>
    <row r="46" spans="3:6" x14ac:dyDescent="0.25">
      <c r="C46" s="44"/>
      <c r="D46" s="44"/>
      <c r="E46" s="44"/>
      <c r="F46" s="44"/>
    </row>
    <row r="47" spans="3:6" x14ac:dyDescent="0.25">
      <c r="C47" s="44"/>
      <c r="D47" s="44"/>
      <c r="E47" s="44"/>
      <c r="F47" s="44"/>
    </row>
    <row r="48" spans="3:6" x14ac:dyDescent="0.25">
      <c r="C48" s="44"/>
      <c r="D48" s="44"/>
      <c r="E48" s="44"/>
      <c r="F48" s="44"/>
    </row>
    <row r="49" spans="3:6" x14ac:dyDescent="0.25">
      <c r="C49" s="44"/>
      <c r="D49" s="44"/>
      <c r="E49" s="44"/>
      <c r="F49" s="44"/>
    </row>
    <row r="50" spans="3:6" x14ac:dyDescent="0.25">
      <c r="C50" s="44"/>
      <c r="D50" s="44"/>
      <c r="E50" s="44"/>
      <c r="F50" s="44"/>
    </row>
    <row r="51" spans="3:6" x14ac:dyDescent="0.25">
      <c r="C51" s="44"/>
      <c r="D51" s="44"/>
      <c r="E51" s="44"/>
      <c r="F51" s="44"/>
    </row>
    <row r="52" spans="3:6" x14ac:dyDescent="0.25">
      <c r="C52" s="44"/>
      <c r="D52" s="44"/>
      <c r="E52" s="44"/>
      <c r="F52" s="44"/>
    </row>
    <row r="53" spans="3:6" x14ac:dyDescent="0.25">
      <c r="C53" s="44"/>
      <c r="D53" s="44"/>
      <c r="E53" s="44"/>
      <c r="F53" s="44"/>
    </row>
    <row r="54" spans="3:6" x14ac:dyDescent="0.25">
      <c r="C54" s="44"/>
      <c r="D54" s="44"/>
      <c r="E54" s="44"/>
      <c r="F54" s="44"/>
    </row>
    <row r="55" spans="3:6" x14ac:dyDescent="0.25">
      <c r="C55" s="44"/>
      <c r="D55" s="44"/>
      <c r="E55" s="44"/>
      <c r="F55" s="44"/>
    </row>
    <row r="56" spans="3:6" x14ac:dyDescent="0.25">
      <c r="C56" s="44"/>
      <c r="D56" s="44"/>
      <c r="E56" s="44"/>
      <c r="F56" s="44"/>
    </row>
    <row r="57" spans="3:6" x14ac:dyDescent="0.25">
      <c r="C57" s="44"/>
      <c r="D57" s="44"/>
      <c r="E57" s="44"/>
      <c r="F57" s="44"/>
    </row>
    <row r="58" spans="3:6" x14ac:dyDescent="0.25">
      <c r="C58" s="44"/>
      <c r="D58" s="44"/>
      <c r="E58" s="44"/>
      <c r="F58" s="44"/>
    </row>
    <row r="59" spans="3:6" x14ac:dyDescent="0.25">
      <c r="C59" s="44"/>
      <c r="D59" s="44"/>
      <c r="E59" s="44"/>
      <c r="F59" s="44"/>
    </row>
    <row r="60" spans="3:6" x14ac:dyDescent="0.25">
      <c r="C60" s="44"/>
      <c r="D60" s="44"/>
      <c r="E60" s="44"/>
      <c r="F60" s="44"/>
    </row>
  </sheetData>
  <pageMargins left="0.7" right="0.7" top="0.75" bottom="0.75" header="0.3" footer="0.3"/>
  <pageSetup paperSize="9" scale="3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BDDA7-FE9F-456C-81CD-52B77D74BED7}">
  <sheetPr codeName="Sheet15"/>
  <dimension ref="A1:F7"/>
  <sheetViews>
    <sheetView showGridLines="0" workbookViewId="0">
      <selection sqref="A1:F1"/>
    </sheetView>
  </sheetViews>
  <sheetFormatPr defaultRowHeight="15" x14ac:dyDescent="0.25"/>
  <cols>
    <col min="1" max="1" width="39.28515625" customWidth="1"/>
  </cols>
  <sheetData>
    <row r="1" spans="1:6" x14ac:dyDescent="0.25">
      <c r="A1" s="1577" t="s">
        <v>317</v>
      </c>
      <c r="B1" s="1577"/>
      <c r="C1" s="1577"/>
      <c r="D1" s="1577"/>
      <c r="E1" s="1577"/>
      <c r="F1" s="1577"/>
    </row>
    <row r="2" spans="1:6" x14ac:dyDescent="0.25">
      <c r="A2" s="430"/>
      <c r="B2" s="32">
        <v>2017</v>
      </c>
      <c r="C2" s="32">
        <v>2018</v>
      </c>
      <c r="D2" s="32">
        <v>2019</v>
      </c>
      <c r="E2" s="32">
        <v>2020</v>
      </c>
      <c r="F2" s="32">
        <v>2021</v>
      </c>
    </row>
    <row r="3" spans="1:6" x14ac:dyDescent="0.25">
      <c r="A3" s="431" t="s">
        <v>318</v>
      </c>
      <c r="B3" s="439">
        <v>-35.276000000000003</v>
      </c>
      <c r="C3" s="439">
        <v>52.31122319</v>
      </c>
      <c r="D3" s="439">
        <v>217.6888647362936</v>
      </c>
      <c r="E3" s="437">
        <v>-44.246276810000005</v>
      </c>
      <c r="F3" s="437">
        <v>-41.246276810000005</v>
      </c>
    </row>
    <row r="4" spans="1:6" x14ac:dyDescent="0.25">
      <c r="A4" s="36" t="s">
        <v>319</v>
      </c>
      <c r="B4" s="434">
        <v>26.2</v>
      </c>
      <c r="C4" s="432"/>
      <c r="D4" s="432"/>
      <c r="E4" s="438"/>
      <c r="F4" s="438"/>
    </row>
    <row r="5" spans="1:6" x14ac:dyDescent="0.25">
      <c r="A5" s="36" t="s">
        <v>320</v>
      </c>
      <c r="B5" s="436"/>
      <c r="C5" s="434">
        <v>109.5575</v>
      </c>
      <c r="D5" s="434">
        <v>260.22399999999999</v>
      </c>
      <c r="E5" s="432"/>
      <c r="F5" s="432"/>
    </row>
    <row r="6" spans="1:6" x14ac:dyDescent="0.25">
      <c r="A6" s="433" t="s">
        <v>321</v>
      </c>
      <c r="B6" s="435">
        <f>B3-SUM(B4:B5)</f>
        <v>-61.475999999999999</v>
      </c>
      <c r="C6" s="435">
        <f t="shared" ref="C6:F6" si="0">C3-SUM(C4:C5)</f>
        <v>-57.246276810000005</v>
      </c>
      <c r="D6" s="435">
        <f t="shared" si="0"/>
        <v>-42.535135263706394</v>
      </c>
      <c r="E6" s="435">
        <f t="shared" si="0"/>
        <v>-44.246276810000005</v>
      </c>
      <c r="F6" s="435">
        <f t="shared" si="0"/>
        <v>-41.246276810000005</v>
      </c>
    </row>
    <row r="7" spans="1:6" x14ac:dyDescent="0.25">
      <c r="A7" s="37"/>
      <c r="B7" s="1528" t="s">
        <v>275</v>
      </c>
      <c r="C7" s="1528"/>
      <c r="D7" s="1528"/>
      <c r="E7" s="1528"/>
      <c r="F7" s="1528"/>
    </row>
  </sheetData>
  <mergeCells count="2">
    <mergeCell ref="A1:F1"/>
    <mergeCell ref="B7:F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1241-BE90-439C-9FB4-C767E36936A2}">
  <sheetPr codeName="Sheet16"/>
  <dimension ref="A1:M22"/>
  <sheetViews>
    <sheetView showGridLines="0" workbookViewId="0">
      <selection sqref="A1:J1"/>
    </sheetView>
  </sheetViews>
  <sheetFormatPr defaultRowHeight="15" x14ac:dyDescent="0.25"/>
  <cols>
    <col min="1" max="1" width="41.42578125" customWidth="1"/>
    <col min="2" max="10" width="7.85546875" customWidth="1"/>
  </cols>
  <sheetData>
    <row r="1" spans="1:13" x14ac:dyDescent="0.25">
      <c r="A1" s="1579" t="s">
        <v>350</v>
      </c>
      <c r="B1" s="1579"/>
      <c r="C1" s="1579"/>
      <c r="D1" s="1579"/>
      <c r="E1" s="1579"/>
      <c r="F1" s="1579"/>
      <c r="G1" s="1579"/>
      <c r="H1" s="1579"/>
      <c r="I1" s="1579"/>
      <c r="J1" s="1579"/>
    </row>
    <row r="2" spans="1:13" x14ac:dyDescent="0.25">
      <c r="A2" s="440"/>
      <c r="B2" s="441" t="s">
        <v>322</v>
      </c>
      <c r="C2" s="441" t="s">
        <v>323</v>
      </c>
      <c r="D2" s="442" t="s">
        <v>324</v>
      </c>
      <c r="E2" s="443" t="s">
        <v>325</v>
      </c>
      <c r="F2" s="442" t="s">
        <v>326</v>
      </c>
      <c r="G2" s="444" t="s">
        <v>327</v>
      </c>
      <c r="H2" s="444" t="s">
        <v>328</v>
      </c>
      <c r="I2" s="444" t="s">
        <v>329</v>
      </c>
      <c r="J2" s="444" t="s">
        <v>330</v>
      </c>
    </row>
    <row r="3" spans="1:13" x14ac:dyDescent="0.25">
      <c r="A3" s="445" t="s">
        <v>331</v>
      </c>
      <c r="B3" s="391"/>
      <c r="C3" s="391"/>
      <c r="D3" s="391"/>
      <c r="E3" s="391"/>
      <c r="F3" s="391"/>
      <c r="G3" s="391"/>
      <c r="H3" s="391"/>
      <c r="I3" s="391"/>
      <c r="J3" s="391"/>
    </row>
    <row r="4" spans="1:13" x14ac:dyDescent="0.25">
      <c r="A4" s="403" t="s">
        <v>332</v>
      </c>
      <c r="B4" s="446">
        <v>29825</v>
      </c>
      <c r="C4" s="446">
        <f t="shared" ref="C4:J4" si="0">B11</f>
        <v>469045.54100000003</v>
      </c>
      <c r="D4" s="446">
        <f t="shared" si="0"/>
        <v>478058.7</v>
      </c>
      <c r="E4" s="446">
        <f t="shared" si="0"/>
        <v>337837.08500000002</v>
      </c>
      <c r="F4" s="446">
        <f t="shared" si="0"/>
        <v>335692.89500000002</v>
      </c>
      <c r="G4" s="446">
        <f t="shared" si="0"/>
        <v>233786.08800000002</v>
      </c>
      <c r="H4" s="446">
        <f t="shared" si="0"/>
        <v>220932.53800000003</v>
      </c>
      <c r="I4" s="446">
        <f t="shared" si="0"/>
        <v>224442.67400000003</v>
      </c>
      <c r="J4" s="446">
        <f t="shared" si="0"/>
        <v>237206.41000000003</v>
      </c>
    </row>
    <row r="5" spans="1:13" x14ac:dyDescent="0.25">
      <c r="A5" s="391" t="s">
        <v>333</v>
      </c>
      <c r="B5" s="396">
        <v>-29825</v>
      </c>
      <c r="C5" s="391">
        <v>0</v>
      </c>
      <c r="D5" s="391">
        <v>0</v>
      </c>
      <c r="E5" s="391">
        <v>0</v>
      </c>
      <c r="F5" s="391">
        <v>0</v>
      </c>
      <c r="G5" s="391">
        <v>0</v>
      </c>
      <c r="H5" s="391">
        <v>0</v>
      </c>
      <c r="I5" s="391">
        <v>0</v>
      </c>
      <c r="J5" s="391">
        <v>0</v>
      </c>
    </row>
    <row r="6" spans="1:13" x14ac:dyDescent="0.25">
      <c r="A6" s="391" t="s">
        <v>334</v>
      </c>
      <c r="B6" s="396">
        <v>469045.54100000003</v>
      </c>
      <c r="C6" s="396">
        <v>16238</v>
      </c>
      <c r="D6" s="396">
        <v>39278.385000000002</v>
      </c>
      <c r="E6" s="396">
        <v>47855.81</v>
      </c>
      <c r="F6" s="396">
        <v>46498.192999999999</v>
      </c>
      <c r="G6" s="396">
        <v>2261.902</v>
      </c>
      <c r="H6" s="396">
        <v>3510.136</v>
      </c>
      <c r="I6" s="396">
        <v>12763.736000000001</v>
      </c>
      <c r="J6" s="396">
        <v>17023.109</v>
      </c>
    </row>
    <row r="7" spans="1:13" x14ac:dyDescent="0.25">
      <c r="A7" s="391" t="s">
        <v>335</v>
      </c>
      <c r="B7" s="396">
        <v>0</v>
      </c>
      <c r="C7" s="396">
        <v>0</v>
      </c>
      <c r="D7" s="396">
        <v>-179500</v>
      </c>
      <c r="E7" s="396">
        <v>0</v>
      </c>
      <c r="F7" s="396">
        <v>-87405</v>
      </c>
      <c r="G7" s="396">
        <v>0</v>
      </c>
      <c r="H7" s="396">
        <v>0</v>
      </c>
      <c r="I7" s="396">
        <v>0</v>
      </c>
      <c r="J7" s="396">
        <v>0</v>
      </c>
      <c r="M7" s="34"/>
    </row>
    <row r="8" spans="1:13" x14ac:dyDescent="0.25">
      <c r="A8" s="391" t="s">
        <v>336</v>
      </c>
      <c r="B8" s="396">
        <v>0</v>
      </c>
      <c r="C8" s="396">
        <v>0</v>
      </c>
      <c r="D8" s="396">
        <v>0</v>
      </c>
      <c r="E8" s="396">
        <v>-50000</v>
      </c>
      <c r="F8" s="396">
        <v>-61000</v>
      </c>
      <c r="G8" s="396">
        <v>0</v>
      </c>
      <c r="H8" s="396">
        <v>0</v>
      </c>
      <c r="I8" s="396">
        <v>0</v>
      </c>
      <c r="J8" s="396">
        <v>-15142.715</v>
      </c>
    </row>
    <row r="9" spans="1:13" x14ac:dyDescent="0.25">
      <c r="A9" s="391" t="s">
        <v>337</v>
      </c>
      <c r="B9" s="396">
        <v>0</v>
      </c>
      <c r="C9" s="396">
        <v>0</v>
      </c>
      <c r="D9" s="396">
        <v>0</v>
      </c>
      <c r="E9" s="396">
        <v>0</v>
      </c>
      <c r="F9" s="396">
        <v>0</v>
      </c>
      <c r="G9" s="396">
        <v>-15115.451999999999</v>
      </c>
      <c r="H9" s="396">
        <v>0</v>
      </c>
      <c r="I9" s="396">
        <v>0</v>
      </c>
      <c r="J9" s="396">
        <v>0</v>
      </c>
    </row>
    <row r="10" spans="1:13" x14ac:dyDescent="0.25">
      <c r="A10" s="391" t="s">
        <v>338</v>
      </c>
      <c r="B10" s="391">
        <v>0</v>
      </c>
      <c r="C10" s="396">
        <v>-7224.8410000000149</v>
      </c>
      <c r="D10" s="391">
        <v>0</v>
      </c>
      <c r="E10" s="391">
        <v>0</v>
      </c>
      <c r="F10" s="391">
        <v>0</v>
      </c>
      <c r="G10" s="391">
        <v>0</v>
      </c>
      <c r="H10" s="391">
        <v>0</v>
      </c>
      <c r="I10" s="391">
        <v>0</v>
      </c>
      <c r="J10" s="391">
        <v>0</v>
      </c>
    </row>
    <row r="11" spans="1:13" x14ac:dyDescent="0.25">
      <c r="A11" s="447" t="s">
        <v>339</v>
      </c>
      <c r="B11" s="448">
        <f t="shared" ref="B11:H11" si="1">B4+SUM(B5:B10)</f>
        <v>469045.54100000003</v>
      </c>
      <c r="C11" s="448">
        <f t="shared" si="1"/>
        <v>478058.7</v>
      </c>
      <c r="D11" s="448">
        <f t="shared" si="1"/>
        <v>337837.08500000002</v>
      </c>
      <c r="E11" s="448">
        <f t="shared" si="1"/>
        <v>335692.89500000002</v>
      </c>
      <c r="F11" s="448">
        <f t="shared" si="1"/>
        <v>233786.08800000002</v>
      </c>
      <c r="G11" s="448">
        <f t="shared" si="1"/>
        <v>220932.53800000003</v>
      </c>
      <c r="H11" s="448">
        <f t="shared" si="1"/>
        <v>224442.67400000003</v>
      </c>
      <c r="I11" s="448">
        <f t="shared" ref="I11:J11" si="2">I4+SUM(I5:I10)</f>
        <v>237206.41000000003</v>
      </c>
      <c r="J11" s="448">
        <f t="shared" si="2"/>
        <v>239086.80400000003</v>
      </c>
      <c r="L11" s="34"/>
    </row>
    <row r="12" spans="1:13" x14ac:dyDescent="0.25">
      <c r="A12" s="449" t="s">
        <v>340</v>
      </c>
      <c r="B12" s="449">
        <v>0</v>
      </c>
      <c r="C12" s="449">
        <v>0</v>
      </c>
      <c r="D12" s="450">
        <v>-11738</v>
      </c>
      <c r="E12" s="450">
        <v>-25806.524000000001</v>
      </c>
      <c r="F12" s="450">
        <v>-19357.143</v>
      </c>
      <c r="G12" s="450">
        <v>-26250</v>
      </c>
      <c r="H12" s="450">
        <f>139318-183750</f>
        <v>-44432</v>
      </c>
      <c r="I12" s="450">
        <v>-46614</v>
      </c>
      <c r="J12" s="450">
        <v>-16613.636320000001</v>
      </c>
      <c r="K12" s="451"/>
    </row>
    <row r="13" spans="1:13" x14ac:dyDescent="0.25">
      <c r="A13" s="445" t="s">
        <v>341</v>
      </c>
      <c r="B13" s="391"/>
      <c r="C13" s="391"/>
      <c r="D13" s="391"/>
      <c r="E13" s="391"/>
      <c r="F13" s="391"/>
      <c r="G13" s="391"/>
      <c r="H13" s="391"/>
      <c r="I13" s="391"/>
      <c r="J13" s="391"/>
    </row>
    <row r="14" spans="1:13" x14ac:dyDescent="0.25">
      <c r="A14" s="403" t="s">
        <v>342</v>
      </c>
      <c r="B14" s="446">
        <v>-39915.671000000002</v>
      </c>
      <c r="C14" s="446">
        <f t="shared" ref="C14:J14" si="3">B20</f>
        <v>-56432.303000000007</v>
      </c>
      <c r="D14" s="446">
        <f t="shared" si="3"/>
        <v>-58697.303000000007</v>
      </c>
      <c r="E14" s="454">
        <f t="shared" si="3"/>
        <v>-49696.918000000005</v>
      </c>
      <c r="F14" s="454">
        <f t="shared" si="3"/>
        <v>-35512.995000000003</v>
      </c>
      <c r="G14" s="454">
        <f t="shared" si="3"/>
        <v>19391.635999999991</v>
      </c>
      <c r="H14" s="454">
        <f t="shared" si="3"/>
        <v>-713.60400000001027</v>
      </c>
      <c r="I14" s="454">
        <f t="shared" si="3"/>
        <v>-2490.04000000001</v>
      </c>
      <c r="J14" s="446">
        <f t="shared" si="3"/>
        <v>-617.5140000000099</v>
      </c>
    </row>
    <row r="15" spans="1:13" x14ac:dyDescent="0.25">
      <c r="A15" s="391" t="s">
        <v>334</v>
      </c>
      <c r="B15" s="396">
        <v>-16513</v>
      </c>
      <c r="C15" s="396">
        <v>-2265</v>
      </c>
      <c r="D15" s="396">
        <v>9000.3850000000002</v>
      </c>
      <c r="E15" s="452">
        <v>15984</v>
      </c>
      <c r="F15" s="452">
        <v>6605.3289999999997</v>
      </c>
      <c r="G15" s="452">
        <v>-8926.4590000000007</v>
      </c>
      <c r="H15" s="452">
        <v>-1776.4359999999999</v>
      </c>
      <c r="I15" s="452">
        <v>1872.5260000000001</v>
      </c>
      <c r="J15" s="396">
        <v>6283.848</v>
      </c>
    </row>
    <row r="16" spans="1:13" x14ac:dyDescent="0.25">
      <c r="A16" s="391" t="s">
        <v>343</v>
      </c>
      <c r="B16" s="396">
        <v>0</v>
      </c>
      <c r="C16" s="396">
        <v>0</v>
      </c>
      <c r="D16" s="396">
        <v>0</v>
      </c>
      <c r="E16" s="452">
        <v>0</v>
      </c>
      <c r="F16" s="452">
        <v>68516</v>
      </c>
      <c r="G16" s="452">
        <v>0</v>
      </c>
      <c r="H16" s="452">
        <v>0</v>
      </c>
      <c r="I16" s="452">
        <v>0</v>
      </c>
      <c r="J16" s="396">
        <v>0</v>
      </c>
      <c r="M16" s="452"/>
    </row>
    <row r="17" spans="1:13" x14ac:dyDescent="0.25">
      <c r="A17" s="391" t="s">
        <v>344</v>
      </c>
      <c r="B17" s="396">
        <v>0</v>
      </c>
      <c r="C17" s="396">
        <v>0</v>
      </c>
      <c r="D17" s="396">
        <v>0</v>
      </c>
      <c r="E17" s="452">
        <v>0</v>
      </c>
      <c r="F17" s="452">
        <v>-17019.842000000001</v>
      </c>
      <c r="G17" s="452">
        <v>-11178.781000000001</v>
      </c>
      <c r="H17" s="452">
        <v>0</v>
      </c>
      <c r="I17" s="452">
        <v>0</v>
      </c>
      <c r="J17" s="396">
        <v>-3486</v>
      </c>
      <c r="M17" s="452"/>
    </row>
    <row r="18" spans="1:13" x14ac:dyDescent="0.25">
      <c r="A18" s="391" t="s">
        <v>345</v>
      </c>
      <c r="B18" s="396">
        <v>0</v>
      </c>
      <c r="C18" s="396">
        <v>0</v>
      </c>
      <c r="D18" s="396">
        <v>0</v>
      </c>
      <c r="E18" s="452">
        <v>-1800.077</v>
      </c>
      <c r="F18" s="452">
        <v>-3196.8560000000002</v>
      </c>
      <c r="G18" s="452">
        <v>0</v>
      </c>
      <c r="H18" s="452">
        <v>0</v>
      </c>
      <c r="I18" s="452">
        <v>0</v>
      </c>
      <c r="J18" s="396">
        <v>1995.674</v>
      </c>
      <c r="M18" s="34"/>
    </row>
    <row r="19" spans="1:13" x14ac:dyDescent="0.25">
      <c r="A19" s="391" t="s">
        <v>338</v>
      </c>
      <c r="B19" s="396">
        <v>-3.6320000000050072</v>
      </c>
      <c r="C19" s="396">
        <v>0</v>
      </c>
      <c r="D19" s="396">
        <v>0</v>
      </c>
      <c r="E19" s="452">
        <v>0</v>
      </c>
      <c r="F19" s="452">
        <v>0</v>
      </c>
      <c r="G19" s="452">
        <v>0</v>
      </c>
      <c r="H19" s="452">
        <v>0</v>
      </c>
      <c r="I19" s="452">
        <v>0</v>
      </c>
      <c r="J19" s="396">
        <v>7077.5619999999999</v>
      </c>
      <c r="M19" s="34"/>
    </row>
    <row r="20" spans="1:13" x14ac:dyDescent="0.25">
      <c r="A20" s="447" t="s">
        <v>346</v>
      </c>
      <c r="B20" s="448">
        <f t="shared" ref="B20:J20" si="4">B14+SUM(B15:B19)</f>
        <v>-56432.303000000007</v>
      </c>
      <c r="C20" s="448">
        <f t="shared" si="4"/>
        <v>-58697.303000000007</v>
      </c>
      <c r="D20" s="448">
        <f t="shared" si="4"/>
        <v>-49696.918000000005</v>
      </c>
      <c r="E20" s="455">
        <f t="shared" si="4"/>
        <v>-35512.995000000003</v>
      </c>
      <c r="F20" s="455">
        <f t="shared" si="4"/>
        <v>19391.635999999991</v>
      </c>
      <c r="G20" s="455">
        <f t="shared" si="4"/>
        <v>-713.60400000001027</v>
      </c>
      <c r="H20" s="455">
        <f t="shared" si="4"/>
        <v>-2490.04000000001</v>
      </c>
      <c r="I20" s="455">
        <f t="shared" si="4"/>
        <v>-617.5140000000099</v>
      </c>
      <c r="J20" s="448">
        <f t="shared" si="4"/>
        <v>11253.569999999989</v>
      </c>
      <c r="M20" s="117"/>
    </row>
    <row r="21" spans="1:13" x14ac:dyDescent="0.25">
      <c r="A21" s="453" t="s">
        <v>347</v>
      </c>
      <c r="B21" s="453"/>
      <c r="C21" s="1578" t="s">
        <v>348</v>
      </c>
      <c r="D21" s="1578"/>
      <c r="E21" s="1578"/>
      <c r="F21" s="1578"/>
      <c r="G21" s="1578"/>
      <c r="H21" s="1578"/>
      <c r="I21" s="1578"/>
      <c r="J21" s="1578"/>
    </row>
    <row r="22" spans="1:13" x14ac:dyDescent="0.25">
      <c r="A22" s="453" t="s">
        <v>349</v>
      </c>
      <c r="B22" s="391"/>
      <c r="C22" s="391"/>
      <c r="D22" s="391"/>
      <c r="E22" s="396"/>
      <c r="F22" s="391"/>
      <c r="G22" s="391"/>
      <c r="H22" s="391"/>
      <c r="I22" s="391"/>
      <c r="J22" s="391"/>
    </row>
  </sheetData>
  <mergeCells count="2">
    <mergeCell ref="C21:J21"/>
    <mergeCell ref="A1:J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12998-7FB9-4A21-AE83-CB12A043E5EA}">
  <sheetPr>
    <pageSetUpPr fitToPage="1"/>
  </sheetPr>
  <dimension ref="A1:F11"/>
  <sheetViews>
    <sheetView showGridLines="0" workbookViewId="0">
      <selection sqref="A1:E1"/>
    </sheetView>
  </sheetViews>
  <sheetFormatPr defaultRowHeight="12.75" x14ac:dyDescent="0.2"/>
  <cols>
    <col min="1" max="1" width="57.140625" style="272" customWidth="1"/>
    <col min="2" max="8" width="9.140625" style="272"/>
    <col min="9" max="9" width="9.42578125" style="272" customWidth="1"/>
    <col min="10" max="16384" width="9.140625" style="272"/>
  </cols>
  <sheetData>
    <row r="1" spans="1:6" ht="17.25" customHeight="1" x14ac:dyDescent="0.2">
      <c r="A1" s="1505" t="s">
        <v>870</v>
      </c>
      <c r="B1" s="1505"/>
      <c r="C1" s="1505"/>
      <c r="D1" s="1505"/>
      <c r="E1" s="1505"/>
    </row>
    <row r="2" spans="1:6" x14ac:dyDescent="0.2">
      <c r="A2" s="957"/>
      <c r="B2" s="958">
        <v>2017</v>
      </c>
      <c r="C2" s="958">
        <v>2018</v>
      </c>
      <c r="D2" s="958">
        <v>2019</v>
      </c>
      <c r="E2" s="958">
        <v>2020</v>
      </c>
      <c r="F2" s="958">
        <v>2021</v>
      </c>
    </row>
    <row r="3" spans="1:6" ht="15" customHeight="1" x14ac:dyDescent="0.2">
      <c r="A3" s="978" t="s">
        <v>871</v>
      </c>
      <c r="B3" s="979">
        <v>-0.7770491556751673</v>
      </c>
      <c r="C3" s="979">
        <v>-0.6</v>
      </c>
      <c r="D3" s="979">
        <v>-0.1</v>
      </c>
      <c r="E3" s="979">
        <v>0</v>
      </c>
      <c r="F3" s="979">
        <v>0.2</v>
      </c>
    </row>
    <row r="4" spans="1:6" ht="15" customHeight="1" x14ac:dyDescent="0.2">
      <c r="A4" s="978" t="s">
        <v>872</v>
      </c>
      <c r="B4" s="979">
        <v>5.4489314304852814E-2</v>
      </c>
      <c r="C4" s="979">
        <v>0.21748292666450078</v>
      </c>
      <c r="D4" s="979">
        <v>0.47470191992028921</v>
      </c>
      <c r="E4" s="979">
        <v>0.50392028055833749</v>
      </c>
      <c r="F4" s="979">
        <v>0.48566374011140101</v>
      </c>
    </row>
    <row r="5" spans="1:6" ht="15" customHeight="1" x14ac:dyDescent="0.2">
      <c r="A5" s="978" t="s">
        <v>873</v>
      </c>
      <c r="B5" s="979">
        <v>0</v>
      </c>
      <c r="C5" s="979">
        <v>0</v>
      </c>
      <c r="D5" s="979">
        <v>0</v>
      </c>
      <c r="E5" s="979">
        <v>0</v>
      </c>
      <c r="F5" s="979">
        <v>0</v>
      </c>
    </row>
    <row r="6" spans="1:6" ht="15" customHeight="1" x14ac:dyDescent="0.2">
      <c r="A6" s="980" t="s">
        <v>874</v>
      </c>
      <c r="B6" s="981">
        <f>B3-B4-B5</f>
        <v>-0.83153846998002012</v>
      </c>
      <c r="C6" s="981">
        <f>C3-C4-C5</f>
        <v>-0.81748292666450073</v>
      </c>
      <c r="D6" s="981">
        <f>D3-D4-D5</f>
        <v>-0.57470191992028918</v>
      </c>
      <c r="E6" s="981">
        <f>E3-E4-E5</f>
        <v>-0.50392028055833749</v>
      </c>
      <c r="F6" s="981">
        <f t="shared" ref="F6" si="0">F3-F4-F5</f>
        <v>-0.285663740111401</v>
      </c>
    </row>
    <row r="7" spans="1:6" ht="15" customHeight="1" x14ac:dyDescent="0.2">
      <c r="A7" s="982" t="s">
        <v>875</v>
      </c>
      <c r="B7" s="983">
        <v>1.2694479375183663</v>
      </c>
      <c r="C7" s="983">
        <v>1.4055543315519392E-2</v>
      </c>
      <c r="D7" s="983">
        <v>0.24278100674421155</v>
      </c>
      <c r="E7" s="983">
        <v>7.0781639361951698E-2</v>
      </c>
      <c r="F7" s="983">
        <v>0.21825654044693649</v>
      </c>
    </row>
    <row r="8" spans="1:6" ht="15" customHeight="1" x14ac:dyDescent="0.2">
      <c r="A8" s="963" t="s">
        <v>876</v>
      </c>
      <c r="B8" s="984">
        <v>0.5</v>
      </c>
      <c r="C8" s="984">
        <v>0.5</v>
      </c>
      <c r="D8" s="984">
        <v>0.5</v>
      </c>
      <c r="E8" s="984" t="s">
        <v>877</v>
      </c>
      <c r="F8" s="984" t="s">
        <v>877</v>
      </c>
    </row>
    <row r="9" spans="1:6" ht="15" customHeight="1" x14ac:dyDescent="0.2">
      <c r="A9" s="985" t="s">
        <v>878</v>
      </c>
      <c r="B9" s="986">
        <v>0.41780430099999988</v>
      </c>
      <c r="C9" s="986">
        <v>-0.48594445668448061</v>
      </c>
      <c r="D9" s="987" t="s">
        <v>879</v>
      </c>
      <c r="E9" s="987" t="s">
        <v>877</v>
      </c>
      <c r="F9" s="987" t="s">
        <v>877</v>
      </c>
    </row>
    <row r="10" spans="1:6" ht="15" customHeight="1" x14ac:dyDescent="0.2">
      <c r="A10" s="988" t="s">
        <v>880</v>
      </c>
      <c r="B10" s="989">
        <v>0.45979724099999997</v>
      </c>
      <c r="C10" s="989">
        <v>-3.4070077842240365E-2</v>
      </c>
      <c r="D10" s="990" t="s">
        <v>879</v>
      </c>
      <c r="E10" s="990" t="s">
        <v>877</v>
      </c>
      <c r="F10" s="990" t="s">
        <v>877</v>
      </c>
    </row>
    <row r="11" spans="1:6" x14ac:dyDescent="0.2">
      <c r="A11" s="991" t="s">
        <v>881</v>
      </c>
      <c r="F11" s="992" t="s">
        <v>869</v>
      </c>
    </row>
  </sheetData>
  <mergeCells count="1">
    <mergeCell ref="A1:E1"/>
  </mergeCells>
  <pageMargins left="0.7" right="0.7" top="0.75" bottom="0.75" header="0.3" footer="0.3"/>
  <pageSetup paperSize="9" scale="53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11FB-67A3-4BA4-9797-855E8D8738FE}">
  <sheetPr codeName="Sheet17">
    <pageSetUpPr fitToPage="1"/>
  </sheetPr>
  <dimension ref="A1:G29"/>
  <sheetViews>
    <sheetView showGridLines="0" workbookViewId="0">
      <selection sqref="A1:E1"/>
    </sheetView>
  </sheetViews>
  <sheetFormatPr defaultColWidth="9.140625" defaultRowHeight="15" x14ac:dyDescent="0.25"/>
  <cols>
    <col min="1" max="1" width="42.7109375" style="389" customWidth="1"/>
    <col min="2" max="5" width="7.7109375" style="389" customWidth="1"/>
    <col min="6" max="16384" width="9.140625" style="389"/>
  </cols>
  <sheetData>
    <row r="1" spans="1:7" x14ac:dyDescent="0.25">
      <c r="A1" s="1580" t="s">
        <v>351</v>
      </c>
      <c r="B1" s="1580"/>
      <c r="C1" s="1580"/>
      <c r="D1" s="1580"/>
      <c r="E1" s="1580"/>
    </row>
    <row r="2" spans="1:7" x14ac:dyDescent="0.25">
      <c r="A2" s="390"/>
      <c r="B2" s="390" t="s">
        <v>352</v>
      </c>
      <c r="C2" s="390">
        <v>2019</v>
      </c>
      <c r="D2" s="390">
        <f t="shared" ref="D2" si="0">C2+1</f>
        <v>2020</v>
      </c>
      <c r="E2" s="390">
        <f>D2+1</f>
        <v>2021</v>
      </c>
    </row>
    <row r="3" spans="1:7" x14ac:dyDescent="0.25">
      <c r="A3" s="1581" t="s">
        <v>304</v>
      </c>
      <c r="B3" s="1581"/>
      <c r="C3" s="1581"/>
      <c r="D3" s="1581"/>
      <c r="E3" s="1581"/>
    </row>
    <row r="4" spans="1:7" x14ac:dyDescent="0.25">
      <c r="A4" s="392" t="s">
        <v>302</v>
      </c>
      <c r="B4" s="399">
        <v>4494.1050000000005</v>
      </c>
      <c r="C4" s="399">
        <v>4703.5010000000002</v>
      </c>
      <c r="D4" s="399">
        <v>4810.326</v>
      </c>
      <c r="E4" s="399">
        <v>4960.4430000000002</v>
      </c>
      <c r="G4" s="400"/>
    </row>
    <row r="5" spans="1:7" x14ac:dyDescent="0.25">
      <c r="A5" s="397" t="s">
        <v>353</v>
      </c>
      <c r="B5" s="395">
        <f>41.855-109.5575</f>
        <v>-67.702500000000015</v>
      </c>
      <c r="C5" s="395">
        <v>-0.70199999999999996</v>
      </c>
      <c r="D5" s="395">
        <v>27.991</v>
      </c>
      <c r="E5" s="395">
        <v>28.637</v>
      </c>
    </row>
    <row r="6" spans="1:7" x14ac:dyDescent="0.25">
      <c r="A6" s="401" t="s">
        <v>303</v>
      </c>
      <c r="B6" s="402">
        <f>104.513-82.547+1.276</f>
        <v>23.242000000000008</v>
      </c>
      <c r="C6" s="402">
        <v>0</v>
      </c>
      <c r="D6" s="402">
        <v>0</v>
      </c>
      <c r="E6" s="402">
        <v>0</v>
      </c>
    </row>
    <row r="7" spans="1:7" x14ac:dyDescent="0.25">
      <c r="A7" s="1581" t="s">
        <v>207</v>
      </c>
      <c r="B7" s="1581"/>
      <c r="C7" s="1581"/>
      <c r="D7" s="1581"/>
      <c r="E7" s="1581"/>
    </row>
    <row r="8" spans="1:7" x14ac:dyDescent="0.25">
      <c r="A8" s="392" t="s">
        <v>302</v>
      </c>
      <c r="B8" s="399">
        <v>4456.469188</v>
      </c>
      <c r="C8" s="399">
        <v>4690.6021639999999</v>
      </c>
      <c r="D8" s="399">
        <v>4933.773066667095</v>
      </c>
      <c r="E8" s="399">
        <v>5125.708024911035</v>
      </c>
      <c r="F8" s="398"/>
      <c r="G8" s="398"/>
    </row>
    <row r="9" spans="1:7" x14ac:dyDescent="0.25">
      <c r="A9" s="397" t="s">
        <v>353</v>
      </c>
      <c r="B9" s="399">
        <v>-57.246276810000005</v>
      </c>
      <c r="C9" s="399">
        <v>-42.535135263706387</v>
      </c>
      <c r="D9" s="399">
        <v>-44.246276810000005</v>
      </c>
      <c r="E9" s="399">
        <v>-41.246276810000005</v>
      </c>
      <c r="F9" s="398"/>
      <c r="G9" s="398"/>
    </row>
    <row r="10" spans="1:7" x14ac:dyDescent="0.25">
      <c r="A10" s="401" t="s">
        <v>303</v>
      </c>
      <c r="B10" s="402">
        <v>89.756</v>
      </c>
      <c r="C10" s="402">
        <v>50</v>
      </c>
      <c r="D10" s="402">
        <v>50</v>
      </c>
      <c r="E10" s="402">
        <v>50</v>
      </c>
    </row>
    <row r="11" spans="1:7" x14ac:dyDescent="0.25">
      <c r="A11" s="403" t="s">
        <v>305</v>
      </c>
      <c r="B11" s="404">
        <f>B12+B14+B13</f>
        <v>18.421964809999544</v>
      </c>
      <c r="C11" s="404">
        <f t="shared" ref="C11:E11" si="1">C12+C14+C13</f>
        <v>78.934299263706095</v>
      </c>
      <c r="D11" s="404">
        <f t="shared" si="1"/>
        <v>245.68434347709498</v>
      </c>
      <c r="E11" s="404">
        <f t="shared" si="1"/>
        <v>285.14830172103473</v>
      </c>
    </row>
    <row r="12" spans="1:7" x14ac:dyDescent="0.25">
      <c r="A12" s="392" t="s">
        <v>306</v>
      </c>
      <c r="B12" s="394">
        <f>B8-B4</f>
        <v>-37.635812000000442</v>
      </c>
      <c r="C12" s="394">
        <f t="shared" ref="C12:E12" si="2">C8-C4</f>
        <v>-12.898836000000301</v>
      </c>
      <c r="D12" s="394">
        <f t="shared" si="2"/>
        <v>123.44706666709499</v>
      </c>
      <c r="E12" s="394">
        <f t="shared" si="2"/>
        <v>165.26502491103474</v>
      </c>
    </row>
    <row r="13" spans="1:7" x14ac:dyDescent="0.25">
      <c r="A13" s="392" t="s">
        <v>56</v>
      </c>
      <c r="B13" s="394">
        <f>-B9+B5</f>
        <v>-10.45622319000001</v>
      </c>
      <c r="C13" s="394">
        <f t="shared" ref="C13:E13" si="3">-C9+C5</f>
        <v>41.833135263706389</v>
      </c>
      <c r="D13" s="394">
        <f t="shared" si="3"/>
        <v>72.237276809999997</v>
      </c>
      <c r="E13" s="394">
        <f t="shared" si="3"/>
        <v>69.883276810000012</v>
      </c>
    </row>
    <row r="14" spans="1:7" x14ac:dyDescent="0.25">
      <c r="A14" s="401" t="s">
        <v>307</v>
      </c>
      <c r="B14" s="405">
        <f>B10-B6</f>
        <v>66.513999999999996</v>
      </c>
      <c r="C14" s="405">
        <f>C10-C6</f>
        <v>50</v>
      </c>
      <c r="D14" s="405">
        <f>D10-D6</f>
        <v>50</v>
      </c>
      <c r="E14" s="405">
        <f>E10-E6</f>
        <v>50</v>
      </c>
    </row>
    <row r="15" spans="1:7" x14ac:dyDescent="0.25">
      <c r="A15" s="406" t="s">
        <v>308</v>
      </c>
      <c r="B15" s="407">
        <v>0</v>
      </c>
      <c r="C15" s="407">
        <v>50</v>
      </c>
      <c r="D15" s="407">
        <v>0</v>
      </c>
      <c r="E15" s="407">
        <v>0</v>
      </c>
    </row>
    <row r="16" spans="1:7" x14ac:dyDescent="0.25">
      <c r="A16" s="456" t="s">
        <v>356</v>
      </c>
      <c r="B16" s="457" t="s">
        <v>175</v>
      </c>
      <c r="C16" s="458">
        <v>1065</v>
      </c>
      <c r="D16" s="457">
        <v>988</v>
      </c>
      <c r="E16" s="457">
        <v>859</v>
      </c>
    </row>
    <row r="17" spans="1:5" x14ac:dyDescent="0.25">
      <c r="A17" s="459" t="s">
        <v>355</v>
      </c>
      <c r="B17" s="460" t="s">
        <v>175</v>
      </c>
      <c r="C17" s="460">
        <v>993</v>
      </c>
      <c r="D17" s="460">
        <v>790</v>
      </c>
      <c r="E17" s="460">
        <v>630</v>
      </c>
    </row>
    <row r="18" spans="1:5" ht="27.75" customHeight="1" x14ac:dyDescent="0.25">
      <c r="A18" s="1582" t="s">
        <v>357</v>
      </c>
      <c r="B18" s="1582"/>
      <c r="C18" s="1582"/>
      <c r="D18" s="1582"/>
      <c r="E18" s="1582"/>
    </row>
    <row r="19" spans="1:5" x14ac:dyDescent="0.25">
      <c r="A19" s="1583" t="s">
        <v>354</v>
      </c>
      <c r="B19" s="1583"/>
      <c r="C19" s="1583"/>
      <c r="D19" s="1583"/>
      <c r="E19" s="1583"/>
    </row>
    <row r="20" spans="1:5" x14ac:dyDescent="0.25">
      <c r="A20" s="397"/>
      <c r="B20" s="393"/>
      <c r="C20" s="393"/>
      <c r="D20" s="393"/>
      <c r="E20" s="393"/>
    </row>
    <row r="21" spans="1:5" x14ac:dyDescent="0.25">
      <c r="A21" s="397"/>
      <c r="B21" s="393"/>
      <c r="C21" s="393"/>
      <c r="D21" s="393"/>
      <c r="E21" s="393"/>
    </row>
    <row r="22" spans="1:5" x14ac:dyDescent="0.25">
      <c r="B22" s="393"/>
      <c r="C22" s="393"/>
      <c r="D22" s="393"/>
      <c r="E22" s="393"/>
    </row>
    <row r="25" spans="1:5" x14ac:dyDescent="0.25">
      <c r="B25" s="393"/>
      <c r="C25" s="393"/>
      <c r="D25" s="393"/>
      <c r="E25" s="393"/>
    </row>
    <row r="26" spans="1:5" x14ac:dyDescent="0.25">
      <c r="C26" s="408"/>
      <c r="D26" s="408"/>
      <c r="E26" s="408"/>
    </row>
    <row r="28" spans="1:5" x14ac:dyDescent="0.25">
      <c r="B28" s="393"/>
      <c r="C28" s="393"/>
      <c r="D28" s="393"/>
      <c r="E28" s="393"/>
    </row>
    <row r="29" spans="1:5" x14ac:dyDescent="0.25">
      <c r="C29" s="408"/>
      <c r="D29" s="408"/>
      <c r="E29" s="408"/>
    </row>
  </sheetData>
  <mergeCells count="5">
    <mergeCell ref="A1:E1"/>
    <mergeCell ref="A3:E3"/>
    <mergeCell ref="A7:E7"/>
    <mergeCell ref="A18:E18"/>
    <mergeCell ref="A19:E19"/>
  </mergeCells>
  <pageMargins left="0.7" right="0.7" top="0.75" bottom="0.75" header="0.3" footer="0.3"/>
  <pageSetup scale="90" orientation="portrait" verticalDpi="300" r:id="rId1"/>
  <ignoredErrors>
    <ignoredError sqref="B13:E13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B2BB-7D0C-4051-B53F-41D20755B19D}">
  <dimension ref="A1:G13"/>
  <sheetViews>
    <sheetView showGridLines="0" workbookViewId="0"/>
  </sheetViews>
  <sheetFormatPr defaultRowHeight="12.75" x14ac:dyDescent="0.2"/>
  <cols>
    <col min="1" max="1" width="44.28515625" style="272" customWidth="1"/>
    <col min="2" max="16384" width="9.140625" style="272"/>
  </cols>
  <sheetData>
    <row r="1" spans="1:7" ht="16.5" customHeight="1" x14ac:dyDescent="0.2">
      <c r="A1" s="1055" t="s">
        <v>911</v>
      </c>
      <c r="B1" s="1055"/>
      <c r="C1" s="1055"/>
      <c r="D1" s="1055"/>
    </row>
    <row r="2" spans="1:7" x14ac:dyDescent="0.2">
      <c r="A2" s="1056"/>
      <c r="B2" s="1057">
        <v>2019</v>
      </c>
      <c r="C2" s="1057">
        <v>2020</v>
      </c>
      <c r="D2" s="1057">
        <v>2021</v>
      </c>
    </row>
    <row r="3" spans="1:7" ht="14.25" customHeight="1" x14ac:dyDescent="0.2">
      <c r="A3" s="1058" t="s">
        <v>912</v>
      </c>
      <c r="B3" s="1059">
        <v>234.48400000000001</v>
      </c>
      <c r="C3" s="1059">
        <v>228.28100000000001</v>
      </c>
      <c r="D3" s="1059">
        <v>197.428</v>
      </c>
    </row>
    <row r="4" spans="1:7" ht="14.25" customHeight="1" x14ac:dyDescent="0.2">
      <c r="A4" s="1060" t="s">
        <v>913</v>
      </c>
      <c r="B4" s="1061">
        <v>122.093</v>
      </c>
      <c r="C4" s="1061">
        <v>147.50200000000001</v>
      </c>
      <c r="D4" s="1061">
        <v>141.452</v>
      </c>
    </row>
    <row r="5" spans="1:7" ht="14.25" customHeight="1" x14ac:dyDescent="0.2">
      <c r="A5" s="1058" t="s">
        <v>914</v>
      </c>
      <c r="B5" s="1059">
        <v>97.65747724413697</v>
      </c>
      <c r="C5" s="1059">
        <v>118.85043032909441</v>
      </c>
      <c r="D5" s="1059">
        <v>145.0293875129982</v>
      </c>
    </row>
    <row r="6" spans="1:7" ht="14.25" customHeight="1" x14ac:dyDescent="0.2">
      <c r="A6" s="1058" t="s">
        <v>915</v>
      </c>
      <c r="B6" s="1059">
        <v>114.01095870958987</v>
      </c>
      <c r="C6" s="1059">
        <v>133.92210112294842</v>
      </c>
      <c r="D6" s="1059">
        <v>156.096046086282</v>
      </c>
    </row>
    <row r="7" spans="1:7" ht="14.25" customHeight="1" x14ac:dyDescent="0.2">
      <c r="A7" s="1062" t="s">
        <v>916</v>
      </c>
      <c r="B7" s="1063">
        <f>B5+B6-B3-B4</f>
        <v>-144.90856404627317</v>
      </c>
      <c r="C7" s="1063">
        <f t="shared" ref="C7:D7" si="0">C5+C6-C3-C4</f>
        <v>-123.0104685479572</v>
      </c>
      <c r="D7" s="1063">
        <f t="shared" si="0"/>
        <v>-37.754566400719796</v>
      </c>
      <c r="E7" s="1063"/>
    </row>
    <row r="8" spans="1:7" x14ac:dyDescent="0.2">
      <c r="A8" s="1584"/>
      <c r="B8" s="1584"/>
      <c r="C8" s="1585" t="s">
        <v>89</v>
      </c>
      <c r="D8" s="1585"/>
    </row>
    <row r="10" spans="1:7" s="956" customFormat="1" x14ac:dyDescent="0.2"/>
    <row r="11" spans="1:7" s="956" customFormat="1" ht="12" customHeight="1" x14ac:dyDescent="0.2">
      <c r="B11" s="1064"/>
      <c r="C11" s="1064"/>
      <c r="D11" s="1064"/>
      <c r="E11" s="1064"/>
      <c r="F11" s="1064"/>
      <c r="G11" s="1064"/>
    </row>
    <row r="12" spans="1:7" s="956" customFormat="1" x14ac:dyDescent="0.2">
      <c r="B12" s="1065"/>
      <c r="C12" s="1065"/>
      <c r="D12" s="1065"/>
      <c r="E12" s="1065"/>
      <c r="F12" s="1065"/>
      <c r="G12" s="1065"/>
    </row>
    <row r="13" spans="1:7" s="956" customFormat="1" x14ac:dyDescent="0.2">
      <c r="B13" s="1065"/>
      <c r="C13" s="1065"/>
      <c r="D13" s="1065"/>
    </row>
  </sheetData>
  <mergeCells count="2">
    <mergeCell ref="A8:B8"/>
    <mergeCell ref="C8:D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53AD-2765-4A9D-9F8A-FEF8B16190E5}">
  <sheetPr codeName="Sheet18"/>
  <dimension ref="A1:F15"/>
  <sheetViews>
    <sheetView showGridLines="0" workbookViewId="0">
      <selection sqref="A1:E1"/>
    </sheetView>
  </sheetViews>
  <sheetFormatPr defaultRowHeight="15" x14ac:dyDescent="0.25"/>
  <cols>
    <col min="1" max="1" width="50.140625" customWidth="1"/>
  </cols>
  <sheetData>
    <row r="1" spans="1:6" x14ac:dyDescent="0.25">
      <c r="A1" s="1518" t="s">
        <v>368</v>
      </c>
      <c r="B1" s="1518"/>
      <c r="C1" s="1518"/>
      <c r="D1" s="1518"/>
      <c r="E1" s="1518"/>
      <c r="F1" s="327"/>
    </row>
    <row r="2" spans="1:6" x14ac:dyDescent="0.25">
      <c r="A2" s="461"/>
      <c r="B2" s="462">
        <v>2018</v>
      </c>
      <c r="C2" s="462">
        <v>2019</v>
      </c>
      <c r="D2" s="462">
        <v>2020</v>
      </c>
      <c r="E2" s="462">
        <v>2021</v>
      </c>
      <c r="F2" s="463"/>
    </row>
    <row r="3" spans="1:6" x14ac:dyDescent="0.25">
      <c r="A3" s="141" t="s">
        <v>358</v>
      </c>
      <c r="B3" s="143">
        <v>2651.2570000000001</v>
      </c>
      <c r="C3" s="143">
        <v>2678.16878</v>
      </c>
      <c r="D3" s="143">
        <v>2697.846912</v>
      </c>
      <c r="E3" s="143">
        <v>2698.374084</v>
      </c>
      <c r="F3" s="141"/>
    </row>
    <row r="4" spans="1:6" x14ac:dyDescent="0.25">
      <c r="A4" s="141" t="s">
        <v>359</v>
      </c>
      <c r="B4" s="143">
        <f>B6+B5</f>
        <v>2695.0823759999998</v>
      </c>
      <c r="C4" s="143">
        <f>C6+C5</f>
        <v>3319.9733943316241</v>
      </c>
      <c r="D4" s="143">
        <f>D6+D5</f>
        <v>3892.5417546397271</v>
      </c>
      <c r="E4" s="143">
        <f>E6+E5</f>
        <v>4033.9763080676435</v>
      </c>
      <c r="F4" s="141"/>
    </row>
    <row r="5" spans="1:6" x14ac:dyDescent="0.25">
      <c r="A5" s="141" t="s">
        <v>360</v>
      </c>
      <c r="B5" s="143">
        <v>2695.0823759999998</v>
      </c>
      <c r="C5" s="143">
        <v>3054.232603331624</v>
      </c>
      <c r="D5" s="143">
        <v>3364.0392656397271</v>
      </c>
      <c r="E5" s="143">
        <v>3451.9130420676433</v>
      </c>
      <c r="F5" s="141"/>
    </row>
    <row r="6" spans="1:6" x14ac:dyDescent="0.25">
      <c r="A6" s="141" t="s">
        <v>361</v>
      </c>
      <c r="B6" s="143">
        <v>0</v>
      </c>
      <c r="C6" s="143">
        <v>265.740791</v>
      </c>
      <c r="D6" s="143">
        <v>528.50248899999997</v>
      </c>
      <c r="E6" s="143">
        <v>582.063266</v>
      </c>
      <c r="F6" s="141"/>
    </row>
    <row r="7" spans="1:6" x14ac:dyDescent="0.25">
      <c r="A7" s="414" t="s">
        <v>362</v>
      </c>
      <c r="B7" s="464">
        <f>B3-B4</f>
        <v>-43.825375999999778</v>
      </c>
      <c r="C7" s="464">
        <f t="shared" ref="C7:E7" si="0">C3-C4</f>
        <v>-641.80461433162418</v>
      </c>
      <c r="D7" s="464">
        <f t="shared" si="0"/>
        <v>-1194.6948426397271</v>
      </c>
      <c r="E7" s="464">
        <f t="shared" si="0"/>
        <v>-1335.6022240676434</v>
      </c>
      <c r="F7" s="412"/>
    </row>
    <row r="8" spans="1:6" x14ac:dyDescent="0.25">
      <c r="A8" s="465" t="s">
        <v>363</v>
      </c>
      <c r="B8" s="1586" t="s">
        <v>172</v>
      </c>
      <c r="C8" s="1586"/>
      <c r="D8" s="1586"/>
      <c r="E8" s="1586"/>
      <c r="F8" s="466"/>
    </row>
    <row r="9" spans="1:6" x14ac:dyDescent="0.25">
      <c r="A9" s="125"/>
      <c r="B9" s="125"/>
      <c r="C9" s="125"/>
      <c r="D9" s="125"/>
      <c r="E9" s="125"/>
      <c r="F9" s="125"/>
    </row>
    <row r="10" spans="1:6" x14ac:dyDescent="0.25">
      <c r="A10" s="125"/>
      <c r="B10" s="125"/>
      <c r="C10" s="125"/>
      <c r="D10" s="125"/>
      <c r="E10" s="125"/>
      <c r="F10" s="125"/>
    </row>
    <row r="11" spans="1:6" x14ac:dyDescent="0.25">
      <c r="A11" s="125"/>
      <c r="B11" s="125"/>
      <c r="C11" s="125"/>
      <c r="D11" s="125"/>
      <c r="E11" s="125"/>
      <c r="F11" s="125"/>
    </row>
    <row r="12" spans="1:6" x14ac:dyDescent="0.25">
      <c r="A12" s="125"/>
      <c r="B12" s="125"/>
      <c r="C12" s="125"/>
      <c r="D12" s="125"/>
      <c r="E12" s="125"/>
      <c r="F12" s="125"/>
    </row>
    <row r="13" spans="1:6" x14ac:dyDescent="0.25">
      <c r="A13" s="125"/>
      <c r="B13" s="125"/>
      <c r="C13" s="125"/>
      <c r="D13" s="125"/>
      <c r="E13" s="125"/>
      <c r="F13" s="125"/>
    </row>
    <row r="14" spans="1:6" x14ac:dyDescent="0.25">
      <c r="A14" s="125"/>
      <c r="B14" s="125"/>
      <c r="C14" s="125"/>
      <c r="D14" s="125"/>
      <c r="E14" s="125"/>
      <c r="F14" s="125"/>
    </row>
    <row r="15" spans="1:6" x14ac:dyDescent="0.25">
      <c r="A15" s="125"/>
      <c r="B15" s="125"/>
      <c r="C15" s="125"/>
      <c r="D15" s="125"/>
      <c r="E15" s="125"/>
      <c r="F15" s="125"/>
    </row>
  </sheetData>
  <mergeCells count="2">
    <mergeCell ref="A1:E1"/>
    <mergeCell ref="B8:E8"/>
  </mergeCells>
  <pageMargins left="0.7" right="0.7" top="0.75" bottom="0.75" header="0.3" footer="0.3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A80A-6E46-4FC8-9D99-A4833F7A30A7}">
  <sheetPr codeName="Sheet19"/>
  <dimension ref="A1:H8"/>
  <sheetViews>
    <sheetView showGridLines="0" workbookViewId="0">
      <selection sqref="A1:D1"/>
    </sheetView>
  </sheetViews>
  <sheetFormatPr defaultRowHeight="15" x14ac:dyDescent="0.25"/>
  <cols>
    <col min="1" max="1" width="36.7109375" customWidth="1"/>
    <col min="2" max="5" width="9.140625" customWidth="1"/>
    <col min="6" max="6" width="9.85546875" customWidth="1"/>
    <col min="7" max="7" width="9.5703125" customWidth="1"/>
    <col min="8" max="8" width="9.140625" customWidth="1"/>
    <col min="11" max="11" width="11.85546875" customWidth="1"/>
    <col min="14" max="14" width="11" customWidth="1"/>
    <col min="17" max="17" width="12.5703125" bestFit="1" customWidth="1"/>
    <col min="20" max="22" width="12.28515625" bestFit="1" customWidth="1"/>
  </cols>
  <sheetData>
    <row r="1" spans="1:8" x14ac:dyDescent="0.25">
      <c r="A1" s="1518" t="s">
        <v>369</v>
      </c>
      <c r="B1" s="1518"/>
      <c r="C1" s="1518"/>
      <c r="D1" s="1518"/>
    </row>
    <row r="2" spans="1:8" x14ac:dyDescent="0.25">
      <c r="A2" s="461"/>
      <c r="B2" s="462">
        <v>2016</v>
      </c>
      <c r="C2" s="462">
        <v>2017</v>
      </c>
      <c r="D2" s="462">
        <v>2018</v>
      </c>
      <c r="E2" s="462">
        <v>2019</v>
      </c>
      <c r="F2" s="462">
        <v>2020</v>
      </c>
      <c r="G2" s="462">
        <v>2021</v>
      </c>
    </row>
    <row r="3" spans="1:8" x14ac:dyDescent="0.25">
      <c r="A3" s="141" t="s">
        <v>370</v>
      </c>
      <c r="B3" s="141">
        <v>1350.914610010007</v>
      </c>
      <c r="C3" s="141">
        <v>1429.9047054500033</v>
      </c>
      <c r="D3" s="141">
        <v>1619.597053</v>
      </c>
      <c r="E3" s="141">
        <v>1636.143687</v>
      </c>
      <c r="F3" s="141">
        <v>1894.6024129999996</v>
      </c>
      <c r="G3" s="141">
        <v>2178.9370149999995</v>
      </c>
    </row>
    <row r="4" spans="1:8" x14ac:dyDescent="0.25">
      <c r="A4" s="141" t="s">
        <v>297</v>
      </c>
      <c r="C4" s="141"/>
      <c r="D4" s="141">
        <v>1582.2530530000001</v>
      </c>
      <c r="E4" s="141">
        <v>1661.2610545663099</v>
      </c>
      <c r="F4" s="141">
        <v>1992.5311241906243</v>
      </c>
      <c r="G4" s="141">
        <v>2310.4174706982139</v>
      </c>
      <c r="H4" s="141"/>
    </row>
    <row r="5" spans="1:8" x14ac:dyDescent="0.25">
      <c r="A5" s="414" t="s">
        <v>364</v>
      </c>
      <c r="B5" s="414"/>
      <c r="C5" s="414"/>
      <c r="D5" s="414">
        <f t="shared" ref="D5:G5" si="0">-(D4-D3)</f>
        <v>37.343999999999824</v>
      </c>
      <c r="E5" s="414">
        <f t="shared" si="0"/>
        <v>-25.117367566309895</v>
      </c>
      <c r="F5" s="414">
        <f t="shared" si="0"/>
        <v>-97.928711190624654</v>
      </c>
      <c r="G5" s="414">
        <f t="shared" si="0"/>
        <v>-131.48045569821443</v>
      </c>
    </row>
    <row r="6" spans="1:8" x14ac:dyDescent="0.25">
      <c r="A6" s="467" t="s">
        <v>365</v>
      </c>
      <c r="B6" s="468"/>
      <c r="C6" s="468"/>
      <c r="D6" s="468">
        <v>2.5321335879291862</v>
      </c>
      <c r="E6" s="468">
        <v>2.4980441543422494</v>
      </c>
      <c r="F6" s="468">
        <v>2.483730356432412</v>
      </c>
      <c r="G6" s="468">
        <v>2.4951473618607167</v>
      </c>
    </row>
    <row r="7" spans="1:8" ht="27" customHeight="1" x14ac:dyDescent="0.25">
      <c r="A7" s="1587" t="s">
        <v>367</v>
      </c>
      <c r="B7" s="1587"/>
      <c r="C7" s="1587"/>
      <c r="D7" s="1587"/>
      <c r="E7" s="1587"/>
      <c r="F7" s="1588" t="s">
        <v>366</v>
      </c>
      <c r="G7" s="1588"/>
    </row>
    <row r="8" spans="1:8" ht="23.25" customHeight="1" x14ac:dyDescent="0.25"/>
  </sheetData>
  <mergeCells count="3">
    <mergeCell ref="A1:D1"/>
    <mergeCell ref="A7:E7"/>
    <mergeCell ref="F7:G7"/>
  </mergeCells>
  <pageMargins left="0.7" right="0.7" top="0.75" bottom="0.75" header="0.3" footer="0.3"/>
  <pageSetup orientation="portrait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92FC-159A-4E74-A5D9-EA39C6BC2DBF}">
  <sheetPr codeName="Sheet20"/>
  <dimension ref="A1:G23"/>
  <sheetViews>
    <sheetView showGridLines="0" workbookViewId="0">
      <selection sqref="A1:G1"/>
    </sheetView>
  </sheetViews>
  <sheetFormatPr defaultRowHeight="15" x14ac:dyDescent="0.25"/>
  <cols>
    <col min="1" max="1" width="26.28515625" customWidth="1"/>
    <col min="2" max="5" width="9.140625" customWidth="1"/>
  </cols>
  <sheetData>
    <row r="1" spans="1:7" x14ac:dyDescent="0.25">
      <c r="A1" s="1518" t="s">
        <v>384</v>
      </c>
      <c r="B1" s="1518"/>
      <c r="C1" s="1518"/>
      <c r="D1" s="1518"/>
      <c r="E1" s="1518"/>
      <c r="F1" s="1518"/>
      <c r="G1" s="1518"/>
    </row>
    <row r="2" spans="1:7" x14ac:dyDescent="0.25">
      <c r="A2" s="476"/>
      <c r="B2" s="462">
        <v>2016</v>
      </c>
      <c r="C2" s="462">
        <f>B2+1</f>
        <v>2017</v>
      </c>
      <c r="D2" s="462">
        <f t="shared" ref="D2:G2" si="0">C2+1</f>
        <v>2018</v>
      </c>
      <c r="E2" s="462">
        <f t="shared" si="0"/>
        <v>2019</v>
      </c>
      <c r="F2" s="462">
        <f t="shared" si="0"/>
        <v>2020</v>
      </c>
      <c r="G2" s="462">
        <f t="shared" si="0"/>
        <v>2021</v>
      </c>
    </row>
    <row r="3" spans="1:7" x14ac:dyDescent="0.25">
      <c r="A3" s="129" t="s">
        <v>377</v>
      </c>
      <c r="B3" s="141">
        <v>401.81294137999953</v>
      </c>
      <c r="C3" s="141">
        <v>393.614124</v>
      </c>
      <c r="D3" s="141">
        <v>309.28195199999993</v>
      </c>
      <c r="E3" s="141">
        <v>307.90036299999997</v>
      </c>
      <c r="F3" s="141">
        <v>245.88581400000004</v>
      </c>
      <c r="G3" s="141">
        <v>248.30611099999987</v>
      </c>
    </row>
    <row r="4" spans="1:7" x14ac:dyDescent="0.25">
      <c r="A4" s="129" t="s">
        <v>297</v>
      </c>
      <c r="B4" s="129"/>
      <c r="C4" s="129"/>
      <c r="D4" s="141">
        <v>467.20296377928196</v>
      </c>
      <c r="E4" s="141">
        <v>376.0607554370132</v>
      </c>
      <c r="F4" s="150">
        <v>376.0607554370132</v>
      </c>
      <c r="G4" s="150">
        <v>400.50624381386143</v>
      </c>
    </row>
    <row r="5" spans="1:7" x14ac:dyDescent="0.25">
      <c r="A5" s="477" t="s">
        <v>378</v>
      </c>
      <c r="B5" s="477"/>
      <c r="C5" s="477"/>
      <c r="D5" s="478">
        <f>D3-D4</f>
        <v>-157.92101177928203</v>
      </c>
      <c r="E5" s="478">
        <f t="shared" ref="E5:G5" si="1">E3-E4</f>
        <v>-68.160392437013229</v>
      </c>
      <c r="F5" s="478">
        <f t="shared" si="1"/>
        <v>-130.17494143701316</v>
      </c>
      <c r="G5" s="478">
        <f t="shared" si="1"/>
        <v>-152.20013281386156</v>
      </c>
    </row>
    <row r="6" spans="1:7" x14ac:dyDescent="0.25">
      <c r="A6" s="151" t="s">
        <v>383</v>
      </c>
      <c r="B6" s="479"/>
      <c r="C6" s="479"/>
      <c r="D6" s="479"/>
      <c r="E6" s="479"/>
      <c r="F6" s="1589" t="s">
        <v>275</v>
      </c>
      <c r="G6" s="1589"/>
    </row>
    <row r="7" spans="1:7" x14ac:dyDescent="0.25">
      <c r="A7" s="129"/>
      <c r="B7" s="129"/>
      <c r="C7" s="129"/>
      <c r="D7" s="129"/>
      <c r="E7" s="129"/>
      <c r="F7" s="129"/>
      <c r="G7" s="129"/>
    </row>
    <row r="8" spans="1:7" x14ac:dyDescent="0.25">
      <c r="A8" s="129"/>
      <c r="B8" s="129"/>
      <c r="C8" s="129"/>
      <c r="D8" s="129"/>
      <c r="E8" s="129"/>
      <c r="F8" s="129"/>
      <c r="G8" s="129"/>
    </row>
    <row r="9" spans="1:7" x14ac:dyDescent="0.25">
      <c r="A9" s="129"/>
      <c r="B9" s="129"/>
      <c r="C9" s="129"/>
      <c r="D9" s="129"/>
      <c r="E9" s="129"/>
      <c r="F9" s="129"/>
      <c r="G9" s="129"/>
    </row>
    <row r="10" spans="1:7" x14ac:dyDescent="0.25">
      <c r="A10" s="129"/>
      <c r="B10" s="129"/>
      <c r="C10" s="129"/>
      <c r="D10" s="129"/>
      <c r="E10" s="129"/>
      <c r="F10" s="129"/>
      <c r="G10" s="129"/>
    </row>
    <row r="11" spans="1:7" x14ac:dyDescent="0.25">
      <c r="A11" s="129"/>
      <c r="B11" s="129"/>
      <c r="C11" s="129"/>
      <c r="D11" s="129"/>
      <c r="E11" s="129"/>
      <c r="F11" s="129"/>
      <c r="G11" s="129"/>
    </row>
    <row r="12" spans="1:7" x14ac:dyDescent="0.25">
      <c r="A12" s="129"/>
      <c r="B12" s="129"/>
      <c r="C12" s="129"/>
      <c r="D12" s="129"/>
      <c r="E12" s="129"/>
      <c r="F12" s="129"/>
      <c r="G12" s="129"/>
    </row>
    <row r="13" spans="1:7" x14ac:dyDescent="0.25">
      <c r="A13" s="129"/>
      <c r="B13" s="129"/>
      <c r="C13" s="129"/>
      <c r="D13" s="129"/>
      <c r="E13" s="129"/>
      <c r="F13" s="129"/>
      <c r="G13" s="129"/>
    </row>
    <row r="14" spans="1:7" x14ac:dyDescent="0.25">
      <c r="A14" s="129"/>
      <c r="B14" s="129"/>
      <c r="C14" s="129"/>
      <c r="D14" s="129"/>
      <c r="E14" s="129"/>
      <c r="F14" s="129"/>
      <c r="G14" s="129"/>
    </row>
    <row r="15" spans="1:7" x14ac:dyDescent="0.25">
      <c r="A15" s="129"/>
      <c r="B15" s="129"/>
      <c r="C15" s="129"/>
      <c r="D15" s="129"/>
      <c r="E15" s="129"/>
      <c r="F15" s="129"/>
      <c r="G15" s="129"/>
    </row>
    <row r="16" spans="1:7" x14ac:dyDescent="0.25">
      <c r="A16" s="124"/>
      <c r="B16" s="124"/>
      <c r="C16" s="124"/>
      <c r="D16" s="124"/>
      <c r="E16" s="124"/>
      <c r="F16" s="124"/>
      <c r="G16" s="124"/>
    </row>
    <row r="17" spans="1:7" x14ac:dyDescent="0.25">
      <c r="A17" s="124"/>
      <c r="B17" s="124"/>
      <c r="C17" s="124"/>
      <c r="D17" s="124"/>
      <c r="E17" s="124"/>
      <c r="F17" s="124"/>
      <c r="G17" s="124"/>
    </row>
    <row r="18" spans="1:7" x14ac:dyDescent="0.25">
      <c r="A18" s="124"/>
      <c r="B18" s="124"/>
      <c r="C18" s="124"/>
      <c r="D18" s="124"/>
      <c r="E18" s="124"/>
      <c r="F18" s="124"/>
      <c r="G18" s="124"/>
    </row>
    <row r="19" spans="1:7" x14ac:dyDescent="0.25">
      <c r="A19" s="124"/>
      <c r="B19" s="124"/>
      <c r="C19" s="124"/>
      <c r="D19" s="124"/>
      <c r="E19" s="124"/>
      <c r="F19" s="124"/>
      <c r="G19" s="124"/>
    </row>
    <row r="20" spans="1:7" x14ac:dyDescent="0.25">
      <c r="A20" s="124"/>
      <c r="B20" s="124"/>
      <c r="C20" s="124"/>
      <c r="D20" s="124"/>
      <c r="E20" s="124"/>
      <c r="F20" s="124"/>
      <c r="G20" s="124"/>
    </row>
    <row r="21" spans="1:7" x14ac:dyDescent="0.25">
      <c r="A21" s="124"/>
      <c r="B21" s="124"/>
      <c r="C21" s="124"/>
      <c r="D21" s="124"/>
      <c r="E21" s="124"/>
      <c r="F21" s="124"/>
      <c r="G21" s="124"/>
    </row>
    <row r="22" spans="1:7" x14ac:dyDescent="0.25">
      <c r="A22" s="124"/>
      <c r="B22" s="124"/>
      <c r="C22" s="124"/>
      <c r="D22" s="124"/>
      <c r="E22" s="124"/>
      <c r="F22" s="124"/>
      <c r="G22" s="124"/>
    </row>
    <row r="23" spans="1:7" x14ac:dyDescent="0.25">
      <c r="A23" s="124"/>
      <c r="B23" s="124"/>
      <c r="C23" s="124"/>
      <c r="D23" s="124"/>
      <c r="E23" s="124"/>
      <c r="F23" s="124"/>
      <c r="G23" s="124"/>
    </row>
  </sheetData>
  <mergeCells count="2">
    <mergeCell ref="A1:G1"/>
    <mergeCell ref="F6:G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1B77-C634-4EEF-9579-83A85D395ABF}">
  <sheetPr codeName="Sheet21"/>
  <dimension ref="A1:F50"/>
  <sheetViews>
    <sheetView showGridLines="0" workbookViewId="0">
      <selection sqref="A1:F1"/>
    </sheetView>
  </sheetViews>
  <sheetFormatPr defaultRowHeight="15" x14ac:dyDescent="0.25"/>
  <cols>
    <col min="1" max="1" width="32.140625" customWidth="1"/>
    <col min="2" max="2" width="13.140625" customWidth="1"/>
    <col min="3" max="5" width="10.7109375" customWidth="1"/>
  </cols>
  <sheetData>
    <row r="1" spans="1:6" x14ac:dyDescent="0.25">
      <c r="A1" s="1523" t="s">
        <v>455</v>
      </c>
      <c r="B1" s="1523"/>
      <c r="C1" s="1523"/>
      <c r="D1" s="1523"/>
      <c r="E1" s="1523"/>
      <c r="F1" s="1523"/>
    </row>
    <row r="2" spans="1:6" ht="15" customHeight="1" x14ac:dyDescent="0.25">
      <c r="A2" s="482"/>
      <c r="B2" s="482" t="s">
        <v>385</v>
      </c>
      <c r="C2" s="483" t="s">
        <v>130</v>
      </c>
      <c r="D2" s="484" t="s">
        <v>386</v>
      </c>
      <c r="E2" s="483" t="s">
        <v>387</v>
      </c>
      <c r="F2" s="482" t="s">
        <v>380</v>
      </c>
    </row>
    <row r="3" spans="1:6" x14ac:dyDescent="0.25">
      <c r="A3" s="486" t="s">
        <v>391</v>
      </c>
      <c r="B3" s="487"/>
      <c r="C3" s="488">
        <f>SUM(C4:C7)</f>
        <v>440.02419315170391</v>
      </c>
      <c r="D3" s="489">
        <f>SUM(D4:D7)</f>
        <v>-49.749610516724999</v>
      </c>
      <c r="E3" s="488">
        <f>SUM(E4:E7)</f>
        <v>390.27458263497886</v>
      </c>
      <c r="F3" s="490">
        <v>0.43141615261274013</v>
      </c>
    </row>
    <row r="4" spans="1:6" x14ac:dyDescent="0.25">
      <c r="A4" s="142" t="s">
        <v>23</v>
      </c>
      <c r="B4" s="491" t="s">
        <v>392</v>
      </c>
      <c r="C4" s="492">
        <v>-80.969807452712914</v>
      </c>
      <c r="D4" s="493">
        <v>-138.469157546725</v>
      </c>
      <c r="E4" s="492">
        <f>C4+D4</f>
        <v>-219.43896499943793</v>
      </c>
      <c r="F4" s="494">
        <v>-0.24257155916792822</v>
      </c>
    </row>
    <row r="5" spans="1:6" x14ac:dyDescent="0.25">
      <c r="A5" s="142" t="s">
        <v>394</v>
      </c>
      <c r="B5" s="491" t="s">
        <v>395</v>
      </c>
      <c r="C5" s="492">
        <v>131.07799999999997</v>
      </c>
      <c r="D5" s="493">
        <v>78.852381600000001</v>
      </c>
      <c r="E5" s="492">
        <f t="shared" ref="E5:E7" si="0">C5+D5</f>
        <v>209.93038159999998</v>
      </c>
      <c r="F5" s="494">
        <v>0.23206060957114238</v>
      </c>
    </row>
    <row r="6" spans="1:6" x14ac:dyDescent="0.25">
      <c r="A6" s="142" t="s">
        <v>398</v>
      </c>
      <c r="B6" s="491" t="s">
        <v>399</v>
      </c>
      <c r="C6" s="492">
        <v>200.32522987999999</v>
      </c>
      <c r="D6" s="493">
        <v>-7.1290000000000031</v>
      </c>
      <c r="E6" s="492">
        <f t="shared" si="0"/>
        <v>193.19622988</v>
      </c>
      <c r="F6" s="494">
        <v>0.21356239402367358</v>
      </c>
    </row>
    <row r="7" spans="1:6" x14ac:dyDescent="0.25">
      <c r="A7" s="142" t="s">
        <v>402</v>
      </c>
      <c r="B7" s="491" t="s">
        <v>403</v>
      </c>
      <c r="C7" s="492">
        <v>189.59077072441684</v>
      </c>
      <c r="D7" s="493">
        <v>16.996165430000001</v>
      </c>
      <c r="E7" s="492">
        <f t="shared" si="0"/>
        <v>206.58693615441683</v>
      </c>
      <c r="F7" s="494">
        <v>0.22836470818585244</v>
      </c>
    </row>
    <row r="8" spans="1:6" x14ac:dyDescent="0.25">
      <c r="A8" s="486" t="s">
        <v>406</v>
      </c>
      <c r="B8" s="487"/>
      <c r="C8" s="488">
        <f>SUM(C9:C16)</f>
        <v>727.32517957368771</v>
      </c>
      <c r="D8" s="489">
        <f>SUM(D9:D16)</f>
        <v>-49.74958154672499</v>
      </c>
      <c r="E8" s="488">
        <f>SUM(E9:E16)</f>
        <v>677.57559802696278</v>
      </c>
      <c r="F8" s="490">
        <v>0.7490035749483358</v>
      </c>
    </row>
    <row r="9" spans="1:6" x14ac:dyDescent="0.25">
      <c r="A9" s="142" t="s">
        <v>409</v>
      </c>
      <c r="B9" s="491" t="s">
        <v>410</v>
      </c>
      <c r="C9" s="492">
        <v>65.409428182729556</v>
      </c>
      <c r="D9" s="493">
        <v>47.35675145327501</v>
      </c>
      <c r="E9" s="492">
        <f>C9+D9</f>
        <v>112.76617963600457</v>
      </c>
      <c r="F9" s="494">
        <v>0.12465365034776922</v>
      </c>
    </row>
    <row r="10" spans="1:6" x14ac:dyDescent="0.25">
      <c r="A10" s="142" t="s">
        <v>134</v>
      </c>
      <c r="B10" s="491" t="s">
        <v>64</v>
      </c>
      <c r="C10" s="492">
        <v>-202.51149570265324</v>
      </c>
      <c r="D10" s="493">
        <v>66.049216000000001</v>
      </c>
      <c r="E10" s="492">
        <f t="shared" ref="E10:E16" si="1">C10+D10</f>
        <v>-136.46227970265323</v>
      </c>
      <c r="F10" s="494">
        <v>-0.15084772184906772</v>
      </c>
    </row>
    <row r="11" spans="1:6" x14ac:dyDescent="0.25">
      <c r="A11" s="142" t="s">
        <v>122</v>
      </c>
      <c r="B11" s="491" t="s">
        <v>411</v>
      </c>
      <c r="C11" s="492">
        <v>49.121051255921245</v>
      </c>
      <c r="D11" s="493">
        <v>-97.84</v>
      </c>
      <c r="E11" s="492">
        <f t="shared" si="1"/>
        <v>-48.718948744078759</v>
      </c>
      <c r="F11" s="494">
        <v>-5.3854753452304303E-2</v>
      </c>
    </row>
    <row r="12" spans="1:6" x14ac:dyDescent="0.25">
      <c r="A12" s="142" t="s">
        <v>414</v>
      </c>
      <c r="B12" s="491" t="s">
        <v>415</v>
      </c>
      <c r="C12" s="492">
        <v>16.139761826342554</v>
      </c>
      <c r="D12" s="493">
        <v>0</v>
      </c>
      <c r="E12" s="492">
        <f t="shared" si="1"/>
        <v>16.139761826342554</v>
      </c>
      <c r="F12" s="494">
        <v>1.7841166863072608E-2</v>
      </c>
    </row>
    <row r="13" spans="1:6" x14ac:dyDescent="0.25">
      <c r="A13" s="142" t="s">
        <v>417</v>
      </c>
      <c r="B13" s="491" t="s">
        <v>418</v>
      </c>
      <c r="C13" s="492">
        <v>97.274000000000001</v>
      </c>
      <c r="D13" s="493">
        <v>-14.081066999999999</v>
      </c>
      <c r="E13" s="492">
        <f>C13+D13</f>
        <v>83.192932999999996</v>
      </c>
      <c r="F13" s="494">
        <v>9.1962881203047409E-2</v>
      </c>
    </row>
    <row r="14" spans="1:6" x14ac:dyDescent="0.25">
      <c r="A14" s="142" t="s">
        <v>420</v>
      </c>
      <c r="B14" s="491" t="s">
        <v>421</v>
      </c>
      <c r="C14" s="492">
        <v>311.42416503061747</v>
      </c>
      <c r="D14" s="493">
        <v>3.7262000000000003E-2</v>
      </c>
      <c r="E14" s="492">
        <f t="shared" si="1"/>
        <v>311.46142703061747</v>
      </c>
      <c r="F14" s="494">
        <v>0.34429475173508178</v>
      </c>
    </row>
    <row r="15" spans="1:6" x14ac:dyDescent="0.25">
      <c r="A15" s="142" t="s">
        <v>422</v>
      </c>
      <c r="B15" s="491" t="s">
        <v>423</v>
      </c>
      <c r="C15" s="492">
        <v>324.86646625601975</v>
      </c>
      <c r="D15" s="493">
        <v>-74.594743999999992</v>
      </c>
      <c r="E15" s="492">
        <f t="shared" si="1"/>
        <v>250.27172225601976</v>
      </c>
      <c r="F15" s="494">
        <v>0.27665461274592185</v>
      </c>
    </row>
    <row r="16" spans="1:6" x14ac:dyDescent="0.25">
      <c r="A16" s="142" t="s">
        <v>424</v>
      </c>
      <c r="B16" s="491" t="s">
        <v>425</v>
      </c>
      <c r="C16" s="492">
        <v>65.601802724710424</v>
      </c>
      <c r="D16" s="493">
        <v>23.323</v>
      </c>
      <c r="E16" s="492">
        <f t="shared" si="1"/>
        <v>88.924802724710418</v>
      </c>
      <c r="F16" s="494">
        <v>9.8298987354814987E-2</v>
      </c>
    </row>
    <row r="17" spans="1:6" x14ac:dyDescent="0.25">
      <c r="A17" s="149" t="s">
        <v>113</v>
      </c>
      <c r="B17" s="498"/>
      <c r="C17" s="499">
        <f>C3-C8</f>
        <v>-287.30098642198379</v>
      </c>
      <c r="D17" s="500">
        <f t="shared" ref="D17:E17" si="2">D3-D8</f>
        <v>-2.8970000009564956E-5</v>
      </c>
      <c r="E17" s="499">
        <f t="shared" si="2"/>
        <v>-287.30101539198392</v>
      </c>
      <c r="F17" s="501">
        <v>-0.31758742233559567</v>
      </c>
    </row>
    <row r="18" spans="1:6" x14ac:dyDescent="0.25">
      <c r="A18" s="413"/>
      <c r="C18" s="502"/>
      <c r="D18" s="502"/>
      <c r="E18" s="502"/>
      <c r="F18" s="502" t="s">
        <v>84</v>
      </c>
    </row>
    <row r="20" spans="1:6" x14ac:dyDescent="0.25">
      <c r="A20" s="124"/>
      <c r="B20" s="124"/>
      <c r="C20" s="124"/>
      <c r="D20" s="124"/>
      <c r="E20" s="124"/>
      <c r="F20" s="124"/>
    </row>
    <row r="21" spans="1:6" x14ac:dyDescent="0.25">
      <c r="A21" s="124"/>
      <c r="B21" s="124"/>
      <c r="C21" s="124"/>
      <c r="D21" s="124"/>
      <c r="E21" s="124"/>
      <c r="F21" s="124"/>
    </row>
    <row r="22" spans="1:6" ht="15" customHeight="1" x14ac:dyDescent="0.25">
      <c r="A22" s="124"/>
      <c r="B22" s="124"/>
      <c r="C22" s="124"/>
      <c r="D22" s="124"/>
      <c r="E22" s="124"/>
      <c r="F22" s="124"/>
    </row>
    <row r="23" spans="1:6" x14ac:dyDescent="0.25">
      <c r="A23" s="124"/>
      <c r="B23" s="124"/>
      <c r="C23" s="124"/>
      <c r="D23" s="124"/>
      <c r="E23" s="124"/>
      <c r="F23" s="124"/>
    </row>
    <row r="24" spans="1:6" x14ac:dyDescent="0.25">
      <c r="A24" s="124"/>
      <c r="B24" s="124"/>
      <c r="C24" s="124"/>
      <c r="D24" s="124"/>
      <c r="E24" s="124"/>
      <c r="F24" s="124"/>
    </row>
    <row r="25" spans="1:6" x14ac:dyDescent="0.25">
      <c r="A25" s="124"/>
      <c r="B25" s="124"/>
      <c r="C25" s="124"/>
      <c r="D25" s="124"/>
      <c r="E25" s="124"/>
      <c r="F25" s="124"/>
    </row>
    <row r="26" spans="1:6" x14ac:dyDescent="0.25">
      <c r="A26" s="124"/>
      <c r="B26" s="124"/>
      <c r="C26" s="124"/>
      <c r="D26" s="124"/>
      <c r="E26" s="124"/>
      <c r="F26" s="124"/>
    </row>
    <row r="27" spans="1:6" x14ac:dyDescent="0.25">
      <c r="A27" s="124"/>
      <c r="B27" s="124"/>
      <c r="C27" s="124"/>
      <c r="D27" s="124"/>
      <c r="E27" s="124"/>
      <c r="F27" s="124"/>
    </row>
    <row r="28" spans="1:6" x14ac:dyDescent="0.25">
      <c r="A28" s="124"/>
      <c r="B28" s="124"/>
      <c r="C28" s="124"/>
      <c r="D28" s="124"/>
      <c r="E28" s="124"/>
      <c r="F28" s="124"/>
    </row>
    <row r="29" spans="1:6" x14ac:dyDescent="0.25">
      <c r="A29" s="124"/>
      <c r="B29" s="124"/>
      <c r="C29" s="124"/>
      <c r="D29" s="124"/>
      <c r="E29" s="124"/>
      <c r="F29" s="124"/>
    </row>
    <row r="30" spans="1:6" ht="15" customHeight="1" x14ac:dyDescent="0.25">
      <c r="A30" s="124"/>
      <c r="B30" s="124"/>
      <c r="C30" s="124"/>
      <c r="D30" s="124"/>
      <c r="E30" s="124"/>
      <c r="F30" s="124"/>
    </row>
    <row r="31" spans="1:6" x14ac:dyDescent="0.25">
      <c r="A31" s="124"/>
      <c r="B31" s="124"/>
      <c r="C31" s="124"/>
      <c r="D31" s="124"/>
      <c r="E31" s="124"/>
      <c r="F31" s="124"/>
    </row>
    <row r="50" ht="15" customHeight="1" x14ac:dyDescent="0.25"/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BE47-6912-4F69-B9C5-1CCD2AAF753A}">
  <sheetPr codeName="Sheet22"/>
  <dimension ref="A1:F18"/>
  <sheetViews>
    <sheetView showGridLines="0" workbookViewId="0">
      <selection sqref="A1:F1"/>
    </sheetView>
  </sheetViews>
  <sheetFormatPr defaultRowHeight="15" x14ac:dyDescent="0.25"/>
  <cols>
    <col min="1" max="1" width="36.5703125" customWidth="1"/>
    <col min="2" max="2" width="9.42578125" bestFit="1" customWidth="1"/>
    <col min="3" max="3" width="9.140625" customWidth="1"/>
    <col min="4" max="6" width="9.28515625" bestFit="1" customWidth="1"/>
  </cols>
  <sheetData>
    <row r="1" spans="1:6" x14ac:dyDescent="0.25">
      <c r="A1" s="1523" t="s">
        <v>457</v>
      </c>
      <c r="B1" s="1523"/>
      <c r="C1" s="1523"/>
      <c r="D1" s="1523"/>
      <c r="E1" s="1523"/>
      <c r="F1" s="1523"/>
    </row>
    <row r="2" spans="1:6" x14ac:dyDescent="0.25">
      <c r="A2" s="172"/>
      <c r="B2" s="172" t="s">
        <v>446</v>
      </c>
      <c r="C2" s="409">
        <v>2018</v>
      </c>
      <c r="D2" s="409">
        <f t="shared" ref="D2:F2" si="0">C2+1</f>
        <v>2019</v>
      </c>
      <c r="E2" s="409">
        <f t="shared" si="0"/>
        <v>2020</v>
      </c>
      <c r="F2" s="409">
        <f t="shared" si="0"/>
        <v>2021</v>
      </c>
    </row>
    <row r="3" spans="1:6" x14ac:dyDescent="0.25">
      <c r="A3" s="531" t="s">
        <v>447</v>
      </c>
      <c r="B3" s="108" t="s">
        <v>448</v>
      </c>
      <c r="C3" s="180">
        <v>187.2193</v>
      </c>
      <c r="D3" s="180">
        <v>0</v>
      </c>
      <c r="E3" s="180">
        <v>0</v>
      </c>
      <c r="F3" s="180">
        <v>0</v>
      </c>
    </row>
    <row r="4" spans="1:6" x14ac:dyDescent="0.25">
      <c r="A4" s="469" t="s">
        <v>449</v>
      </c>
      <c r="B4" s="108" t="s">
        <v>64</v>
      </c>
      <c r="C4" s="180">
        <v>111.1</v>
      </c>
      <c r="D4" s="180">
        <v>260</v>
      </c>
      <c r="E4" s="180">
        <v>0</v>
      </c>
      <c r="F4" s="180">
        <v>0</v>
      </c>
    </row>
    <row r="5" spans="1:6" x14ac:dyDescent="0.25">
      <c r="A5" s="469" t="s">
        <v>450</v>
      </c>
      <c r="B5" s="108" t="s">
        <v>451</v>
      </c>
      <c r="C5" s="180">
        <f>-109.558-187.2193</f>
        <v>-296.77730000000003</v>
      </c>
      <c r="D5" s="180">
        <v>-260.2</v>
      </c>
      <c r="E5" s="180">
        <v>0</v>
      </c>
      <c r="F5" s="180">
        <v>0</v>
      </c>
    </row>
    <row r="6" spans="1:6" x14ac:dyDescent="0.25">
      <c r="A6" s="531" t="s">
        <v>452</v>
      </c>
      <c r="B6" s="108" t="s">
        <v>451</v>
      </c>
      <c r="C6" s="180">
        <v>-5.7880000000000003</v>
      </c>
      <c r="D6" s="180">
        <v>-5.7880000000000003</v>
      </c>
      <c r="E6" s="180">
        <v>-5.7880000000000003</v>
      </c>
      <c r="F6" s="180">
        <v>-5.7880000000000003</v>
      </c>
    </row>
    <row r="7" spans="1:6" x14ac:dyDescent="0.25">
      <c r="A7" s="191" t="s">
        <v>453</v>
      </c>
      <c r="B7" s="428" t="s">
        <v>423</v>
      </c>
      <c r="C7" s="85">
        <v>-112.697</v>
      </c>
      <c r="D7" s="85">
        <v>0</v>
      </c>
      <c r="E7" s="85">
        <v>0</v>
      </c>
      <c r="F7" s="85">
        <v>0</v>
      </c>
    </row>
    <row r="8" spans="1:6" x14ac:dyDescent="0.25">
      <c r="A8" s="470" t="s">
        <v>36</v>
      </c>
      <c r="B8" s="124"/>
      <c r="C8" s="488">
        <f>SUM(C3:C7)</f>
        <v>-116.94300000000003</v>
      </c>
      <c r="D8" s="488">
        <f>SUM(D3:D7)</f>
        <v>-5.9879999999999889</v>
      </c>
      <c r="E8" s="488">
        <f>SUM(E3:E7)</f>
        <v>-5.7880000000000003</v>
      </c>
      <c r="F8" s="488">
        <f>SUM(F3:F7)</f>
        <v>-5.7880000000000003</v>
      </c>
    </row>
    <row r="9" spans="1:6" x14ac:dyDescent="0.25">
      <c r="A9" s="124"/>
      <c r="B9" s="124"/>
      <c r="C9" s="532"/>
      <c r="D9" s="532"/>
      <c r="E9" s="532"/>
      <c r="F9" s="532"/>
    </row>
    <row r="10" spans="1:6" x14ac:dyDescent="0.25">
      <c r="A10" s="1523" t="s">
        <v>456</v>
      </c>
      <c r="B10" s="1523"/>
      <c r="C10" s="1523"/>
      <c r="D10" s="1523"/>
      <c r="E10" s="1523"/>
      <c r="F10" s="1523"/>
    </row>
    <row r="11" spans="1:6" x14ac:dyDescent="0.25">
      <c r="A11" s="533"/>
      <c r="B11" s="534" t="s">
        <v>385</v>
      </c>
      <c r="C11" s="485">
        <f>C2</f>
        <v>2018</v>
      </c>
      <c r="D11" s="485">
        <f>D2</f>
        <v>2019</v>
      </c>
      <c r="E11" s="485">
        <f>E2</f>
        <v>2020</v>
      </c>
      <c r="F11" s="485">
        <f>F2</f>
        <v>2021</v>
      </c>
    </row>
    <row r="12" spans="1:6" x14ac:dyDescent="0.25">
      <c r="A12" s="531" t="s">
        <v>447</v>
      </c>
      <c r="B12" s="108" t="s">
        <v>448</v>
      </c>
      <c r="C12" s="535">
        <v>0.20702812804273266</v>
      </c>
      <c r="D12" s="535" t="s">
        <v>175</v>
      </c>
      <c r="E12" s="535" t="s">
        <v>175</v>
      </c>
      <c r="F12" s="535" t="s">
        <v>175</v>
      </c>
    </row>
    <row r="13" spans="1:6" x14ac:dyDescent="0.25">
      <c r="A13" s="469" t="s">
        <v>449</v>
      </c>
      <c r="B13" s="108" t="s">
        <v>64</v>
      </c>
      <c r="C13" s="535">
        <v>0.12285498891165385</v>
      </c>
      <c r="D13" s="535">
        <v>0.28750942499576959</v>
      </c>
      <c r="E13" s="535" t="s">
        <v>175</v>
      </c>
      <c r="F13" s="535" t="s">
        <v>175</v>
      </c>
    </row>
    <row r="14" spans="1:6" x14ac:dyDescent="0.25">
      <c r="A14" s="469" t="s">
        <v>450</v>
      </c>
      <c r="B14" s="108" t="s">
        <v>451</v>
      </c>
      <c r="C14" s="535">
        <v>-0.32817796490306544</v>
      </c>
      <c r="D14" s="535">
        <v>-0.28773058609192015</v>
      </c>
      <c r="E14" s="535" t="s">
        <v>175</v>
      </c>
      <c r="F14" s="535" t="s">
        <v>175</v>
      </c>
    </row>
    <row r="15" spans="1:6" x14ac:dyDescent="0.25">
      <c r="A15" s="531" t="s">
        <v>452</v>
      </c>
      <c r="B15" s="108" t="s">
        <v>451</v>
      </c>
      <c r="C15" s="535">
        <v>-6.4004021225981316E-3</v>
      </c>
      <c r="D15" s="535">
        <v>-5.996310848024375E-3</v>
      </c>
      <c r="E15" s="535">
        <v>-5.6455719274979138E-3</v>
      </c>
      <c r="F15" s="535">
        <v>-5.3289261416375484E-3</v>
      </c>
    </row>
    <row r="16" spans="1:6" x14ac:dyDescent="0.25">
      <c r="A16" s="531" t="str">
        <f>A7</f>
        <v>Vplyv volieb v obciach na investície</v>
      </c>
      <c r="B16" s="469" t="str">
        <f>B7</f>
        <v>P.51 G</v>
      </c>
      <c r="C16" s="535">
        <v>-0.12462096026441631</v>
      </c>
      <c r="D16" s="535" t="s">
        <v>175</v>
      </c>
      <c r="E16" s="535" t="s">
        <v>175</v>
      </c>
      <c r="F16" s="535" t="s">
        <v>175</v>
      </c>
    </row>
    <row r="17" spans="1:6" x14ac:dyDescent="0.25">
      <c r="A17" s="536" t="s">
        <v>454</v>
      </c>
      <c r="B17" s="537"/>
      <c r="C17" s="538">
        <f>SUM(C12:C16)</f>
        <v>-0.1293162103356934</v>
      </c>
      <c r="D17" s="538">
        <f>SUM(D12:D16)</f>
        <v>-6.2174719441749323E-3</v>
      </c>
      <c r="E17" s="538">
        <f>SUM(E12:E16)</f>
        <v>-5.6455719274979138E-3</v>
      </c>
      <c r="F17" s="538">
        <f>SUM(F12:F16)</f>
        <v>-5.3289261416375484E-3</v>
      </c>
    </row>
    <row r="18" spans="1:6" x14ac:dyDescent="0.25">
      <c r="A18" s="539"/>
      <c r="B18" s="481"/>
      <c r="C18" s="481"/>
      <c r="D18" s="481"/>
      <c r="E18" s="1590" t="s">
        <v>84</v>
      </c>
      <c r="F18" s="1590"/>
    </row>
  </sheetData>
  <mergeCells count="3">
    <mergeCell ref="A10:F10"/>
    <mergeCell ref="E18:F18"/>
    <mergeCell ref="A1:F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5B9C-6827-4186-B448-60EE10A69F1D}">
  <sheetPr codeName="Sheet23"/>
  <dimension ref="A1:E14"/>
  <sheetViews>
    <sheetView showGridLines="0" workbookViewId="0">
      <selection sqref="A1:E1"/>
    </sheetView>
  </sheetViews>
  <sheetFormatPr defaultRowHeight="15" x14ac:dyDescent="0.25"/>
  <cols>
    <col min="1" max="1" width="42.28515625" customWidth="1"/>
  </cols>
  <sheetData>
    <row r="1" spans="1:5" ht="15.75" thickBot="1" x14ac:dyDescent="0.3">
      <c r="A1" s="1591" t="s">
        <v>458</v>
      </c>
      <c r="B1" s="1591"/>
      <c r="C1" s="1591"/>
      <c r="D1" s="1591"/>
      <c r="E1" s="1591"/>
    </row>
    <row r="2" spans="1:5" x14ac:dyDescent="0.25">
      <c r="A2" s="518"/>
      <c r="B2" s="519">
        <v>2018</v>
      </c>
      <c r="C2" s="519">
        <f>B2+1</f>
        <v>2019</v>
      </c>
      <c r="D2" s="519">
        <f t="shared" ref="D2:E2" si="0">C2+1</f>
        <v>2020</v>
      </c>
      <c r="E2" s="519">
        <f t="shared" si="0"/>
        <v>2021</v>
      </c>
    </row>
    <row r="3" spans="1:5" x14ac:dyDescent="0.25">
      <c r="A3" s="520" t="s">
        <v>439</v>
      </c>
      <c r="B3" s="521">
        <f>SUM(B4:B5)</f>
        <v>2.0881048156654671</v>
      </c>
      <c r="C3" s="521">
        <f>SUM(C4:C5)</f>
        <v>2.4382230036743264</v>
      </c>
      <c r="D3" s="521">
        <f>SUM(D4:D5)</f>
        <v>2.5123279714090438</v>
      </c>
      <c r="E3" s="521">
        <f>SUM(E4:E5)</f>
        <v>2.4370727764295932</v>
      </c>
    </row>
    <row r="4" spans="1:5" x14ac:dyDescent="0.25">
      <c r="A4" s="522" t="s">
        <v>440</v>
      </c>
      <c r="B4" s="523">
        <v>1.4241988122179989</v>
      </c>
      <c r="C4" s="523">
        <v>1.7138815491962209</v>
      </c>
      <c r="D4" s="523">
        <v>1.7846877676240869</v>
      </c>
      <c r="E4" s="523">
        <v>1.7969113331440925</v>
      </c>
    </row>
    <row r="5" spans="1:5" x14ac:dyDescent="0.25">
      <c r="A5" s="522" t="s">
        <v>441</v>
      </c>
      <c r="B5" s="523">
        <v>0.66390600344746842</v>
      </c>
      <c r="C5" s="523">
        <v>0.72434145447810527</v>
      </c>
      <c r="D5" s="523">
        <v>0.7276402037849572</v>
      </c>
      <c r="E5" s="523">
        <v>0.64016144328550084</v>
      </c>
    </row>
    <row r="6" spans="1:5" x14ac:dyDescent="0.25">
      <c r="A6" s="520" t="s">
        <v>442</v>
      </c>
      <c r="B6" s="521">
        <f>SUM(B7:B8)</f>
        <v>2.0881048156654671</v>
      </c>
      <c r="C6" s="521">
        <f t="shared" ref="C6:E6" si="1">SUM(C7:C8)</f>
        <v>2.4382230036743264</v>
      </c>
      <c r="D6" s="521">
        <f t="shared" si="1"/>
        <v>2.5123279714090443</v>
      </c>
      <c r="E6" s="521">
        <f t="shared" si="1"/>
        <v>2.4370727764295932</v>
      </c>
    </row>
    <row r="7" spans="1:5" x14ac:dyDescent="0.25">
      <c r="A7" s="522" t="s">
        <v>443</v>
      </c>
      <c r="B7" s="524">
        <v>0.98667675091496998</v>
      </c>
      <c r="C7" s="524">
        <v>1.1269123285431801</v>
      </c>
      <c r="D7" s="524">
        <v>1.0148799451245099</v>
      </c>
      <c r="E7" s="524">
        <v>1.0051965611401517</v>
      </c>
    </row>
    <row r="8" spans="1:5" x14ac:dyDescent="0.25">
      <c r="A8" s="525" t="s">
        <v>444</v>
      </c>
      <c r="B8" s="526">
        <v>1.1014280647504973</v>
      </c>
      <c r="C8" s="526">
        <v>1.3113106751311463</v>
      </c>
      <c r="D8" s="526">
        <v>1.4974480262845344</v>
      </c>
      <c r="E8" s="526">
        <v>1.4318762152894418</v>
      </c>
    </row>
    <row r="9" spans="1:5" x14ac:dyDescent="0.25">
      <c r="A9" s="527" t="s">
        <v>445</v>
      </c>
      <c r="B9" s="528">
        <v>0.34564430733217638</v>
      </c>
      <c r="C9" s="528">
        <v>0.45665385124705099</v>
      </c>
      <c r="D9" s="528">
        <v>0.4653986897502283</v>
      </c>
      <c r="E9" s="528">
        <v>0.46951802654452918</v>
      </c>
    </row>
    <row r="10" spans="1:5" x14ac:dyDescent="0.25">
      <c r="A10" s="529"/>
      <c r="B10" s="530"/>
      <c r="C10" s="530"/>
      <c r="D10" s="1592" t="s">
        <v>275</v>
      </c>
      <c r="E10" s="1592"/>
    </row>
    <row r="14" spans="1:5" x14ac:dyDescent="0.25">
      <c r="B14" s="176"/>
      <c r="C14" s="176"/>
      <c r="D14" s="176"/>
      <c r="E14" s="176"/>
    </row>
  </sheetData>
  <mergeCells count="2">
    <mergeCell ref="A1:E1"/>
    <mergeCell ref="D10:E10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2B136-C5C7-4620-9017-867AB0C013EF}">
  <sheetPr codeName="Sheet24"/>
  <dimension ref="A1:H55"/>
  <sheetViews>
    <sheetView showGridLines="0" workbookViewId="0">
      <selection sqref="A1:G1"/>
    </sheetView>
  </sheetViews>
  <sheetFormatPr defaultRowHeight="15" x14ac:dyDescent="0.25"/>
  <cols>
    <col min="1" max="1" width="31" customWidth="1"/>
    <col min="2" max="2" width="12.28515625" customWidth="1"/>
    <col min="3" max="7" width="8.7109375" customWidth="1"/>
    <col min="8" max="8" width="10" customWidth="1"/>
  </cols>
  <sheetData>
    <row r="1" spans="1:8" x14ac:dyDescent="0.25">
      <c r="A1" s="1523" t="s">
        <v>459</v>
      </c>
      <c r="B1" s="1523"/>
      <c r="C1" s="1523"/>
      <c r="D1" s="1523"/>
      <c r="E1" s="1523"/>
      <c r="F1" s="1523"/>
      <c r="G1" s="1523"/>
      <c r="H1" s="481"/>
    </row>
    <row r="2" spans="1:8" ht="15" customHeight="1" x14ac:dyDescent="0.25">
      <c r="A2" s="482"/>
      <c r="B2" s="1594" t="s">
        <v>385</v>
      </c>
      <c r="C2" s="1596" t="s">
        <v>166</v>
      </c>
      <c r="D2" s="1594" t="s">
        <v>433</v>
      </c>
      <c r="E2" s="1596" t="s">
        <v>388</v>
      </c>
      <c r="F2" s="1596" t="s">
        <v>389</v>
      </c>
      <c r="G2" s="1596" t="s">
        <v>390</v>
      </c>
      <c r="H2" s="485" t="s">
        <v>434</v>
      </c>
    </row>
    <row r="3" spans="1:8" x14ac:dyDescent="0.25">
      <c r="A3" s="482"/>
      <c r="B3" s="1595"/>
      <c r="C3" s="1597"/>
      <c r="D3" s="1595"/>
      <c r="E3" s="1597"/>
      <c r="F3" s="1597"/>
      <c r="G3" s="1597"/>
      <c r="H3" s="485" t="s">
        <v>243</v>
      </c>
    </row>
    <row r="4" spans="1:8" x14ac:dyDescent="0.25">
      <c r="A4" s="495" t="s">
        <v>391</v>
      </c>
      <c r="B4" s="487" t="s">
        <v>393</v>
      </c>
      <c r="C4" s="412">
        <f>SUM(C5:C12)</f>
        <v>35778.374582634984</v>
      </c>
      <c r="D4" s="412">
        <f t="shared" ref="D4:G4" si="0">SUM(D5:D12)</f>
        <v>35591.15528263498</v>
      </c>
      <c r="E4" s="412">
        <f t="shared" si="0"/>
        <v>37798.673046661686</v>
      </c>
      <c r="F4" s="412">
        <f t="shared" si="0"/>
        <v>39775.428919644619</v>
      </c>
      <c r="G4" s="540">
        <f t="shared" si="0"/>
        <v>41553.953327647032</v>
      </c>
      <c r="H4" s="546">
        <f>SUM(H5:H12)</f>
        <v>-514.34481128025959</v>
      </c>
    </row>
    <row r="5" spans="1:8" x14ac:dyDescent="0.25">
      <c r="A5" s="496" t="s">
        <v>396</v>
      </c>
      <c r="B5" s="491" t="s">
        <v>397</v>
      </c>
      <c r="C5" s="426">
        <v>9769.4598618318814</v>
      </c>
      <c r="D5" s="426">
        <v>9769.4598618318814</v>
      </c>
      <c r="E5" s="426">
        <v>10287.215221230217</v>
      </c>
      <c r="F5" s="426">
        <v>10717.837677986328</v>
      </c>
      <c r="G5" s="541">
        <v>10996.390037899788</v>
      </c>
      <c r="H5" s="503">
        <v>281.54407876978439</v>
      </c>
    </row>
    <row r="6" spans="1:8" x14ac:dyDescent="0.25">
      <c r="A6" s="496" t="s">
        <v>400</v>
      </c>
      <c r="B6" s="491" t="s">
        <v>401</v>
      </c>
      <c r="C6" s="138">
        <v>6644.2701907871815</v>
      </c>
      <c r="D6" s="138">
        <v>6644.2701907871815</v>
      </c>
      <c r="E6" s="138">
        <v>7035.5090083755422</v>
      </c>
      <c r="F6" s="138">
        <v>7507.0572084944806</v>
      </c>
      <c r="G6" s="542">
        <v>7972.4723267614381</v>
      </c>
      <c r="H6" s="503">
        <v>64.504691624458246</v>
      </c>
    </row>
    <row r="7" spans="1:8" x14ac:dyDescent="0.25">
      <c r="A7" s="496" t="s">
        <v>404</v>
      </c>
      <c r="B7" s="491" t="s">
        <v>405</v>
      </c>
      <c r="C7" s="138">
        <f>D7</f>
        <v>7.2099999999999996E-4</v>
      </c>
      <c r="D7" s="138">
        <v>7.2099999999999996E-4</v>
      </c>
      <c r="E7" s="138">
        <v>0</v>
      </c>
      <c r="F7" s="138">
        <v>0</v>
      </c>
      <c r="G7" s="542">
        <v>0</v>
      </c>
      <c r="H7" s="503">
        <v>0</v>
      </c>
    </row>
    <row r="8" spans="1:8" x14ac:dyDescent="0.25">
      <c r="A8" s="496" t="s">
        <v>407</v>
      </c>
      <c r="B8" s="491" t="s">
        <v>408</v>
      </c>
      <c r="C8" s="138">
        <v>13490.5302613815</v>
      </c>
      <c r="D8" s="138">
        <v>13303.3109613815</v>
      </c>
      <c r="E8" s="138">
        <v>14129.5407929509</v>
      </c>
      <c r="F8" s="138">
        <v>14991.769274442304</v>
      </c>
      <c r="G8" s="542">
        <v>15798.431774543224</v>
      </c>
      <c r="H8" s="503">
        <v>-194.57632778516745</v>
      </c>
    </row>
    <row r="9" spans="1:8" x14ac:dyDescent="0.25">
      <c r="A9" s="496" t="s">
        <v>398</v>
      </c>
      <c r="B9" s="491" t="s">
        <v>399</v>
      </c>
      <c r="C9" s="138">
        <v>619.4962298800001</v>
      </c>
      <c r="D9" s="138">
        <v>619.4962298800001</v>
      </c>
      <c r="E9" s="138">
        <v>628.14770327261385</v>
      </c>
      <c r="F9" s="138">
        <v>664.2810850015419</v>
      </c>
      <c r="G9" s="542">
        <v>695.03956768315879</v>
      </c>
      <c r="H9" s="503">
        <v>49.98282194940407</v>
      </c>
    </row>
    <row r="10" spans="1:8" x14ac:dyDescent="0.25">
      <c r="A10" s="497" t="s">
        <v>394</v>
      </c>
      <c r="B10" s="491" t="s">
        <v>395</v>
      </c>
      <c r="C10" s="138">
        <v>3724.8433816000002</v>
      </c>
      <c r="D10" s="138">
        <v>3724.8433816000002</v>
      </c>
      <c r="E10" s="138">
        <v>3870.4020374173419</v>
      </c>
      <c r="F10" s="138">
        <v>4023.1435747233163</v>
      </c>
      <c r="G10" s="542">
        <v>4161.0526094468823</v>
      </c>
      <c r="H10" s="503">
        <v>-115.03359475367472</v>
      </c>
    </row>
    <row r="11" spans="1:8" x14ac:dyDescent="0.25">
      <c r="A11" s="497" t="s">
        <v>412</v>
      </c>
      <c r="B11" s="491" t="s">
        <v>413</v>
      </c>
      <c r="C11" s="138">
        <v>892.1837238244168</v>
      </c>
      <c r="D11" s="138">
        <v>892.1837238244168</v>
      </c>
      <c r="E11" s="138">
        <v>1087.7635804616332</v>
      </c>
      <c r="F11" s="138">
        <v>1040.4836211136615</v>
      </c>
      <c r="G11" s="542">
        <v>1091.7917684052072</v>
      </c>
      <c r="H11" s="503">
        <v>-789.48858046163321</v>
      </c>
    </row>
    <row r="12" spans="1:8" x14ac:dyDescent="0.25">
      <c r="A12" s="497" t="s">
        <v>416</v>
      </c>
      <c r="B12" s="491" t="s">
        <v>413</v>
      </c>
      <c r="C12" s="138">
        <v>637.59021232999999</v>
      </c>
      <c r="D12" s="138">
        <v>637.59021232999999</v>
      </c>
      <c r="E12" s="138">
        <v>760.09470295343112</v>
      </c>
      <c r="F12" s="138">
        <v>830.85647788297842</v>
      </c>
      <c r="G12" s="542">
        <v>838.77524290733663</v>
      </c>
      <c r="H12" s="503">
        <v>188.72209937656908</v>
      </c>
    </row>
    <row r="13" spans="1:8" x14ac:dyDescent="0.25">
      <c r="A13" s="495" t="s">
        <v>406</v>
      </c>
      <c r="B13" s="487" t="s">
        <v>419</v>
      </c>
      <c r="C13" s="425">
        <f>SUM(C14:C22)</f>
        <v>36608.475598026962</v>
      </c>
      <c r="D13" s="425">
        <f>SUM(D14:D22)</f>
        <v>36310.101298026959</v>
      </c>
      <c r="E13" s="425">
        <f>SUM(E14:E22)</f>
        <v>38052.462525912939</v>
      </c>
      <c r="F13" s="425">
        <f>SUM(F14:F22)</f>
        <v>39629.596203107343</v>
      </c>
      <c r="G13" s="543">
        <f>SUM(G14:G22)</f>
        <v>41147.268157560116</v>
      </c>
      <c r="H13" s="546">
        <f t="shared" ref="H13" si="1">SUM(H14:H22)</f>
        <v>-671.24349816151937</v>
      </c>
    </row>
    <row r="14" spans="1:8" x14ac:dyDescent="0.25">
      <c r="A14" s="496" t="s">
        <v>409</v>
      </c>
      <c r="B14" s="491" t="s">
        <v>410</v>
      </c>
      <c r="C14" s="138">
        <v>8338.4661796360051</v>
      </c>
      <c r="D14" s="138">
        <v>8338.4661796360051</v>
      </c>
      <c r="E14" s="138">
        <v>8812.1867605134648</v>
      </c>
      <c r="F14" s="138">
        <v>9315.7208606756212</v>
      </c>
      <c r="G14" s="542">
        <v>9805.6205247020771</v>
      </c>
      <c r="H14" s="503">
        <v>158.08770819616609</v>
      </c>
    </row>
    <row r="15" spans="1:8" x14ac:dyDescent="0.25">
      <c r="A15" s="496" t="s">
        <v>134</v>
      </c>
      <c r="B15" s="491" t="s">
        <v>64</v>
      </c>
      <c r="C15" s="138">
        <v>4804.7377202973457</v>
      </c>
      <c r="D15" s="138">
        <v>4915.8377202973461</v>
      </c>
      <c r="E15" s="138">
        <v>5028.518914744096</v>
      </c>
      <c r="F15" s="138">
        <v>5191.1781637814629</v>
      </c>
      <c r="G15" s="542">
        <v>5365.2158010662879</v>
      </c>
      <c r="H15" s="503">
        <v>498.52742319450465</v>
      </c>
    </row>
    <row r="16" spans="1:8" x14ac:dyDescent="0.25">
      <c r="A16" s="496" t="s">
        <v>426</v>
      </c>
      <c r="B16" s="491" t="s">
        <v>411</v>
      </c>
      <c r="C16" s="138">
        <v>11899.012051255919</v>
      </c>
      <c r="D16" s="138">
        <v>11899.012051255919</v>
      </c>
      <c r="E16" s="138">
        <v>12311.375501573557</v>
      </c>
      <c r="F16" s="138">
        <v>12781.305278292642</v>
      </c>
      <c r="G16" s="542">
        <v>13249.593895509191</v>
      </c>
      <c r="H16" s="503">
        <v>-262.03891257355463</v>
      </c>
    </row>
    <row r="17" spans="1:8" x14ac:dyDescent="0.25">
      <c r="A17" s="497" t="s">
        <v>427</v>
      </c>
      <c r="B17" s="491" t="s">
        <v>428</v>
      </c>
      <c r="C17" s="138">
        <v>4456.4690000000001</v>
      </c>
      <c r="D17" s="138">
        <v>4456.4690000000001</v>
      </c>
      <c r="E17" s="138">
        <v>4685.3689903436552</v>
      </c>
      <c r="F17" s="138">
        <v>4928.5398827523759</v>
      </c>
      <c r="G17" s="542">
        <v>5120.4748328993737</v>
      </c>
      <c r="H17" s="503">
        <v>18.132009656344962</v>
      </c>
    </row>
    <row r="18" spans="1:8" x14ac:dyDescent="0.25">
      <c r="A18" s="497" t="s">
        <v>414</v>
      </c>
      <c r="B18" s="491" t="s">
        <v>415</v>
      </c>
      <c r="C18" s="138">
        <v>367.83976182634251</v>
      </c>
      <c r="D18" s="138">
        <v>367.83976182634251</v>
      </c>
      <c r="E18" s="138">
        <v>378.85830653185195</v>
      </c>
      <c r="F18" s="138">
        <v>374.78038010796672</v>
      </c>
      <c r="G18" s="542">
        <v>424.64664879867297</v>
      </c>
      <c r="H18" s="503">
        <v>76.130693468148024</v>
      </c>
    </row>
    <row r="19" spans="1:8" x14ac:dyDescent="0.25">
      <c r="A19" s="496" t="s">
        <v>417</v>
      </c>
      <c r="B19" s="491" t="s">
        <v>418</v>
      </c>
      <c r="C19" s="138">
        <v>1212.3929330000001</v>
      </c>
      <c r="D19" s="138">
        <v>1212.3929330000001</v>
      </c>
      <c r="E19" s="138">
        <v>1201.5117952361572</v>
      </c>
      <c r="F19" s="138">
        <v>1159.4597106119206</v>
      </c>
      <c r="G19" s="542">
        <v>1166.3774863579115</v>
      </c>
      <c r="H19" s="503">
        <v>2.3553229758606449</v>
      </c>
    </row>
    <row r="20" spans="1:8" x14ac:dyDescent="0.25">
      <c r="A20" s="496" t="s">
        <v>422</v>
      </c>
      <c r="B20" s="491" t="s">
        <v>423</v>
      </c>
      <c r="C20" s="138">
        <v>3104.9717222560193</v>
      </c>
      <c r="D20" s="138">
        <v>2992.2747222560192</v>
      </c>
      <c r="E20" s="138">
        <v>3454.320317689816</v>
      </c>
      <c r="F20" s="138">
        <v>3564.0140834136364</v>
      </c>
      <c r="G20" s="542">
        <v>3742.2959998895458</v>
      </c>
      <c r="H20" s="503">
        <v>-1190.1236109886486</v>
      </c>
    </row>
    <row r="21" spans="1:8" x14ac:dyDescent="0.25">
      <c r="A21" s="496" t="s">
        <v>424</v>
      </c>
      <c r="B21" s="491" t="s">
        <v>425</v>
      </c>
      <c r="C21" s="138">
        <v>594.62480272471043</v>
      </c>
      <c r="D21" s="138">
        <v>297.84750272471041</v>
      </c>
      <c r="E21" s="138">
        <v>285.38261243315725</v>
      </c>
      <c r="F21" s="138">
        <v>330.04752570777191</v>
      </c>
      <c r="G21" s="542">
        <v>283.54109030953134</v>
      </c>
      <c r="H21" s="503">
        <v>-67.979612433157229</v>
      </c>
    </row>
    <row r="22" spans="1:8" ht="15" customHeight="1" x14ac:dyDescent="0.25">
      <c r="A22" s="496" t="s">
        <v>429</v>
      </c>
      <c r="B22" s="341" t="s">
        <v>430</v>
      </c>
      <c r="C22" s="423">
        <v>1829.9614270306174</v>
      </c>
      <c r="D22" s="423">
        <v>1829.9614270306174</v>
      </c>
      <c r="E22" s="423">
        <v>1894.9393268471827</v>
      </c>
      <c r="F22" s="423">
        <v>1984.5503177639434</v>
      </c>
      <c r="G22" s="544">
        <v>1989.5018780275223</v>
      </c>
      <c r="H22" s="503">
        <v>95.665480342816778</v>
      </c>
    </row>
    <row r="23" spans="1:8" x14ac:dyDescent="0.25">
      <c r="A23" s="149" t="s">
        <v>113</v>
      </c>
      <c r="B23" s="504"/>
      <c r="C23" s="464">
        <f t="shared" ref="C23:H23" si="2">C4-C13</f>
        <v>-830.10101539197785</v>
      </c>
      <c r="D23" s="414">
        <f t="shared" si="2"/>
        <v>-718.94601539197902</v>
      </c>
      <c r="E23" s="414">
        <f t="shared" si="2"/>
        <v>-253.78947925125249</v>
      </c>
      <c r="F23" s="414">
        <f t="shared" si="2"/>
        <v>145.8327165372757</v>
      </c>
      <c r="G23" s="545">
        <f t="shared" si="2"/>
        <v>406.6851700869156</v>
      </c>
      <c r="H23" s="505">
        <f t="shared" si="2"/>
        <v>156.89868688125978</v>
      </c>
    </row>
    <row r="24" spans="1:8" x14ac:dyDescent="0.25">
      <c r="A24" s="149" t="s">
        <v>431</v>
      </c>
      <c r="B24" s="504"/>
      <c r="C24" s="414">
        <f>C23+C19</f>
        <v>382.29191760802223</v>
      </c>
      <c r="D24" s="414">
        <f t="shared" ref="D24:G24" si="3">D23+D19</f>
        <v>493.44691760802107</v>
      </c>
      <c r="E24" s="414">
        <f t="shared" si="3"/>
        <v>947.72231598490475</v>
      </c>
      <c r="F24" s="414">
        <f t="shared" si="3"/>
        <v>1305.2924271491963</v>
      </c>
      <c r="G24" s="545">
        <f t="shared" si="3"/>
        <v>1573.0626564448271</v>
      </c>
      <c r="H24" s="505">
        <f>H23+H19</f>
        <v>159.25400985712042</v>
      </c>
    </row>
    <row r="25" spans="1:8" x14ac:dyDescent="0.25">
      <c r="A25" s="149" t="s">
        <v>432</v>
      </c>
      <c r="B25" s="504"/>
      <c r="C25" s="414">
        <v>44011.326326099319</v>
      </c>
      <c r="D25" s="414">
        <v>41631.02264238464</v>
      </c>
      <c r="E25" s="414">
        <v>46218.406725659966</v>
      </c>
      <c r="F25" s="414">
        <v>45641.94367348573</v>
      </c>
      <c r="G25" s="545">
        <v>46032.26745222164</v>
      </c>
      <c r="H25" s="505" t="s">
        <v>175</v>
      </c>
    </row>
    <row r="26" spans="1:8" x14ac:dyDescent="0.25">
      <c r="C26" s="212"/>
      <c r="D26" s="212"/>
      <c r="E26" s="212"/>
      <c r="F26" s="212"/>
      <c r="G26" s="1593" t="s">
        <v>275</v>
      </c>
      <c r="H26" s="1593"/>
    </row>
    <row r="27" spans="1:8" x14ac:dyDescent="0.25">
      <c r="A27" s="506" t="s">
        <v>26</v>
      </c>
      <c r="C27" s="125">
        <v>90431.818019122555</v>
      </c>
      <c r="D27" s="125">
        <f>C27</f>
        <v>90431.818019122555</v>
      </c>
      <c r="E27" s="125">
        <v>96526.016524093182</v>
      </c>
      <c r="F27" s="125">
        <v>102522.82805588502</v>
      </c>
      <c r="G27" s="125">
        <v>108614.75363254671</v>
      </c>
      <c r="H27" s="125">
        <f>E27</f>
        <v>96526.016524093182</v>
      </c>
    </row>
    <row r="28" spans="1:8" x14ac:dyDescent="0.25">
      <c r="D28" s="34"/>
    </row>
    <row r="29" spans="1:8" x14ac:dyDescent="0.25">
      <c r="A29" s="1523" t="s">
        <v>460</v>
      </c>
      <c r="B29" s="1523"/>
      <c r="C29" s="1523"/>
      <c r="D29" s="1523"/>
      <c r="E29" s="1523"/>
      <c r="F29" s="1523"/>
      <c r="G29" s="1523"/>
      <c r="H29" s="481"/>
    </row>
    <row r="30" spans="1:8" ht="15" customHeight="1" x14ac:dyDescent="0.25">
      <c r="A30" s="482"/>
      <c r="B30" s="1594" t="s">
        <v>385</v>
      </c>
      <c r="C30" s="1596" t="s">
        <v>166</v>
      </c>
      <c r="D30" s="1594" t="s">
        <v>433</v>
      </c>
      <c r="E30" s="1596" t="s">
        <v>388</v>
      </c>
      <c r="F30" s="1596" t="s">
        <v>389</v>
      </c>
      <c r="G30" s="1596" t="s">
        <v>390</v>
      </c>
      <c r="H30" s="485" t="s">
        <v>434</v>
      </c>
    </row>
    <row r="31" spans="1:8" x14ac:dyDescent="0.25">
      <c r="A31" s="482"/>
      <c r="B31" s="1595"/>
      <c r="C31" s="1597"/>
      <c r="D31" s="1595"/>
      <c r="E31" s="1597"/>
      <c r="F31" s="1597"/>
      <c r="G31" s="1597"/>
      <c r="H31" s="485" t="s">
        <v>243</v>
      </c>
    </row>
    <row r="32" spans="1:8" x14ac:dyDescent="0.25">
      <c r="A32" s="495" t="s">
        <v>391</v>
      </c>
      <c r="B32" s="487" t="s">
        <v>393</v>
      </c>
      <c r="C32" s="507">
        <f>C4/C$27*100</f>
        <v>39.563922705910159</v>
      </c>
      <c r="D32" s="507">
        <f t="shared" ref="D32:H32" si="4">D4/D$27*100</f>
        <v>39.356894577867422</v>
      </c>
      <c r="E32" s="507">
        <f t="shared" si="4"/>
        <v>39.159052043991707</v>
      </c>
      <c r="F32" s="507">
        <f t="shared" si="4"/>
        <v>38.796655997397082</v>
      </c>
      <c r="G32" s="507">
        <f t="shared" si="4"/>
        <v>38.258111295107952</v>
      </c>
      <c r="H32" s="508">
        <f t="shared" si="4"/>
        <v>-0.53285614573339157</v>
      </c>
    </row>
    <row r="33" spans="1:8" x14ac:dyDescent="0.25">
      <c r="A33" s="496" t="s">
        <v>396</v>
      </c>
      <c r="B33" s="491" t="s">
        <v>397</v>
      </c>
      <c r="C33" s="509">
        <f t="shared" ref="C33:H48" si="5">C5/C$27*100</f>
        <v>10.803122259209749</v>
      </c>
      <c r="D33" s="509">
        <f t="shared" si="5"/>
        <v>10.803122259209749</v>
      </c>
      <c r="E33" s="509">
        <f t="shared" si="5"/>
        <v>10.657453390985525</v>
      </c>
      <c r="F33" s="509">
        <f t="shared" si="5"/>
        <v>10.454098741934873</v>
      </c>
      <c r="G33" s="509">
        <f t="shared" si="5"/>
        <v>10.124213948964563</v>
      </c>
      <c r="H33" s="510">
        <f>H5/H$27*100</f>
        <v>0.2916768855777967</v>
      </c>
    </row>
    <row r="34" spans="1:8" x14ac:dyDescent="0.25">
      <c r="A34" s="496" t="s">
        <v>435</v>
      </c>
      <c r="B34" s="491" t="s">
        <v>401</v>
      </c>
      <c r="C34" s="509">
        <f t="shared" si="5"/>
        <v>7.3472703925759806</v>
      </c>
      <c r="D34" s="509">
        <f t="shared" si="5"/>
        <v>7.3472703925759806</v>
      </c>
      <c r="E34" s="509">
        <f t="shared" si="5"/>
        <v>7.2887178625251332</v>
      </c>
      <c r="F34" s="509">
        <f t="shared" si="5"/>
        <v>7.3223274765717505</v>
      </c>
      <c r="G34" s="509">
        <f t="shared" si="5"/>
        <v>7.340137559702999</v>
      </c>
      <c r="H34" s="510">
        <f t="shared" si="5"/>
        <v>6.6826223589531095E-2</v>
      </c>
    </row>
    <row r="35" spans="1:8" x14ac:dyDescent="0.25">
      <c r="A35" s="496" t="s">
        <v>404</v>
      </c>
      <c r="B35" s="491" t="s">
        <v>405</v>
      </c>
      <c r="C35" s="509">
        <f t="shared" si="5"/>
        <v>7.9728575162288405E-7</v>
      </c>
      <c r="D35" s="509">
        <f t="shared" si="5"/>
        <v>7.9728575162288405E-7</v>
      </c>
      <c r="E35" s="509">
        <f t="shared" si="5"/>
        <v>0</v>
      </c>
      <c r="F35" s="509">
        <f t="shared" si="5"/>
        <v>0</v>
      </c>
      <c r="G35" s="509">
        <f t="shared" si="5"/>
        <v>0</v>
      </c>
      <c r="H35" s="510">
        <f t="shared" si="5"/>
        <v>0</v>
      </c>
    </row>
    <row r="36" spans="1:8" x14ac:dyDescent="0.25">
      <c r="A36" s="496" t="s">
        <v>407</v>
      </c>
      <c r="B36" s="491" t="s">
        <v>408</v>
      </c>
      <c r="C36" s="509">
        <f t="shared" si="5"/>
        <v>14.917902301299325</v>
      </c>
      <c r="D36" s="509">
        <f t="shared" si="5"/>
        <v>14.710874173256592</v>
      </c>
      <c r="E36" s="509">
        <f t="shared" si="5"/>
        <v>14.638064743326609</v>
      </c>
      <c r="F36" s="509">
        <f t="shared" si="5"/>
        <v>14.622859668161237</v>
      </c>
      <c r="G36" s="509">
        <f t="shared" si="5"/>
        <v>14.545382874955196</v>
      </c>
      <c r="H36" s="510">
        <f t="shared" si="5"/>
        <v>-0.20157915429629339</v>
      </c>
    </row>
    <row r="37" spans="1:8" x14ac:dyDescent="0.25">
      <c r="A37" s="496" t="s">
        <v>398</v>
      </c>
      <c r="B37" s="491" t="s">
        <v>399</v>
      </c>
      <c r="C37" s="509">
        <f t="shared" si="5"/>
        <v>0.68504232630709971</v>
      </c>
      <c r="D37" s="509">
        <f t="shared" si="5"/>
        <v>0.68504232630709971</v>
      </c>
      <c r="E37" s="509">
        <f t="shared" si="5"/>
        <v>0.65075481812286984</v>
      </c>
      <c r="F37" s="509">
        <f t="shared" si="5"/>
        <v>0.64793480398281966</v>
      </c>
      <c r="G37" s="509">
        <f t="shared" si="5"/>
        <v>0.63991266788169399</v>
      </c>
      <c r="H37" s="510">
        <f t="shared" si="5"/>
        <v>5.1781709998286539E-2</v>
      </c>
    </row>
    <row r="38" spans="1:8" x14ac:dyDescent="0.25">
      <c r="A38" s="497" t="s">
        <v>394</v>
      </c>
      <c r="B38" s="491" t="s">
        <v>395</v>
      </c>
      <c r="C38" s="509">
        <f t="shared" si="5"/>
        <v>4.118952226319669</v>
      </c>
      <c r="D38" s="509">
        <f t="shared" si="5"/>
        <v>4.118952226319669</v>
      </c>
      <c r="E38" s="509">
        <f t="shared" si="5"/>
        <v>4.0096982935696701</v>
      </c>
      <c r="F38" s="509">
        <f t="shared" si="5"/>
        <v>3.9241441647808504</v>
      </c>
      <c r="G38" s="509">
        <f t="shared" si="5"/>
        <v>3.8310197006238127</v>
      </c>
      <c r="H38" s="510">
        <f t="shared" si="5"/>
        <v>-0.1191736682979785</v>
      </c>
    </row>
    <row r="39" spans="1:8" x14ac:dyDescent="0.25">
      <c r="A39" s="497" t="s">
        <v>412</v>
      </c>
      <c r="B39" s="491" t="s">
        <v>413</v>
      </c>
      <c r="C39" s="509">
        <f t="shared" si="5"/>
        <v>0.98658165164362521</v>
      </c>
      <c r="D39" s="509">
        <f t="shared" si="5"/>
        <v>0.98658165164362521</v>
      </c>
      <c r="E39" s="509">
        <f t="shared" si="5"/>
        <v>1.1269123285431801</v>
      </c>
      <c r="F39" s="509">
        <f t="shared" si="5"/>
        <v>1.0148799451245099</v>
      </c>
      <c r="G39" s="509">
        <f t="shared" si="5"/>
        <v>1.0051965611401514</v>
      </c>
      <c r="H39" s="510">
        <f t="shared" si="5"/>
        <v>-0.81790237377564878</v>
      </c>
    </row>
    <row r="40" spans="1:8" x14ac:dyDescent="0.25">
      <c r="A40" s="497" t="s">
        <v>416</v>
      </c>
      <c r="B40" s="491" t="s">
        <v>413</v>
      </c>
      <c r="C40" s="509">
        <f t="shared" si="5"/>
        <v>0.70505075126895744</v>
      </c>
      <c r="D40" s="509">
        <f t="shared" si="5"/>
        <v>0.70505075126895744</v>
      </c>
      <c r="E40" s="509">
        <f t="shared" si="5"/>
        <v>0.78745060691871527</v>
      </c>
      <c r="F40" s="509">
        <f t="shared" si="5"/>
        <v>0.81041119684103902</v>
      </c>
      <c r="G40" s="509">
        <f t="shared" si="5"/>
        <v>0.77224798183954568</v>
      </c>
      <c r="H40" s="510">
        <f t="shared" si="5"/>
        <v>0.19551423147091485</v>
      </c>
    </row>
    <row r="41" spans="1:8" x14ac:dyDescent="0.25">
      <c r="A41" s="495" t="s">
        <v>406</v>
      </c>
      <c r="B41" s="487" t="s">
        <v>419</v>
      </c>
      <c r="C41" s="507">
        <f t="shared" si="5"/>
        <v>40.481852958309204</v>
      </c>
      <c r="D41" s="507">
        <f t="shared" si="5"/>
        <v>40.151909022053374</v>
      </c>
      <c r="E41" s="507">
        <f t="shared" si="5"/>
        <v>39.421975438523283</v>
      </c>
      <c r="F41" s="507">
        <f t="shared" si="5"/>
        <v>38.654411855967645</v>
      </c>
      <c r="G41" s="507">
        <f t="shared" si="5"/>
        <v>37.883682263613053</v>
      </c>
      <c r="H41" s="508">
        <f t="shared" si="5"/>
        <v>-0.69540163609048866</v>
      </c>
    </row>
    <row r="42" spans="1:8" x14ac:dyDescent="0.25">
      <c r="A42" s="496" t="s">
        <v>409</v>
      </c>
      <c r="B42" s="491" t="s">
        <v>410</v>
      </c>
      <c r="C42" s="509">
        <f t="shared" si="5"/>
        <v>9.2207216025146899</v>
      </c>
      <c r="D42" s="509">
        <f t="shared" si="5"/>
        <v>9.2207216025146899</v>
      </c>
      <c r="E42" s="509">
        <f t="shared" si="5"/>
        <v>9.1293384704360161</v>
      </c>
      <c r="F42" s="509">
        <f t="shared" si="5"/>
        <v>9.0864844808978908</v>
      </c>
      <c r="G42" s="509">
        <f t="shared" si="5"/>
        <v>9.0278900395754302</v>
      </c>
      <c r="H42" s="510">
        <f t="shared" si="5"/>
        <v>0.16377730469868393</v>
      </c>
    </row>
    <row r="43" spans="1:8" x14ac:dyDescent="0.25">
      <c r="A43" s="496" t="s">
        <v>134</v>
      </c>
      <c r="B43" s="491" t="s">
        <v>64</v>
      </c>
      <c r="C43" s="509">
        <f t="shared" si="5"/>
        <v>5.313105304685287</v>
      </c>
      <c r="D43" s="509">
        <f t="shared" si="5"/>
        <v>5.4359602935969411</v>
      </c>
      <c r="E43" s="509">
        <f t="shared" si="5"/>
        <v>5.2094959429813033</v>
      </c>
      <c r="F43" s="509">
        <f t="shared" si="5"/>
        <v>5.0634363704362118</v>
      </c>
      <c r="G43" s="509">
        <f t="shared" si="5"/>
        <v>4.9396749719815096</v>
      </c>
      <c r="H43" s="510">
        <f t="shared" si="5"/>
        <v>0.51646948786089264</v>
      </c>
    </row>
    <row r="44" spans="1:8" x14ac:dyDescent="0.25">
      <c r="A44" s="496" t="s">
        <v>436</v>
      </c>
      <c r="B44" s="491" t="s">
        <v>411</v>
      </c>
      <c r="C44" s="509">
        <f t="shared" si="5"/>
        <v>13.157992741824314</v>
      </c>
      <c r="D44" s="509">
        <f t="shared" si="5"/>
        <v>13.157992741824314</v>
      </c>
      <c r="E44" s="509">
        <f t="shared" si="5"/>
        <v>12.754463454420705</v>
      </c>
      <c r="F44" s="509">
        <f t="shared" si="5"/>
        <v>12.466789612285737</v>
      </c>
      <c r="G44" s="509">
        <f t="shared" si="5"/>
        <v>12.19870547267799</v>
      </c>
      <c r="H44" s="510">
        <f t="shared" si="5"/>
        <v>-0.27146972599677199</v>
      </c>
    </row>
    <row r="45" spans="1:8" x14ac:dyDescent="0.25">
      <c r="A45" s="497" t="s">
        <v>427</v>
      </c>
      <c r="B45" s="491" t="s">
        <v>428</v>
      </c>
      <c r="C45" s="509">
        <f t="shared" si="5"/>
        <v>4.9279878450056627</v>
      </c>
      <c r="D45" s="509">
        <f t="shared" si="5"/>
        <v>4.9279878450056627</v>
      </c>
      <c r="E45" s="509">
        <f t="shared" si="5"/>
        <v>4.8539960096397152</v>
      </c>
      <c r="F45" s="509">
        <f t="shared" si="5"/>
        <v>4.8072609546683953</v>
      </c>
      <c r="G45" s="509">
        <f t="shared" si="5"/>
        <v>4.7143455761289959</v>
      </c>
      <c r="H45" s="510">
        <f t="shared" si="5"/>
        <v>1.8784582964551488E-2</v>
      </c>
    </row>
    <row r="46" spans="1:8" x14ac:dyDescent="0.25">
      <c r="A46" s="497" t="s">
        <v>414</v>
      </c>
      <c r="B46" s="491" t="s">
        <v>415</v>
      </c>
      <c r="C46" s="509">
        <f t="shared" si="5"/>
        <v>0.40675922466643299</v>
      </c>
      <c r="D46" s="509">
        <f t="shared" si="5"/>
        <v>0.40675922466643299</v>
      </c>
      <c r="E46" s="509">
        <f t="shared" si="5"/>
        <v>0.39249346463736828</v>
      </c>
      <c r="F46" s="509">
        <f t="shared" si="5"/>
        <v>0.36555798080762519</v>
      </c>
      <c r="G46" s="509">
        <f t="shared" si="5"/>
        <v>0.3909658997481042</v>
      </c>
      <c r="H46" s="510">
        <f t="shared" si="5"/>
        <v>7.8870646701913336E-2</v>
      </c>
    </row>
    <row r="47" spans="1:8" x14ac:dyDescent="0.25">
      <c r="A47" s="496" t="s">
        <v>417</v>
      </c>
      <c r="B47" s="491" t="s">
        <v>418</v>
      </c>
      <c r="C47" s="509">
        <f t="shared" si="5"/>
        <v>1.3406707501375563</v>
      </c>
      <c r="D47" s="509">
        <f t="shared" si="5"/>
        <v>1.3406707501375563</v>
      </c>
      <c r="E47" s="509">
        <f t="shared" si="5"/>
        <v>1.244754355874881</v>
      </c>
      <c r="F47" s="509">
        <f t="shared" si="5"/>
        <v>1.1309283333267992</v>
      </c>
      <c r="G47" s="509">
        <f t="shared" si="5"/>
        <v>1.0738665304198631</v>
      </c>
      <c r="H47" s="510">
        <f t="shared" si="5"/>
        <v>2.4400913460183547E-3</v>
      </c>
    </row>
    <row r="48" spans="1:8" x14ac:dyDescent="0.25">
      <c r="A48" s="496" t="s">
        <v>422</v>
      </c>
      <c r="B48" s="491" t="s">
        <v>423</v>
      </c>
      <c r="C48" s="509">
        <f t="shared" si="5"/>
        <v>3.4334947480536635</v>
      </c>
      <c r="D48" s="509">
        <f t="shared" si="5"/>
        <v>3.3088737877892469</v>
      </c>
      <c r="E48" s="509">
        <f t="shared" si="5"/>
        <v>3.5786417404136919</v>
      </c>
      <c r="F48" s="509">
        <f t="shared" si="5"/>
        <v>3.4763126915216365</v>
      </c>
      <c r="G48" s="509">
        <f t="shared" si="5"/>
        <v>3.4454766730402606</v>
      </c>
      <c r="H48" s="510">
        <f t="shared" si="5"/>
        <v>-1.2329563094438796</v>
      </c>
    </row>
    <row r="49" spans="1:8" x14ac:dyDescent="0.25">
      <c r="A49" s="496" t="s">
        <v>424</v>
      </c>
      <c r="B49" s="491" t="s">
        <v>425</v>
      </c>
      <c r="C49" s="509">
        <f t="shared" ref="C49:H53" si="6">C21/C$27*100</f>
        <v>0.65753936584463246</v>
      </c>
      <c r="D49" s="509">
        <f t="shared" si="6"/>
        <v>0.32936140094156696</v>
      </c>
      <c r="E49" s="509">
        <f t="shared" si="6"/>
        <v>0.29565356855053154</v>
      </c>
      <c r="F49" s="509">
        <f t="shared" si="6"/>
        <v>0.32192588905942349</v>
      </c>
      <c r="G49" s="509">
        <f t="shared" si="6"/>
        <v>0.26105209543518909</v>
      </c>
      <c r="H49" s="510">
        <f t="shared" si="6"/>
        <v>-7.0426207235216545E-2</v>
      </c>
    </row>
    <row r="50" spans="1:8" ht="15" customHeight="1" x14ac:dyDescent="0.25">
      <c r="A50" s="496" t="s">
        <v>429</v>
      </c>
      <c r="B50" s="341" t="s">
        <v>430</v>
      </c>
      <c r="C50" s="511">
        <f t="shared" si="6"/>
        <v>2.0235813755769643</v>
      </c>
      <c r="D50" s="511">
        <f t="shared" si="6"/>
        <v>2.0235813755769643</v>
      </c>
      <c r="E50" s="511">
        <f t="shared" si="6"/>
        <v>1.9631384315690683</v>
      </c>
      <c r="F50" s="511">
        <f t="shared" si="6"/>
        <v>1.9357155429639223</v>
      </c>
      <c r="G50" s="511">
        <f t="shared" si="6"/>
        <v>1.8317050046057117</v>
      </c>
      <c r="H50" s="512">
        <f t="shared" si="6"/>
        <v>9.9108493013319754E-2</v>
      </c>
    </row>
    <row r="51" spans="1:8" x14ac:dyDescent="0.25">
      <c r="A51" s="149" t="s">
        <v>113</v>
      </c>
      <c r="B51" s="504"/>
      <c r="C51" s="513">
        <f t="shared" si="6"/>
        <v>-0.91793025239904624</v>
      </c>
      <c r="D51" s="513">
        <f t="shared" si="6"/>
        <v>-0.79501444418595224</v>
      </c>
      <c r="E51" s="513">
        <f t="shared" si="6"/>
        <v>-0.2629233945315726</v>
      </c>
      <c r="F51" s="513">
        <f t="shared" si="6"/>
        <v>0.142244141429441</v>
      </c>
      <c r="G51" s="513">
        <f t="shared" si="6"/>
        <v>0.37442903149489931</v>
      </c>
      <c r="H51" s="514">
        <f t="shared" si="6"/>
        <v>0.16254549035709703</v>
      </c>
    </row>
    <row r="52" spans="1:8" x14ac:dyDescent="0.25">
      <c r="A52" s="149" t="s">
        <v>431</v>
      </c>
      <c r="B52" s="504"/>
      <c r="C52" s="513">
        <f t="shared" si="6"/>
        <v>0.42274049773850997</v>
      </c>
      <c r="D52" s="513">
        <f t="shared" si="6"/>
        <v>0.54565630595160386</v>
      </c>
      <c r="E52" s="513">
        <f t="shared" si="6"/>
        <v>0.98183096134330827</v>
      </c>
      <c r="F52" s="513">
        <f t="shared" si="6"/>
        <v>1.2731724747562403</v>
      </c>
      <c r="G52" s="513">
        <f t="shared" si="6"/>
        <v>1.4482955619147624</v>
      </c>
      <c r="H52" s="514">
        <f t="shared" si="6"/>
        <v>0.16498558170311539</v>
      </c>
    </row>
    <row r="53" spans="1:8" x14ac:dyDescent="0.25">
      <c r="A53" s="149" t="s">
        <v>432</v>
      </c>
      <c r="B53" s="504"/>
      <c r="C53" s="513">
        <f t="shared" si="6"/>
        <v>48.667965866607659</v>
      </c>
      <c r="D53" s="513">
        <f t="shared" si="6"/>
        <v>46.03581300729951</v>
      </c>
      <c r="E53" s="513">
        <f t="shared" si="6"/>
        <v>47.881812997145403</v>
      </c>
      <c r="F53" s="513">
        <f t="shared" si="6"/>
        <v>44.518810628796132</v>
      </c>
      <c r="G53" s="513">
        <f t="shared" si="6"/>
        <v>42.381228988423494</v>
      </c>
      <c r="H53" s="515" t="s">
        <v>175</v>
      </c>
    </row>
    <row r="54" spans="1:8" x14ac:dyDescent="0.25">
      <c r="A54" s="516" t="s">
        <v>437</v>
      </c>
      <c r="C54" s="212"/>
      <c r="D54" s="212"/>
      <c r="E54" s="212"/>
      <c r="F54" s="212"/>
      <c r="G54" s="1593" t="s">
        <v>275</v>
      </c>
      <c r="H54" s="1593"/>
    </row>
    <row r="55" spans="1:8" x14ac:dyDescent="0.25">
      <c r="A55" s="517" t="s">
        <v>438</v>
      </c>
    </row>
  </sheetData>
  <mergeCells count="16">
    <mergeCell ref="A1:G1"/>
    <mergeCell ref="B2:B3"/>
    <mergeCell ref="C2:C3"/>
    <mergeCell ref="D2:D3"/>
    <mergeCell ref="E2:E3"/>
    <mergeCell ref="F2:F3"/>
    <mergeCell ref="G2:G3"/>
    <mergeCell ref="G54:H54"/>
    <mergeCell ref="G26:H26"/>
    <mergeCell ref="A29:G29"/>
    <mergeCell ref="B30:B31"/>
    <mergeCell ref="C30:C31"/>
    <mergeCell ref="D30:D31"/>
    <mergeCell ref="E30:E31"/>
    <mergeCell ref="F30:F31"/>
    <mergeCell ref="G30:G31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E916-97B3-4EF6-B556-6D2F1FFC147C}">
  <sheetPr codeName="Sheet25"/>
  <dimension ref="A1:F26"/>
  <sheetViews>
    <sheetView showGridLines="0" workbookViewId="0"/>
  </sheetViews>
  <sheetFormatPr defaultRowHeight="15" x14ac:dyDescent="0.25"/>
  <cols>
    <col min="1" max="1" width="36.140625" customWidth="1"/>
    <col min="5" max="5" width="18" customWidth="1"/>
  </cols>
  <sheetData>
    <row r="1" spans="1:6" x14ac:dyDescent="0.25">
      <c r="A1" s="165" t="s">
        <v>461</v>
      </c>
      <c r="B1" s="161"/>
      <c r="C1" s="161"/>
      <c r="D1" s="161"/>
      <c r="E1" s="161"/>
      <c r="F1" s="161"/>
    </row>
    <row r="2" spans="1:6" x14ac:dyDescent="0.25">
      <c r="A2" s="157"/>
      <c r="B2" s="157">
        <v>2019</v>
      </c>
      <c r="C2" s="157">
        <v>2020</v>
      </c>
      <c r="D2" s="157">
        <v>2021</v>
      </c>
      <c r="E2" s="157" t="s">
        <v>118</v>
      </c>
    </row>
    <row r="3" spans="1:6" x14ac:dyDescent="0.25">
      <c r="A3" s="166" t="s">
        <v>119</v>
      </c>
      <c r="B3" s="547">
        <f>SUM(B4:B10)</f>
        <v>0.53281701428606076</v>
      </c>
      <c r="C3" s="547">
        <f t="shared" ref="C3:E3" si="0">SUM(C4:C10)</f>
        <v>0.40481679704050888</v>
      </c>
      <c r="D3" s="547">
        <f t="shared" si="0"/>
        <v>0.23186824427958375</v>
      </c>
      <c r="E3" s="547">
        <f t="shared" si="0"/>
        <v>1.1695020556061535</v>
      </c>
    </row>
    <row r="4" spans="1:6" x14ac:dyDescent="0.25">
      <c r="A4" s="158" t="s">
        <v>120</v>
      </c>
      <c r="B4" s="548">
        <v>-0.47218126235913971</v>
      </c>
      <c r="C4" s="548">
        <v>-0.17399047819843361</v>
      </c>
      <c r="D4" s="548">
        <v>-0.38021507235275465</v>
      </c>
      <c r="E4" s="548">
        <v>-1.026386812910328</v>
      </c>
    </row>
    <row r="5" spans="1:6" x14ac:dyDescent="0.25">
      <c r="A5" s="158" t="s">
        <v>121</v>
      </c>
      <c r="B5" s="548">
        <v>-6.7923722780507845E-2</v>
      </c>
      <c r="C5" s="548">
        <v>-6.5413553006546721E-2</v>
      </c>
      <c r="D5" s="548">
        <v>-0.13930981525965525</v>
      </c>
      <c r="E5" s="548">
        <v>-0.27264709104670981</v>
      </c>
    </row>
    <row r="6" spans="1:6" x14ac:dyDescent="0.25">
      <c r="A6" s="158" t="s">
        <v>122</v>
      </c>
      <c r="B6" s="548">
        <v>0.43867275369964709</v>
      </c>
      <c r="C6" s="548">
        <v>0.32363399617447541</v>
      </c>
      <c r="D6" s="548">
        <v>0.34999280636505858</v>
      </c>
      <c r="E6" s="548">
        <v>1.1122995562391811</v>
      </c>
    </row>
    <row r="7" spans="1:6" x14ac:dyDescent="0.25">
      <c r="A7" s="158" t="s">
        <v>123</v>
      </c>
      <c r="B7" s="548">
        <v>0.17472113056078165</v>
      </c>
      <c r="C7" s="548">
        <v>0.17700374135898667</v>
      </c>
      <c r="D7" s="548">
        <v>0.1716724914591925</v>
      </c>
      <c r="E7" s="548">
        <v>0.52339736337896081</v>
      </c>
    </row>
    <row r="8" spans="1:6" x14ac:dyDescent="0.25">
      <c r="A8" s="158" t="s">
        <v>124</v>
      </c>
      <c r="B8" s="548">
        <v>5.4797970469018242E-2</v>
      </c>
      <c r="C8" s="548">
        <v>5.2097075104839075E-2</v>
      </c>
      <c r="D8" s="548">
        <v>0.11061257240325206</v>
      </c>
      <c r="E8" s="548">
        <v>0.21750761797710938</v>
      </c>
    </row>
    <row r="9" spans="1:6" x14ac:dyDescent="0.25">
      <c r="A9" s="158" t="s">
        <v>125</v>
      </c>
      <c r="B9" s="548">
        <v>9.7566882298763202E-2</v>
      </c>
      <c r="C9" s="548">
        <v>0.11382602254808183</v>
      </c>
      <c r="D9" s="548">
        <v>5.7061802906936077E-2</v>
      </c>
      <c r="E9" s="548">
        <v>0.26845470775378111</v>
      </c>
    </row>
    <row r="10" spans="1:6" x14ac:dyDescent="0.25">
      <c r="A10" s="163" t="s">
        <v>7</v>
      </c>
      <c r="B10" s="549">
        <v>0.30716326239749814</v>
      </c>
      <c r="C10" s="549">
        <v>-2.2340006940893799E-2</v>
      </c>
      <c r="D10" s="549">
        <v>6.2053458757554414E-2</v>
      </c>
      <c r="E10" s="549">
        <v>0.34687671421415878</v>
      </c>
    </row>
    <row r="11" spans="1:6" x14ac:dyDescent="0.25">
      <c r="A11" s="158"/>
      <c r="B11" s="168"/>
      <c r="C11" s="168"/>
      <c r="D11" s="168"/>
      <c r="E11" s="169" t="s">
        <v>84</v>
      </c>
    </row>
    <row r="12" spans="1:6" x14ac:dyDescent="0.25">
      <c r="A12" s="183"/>
      <c r="B12" s="184"/>
      <c r="C12" s="185"/>
      <c r="D12" s="185"/>
      <c r="E12" s="185"/>
      <c r="F12" s="168"/>
    </row>
    <row r="13" spans="1:6" x14ac:dyDescent="0.25">
      <c r="A13" s="186"/>
      <c r="B13" s="186"/>
      <c r="C13" s="186"/>
      <c r="D13" s="186"/>
      <c r="E13" s="186"/>
      <c r="F13" s="168"/>
    </row>
    <row r="14" spans="1:6" x14ac:dyDescent="0.25">
      <c r="A14" s="162"/>
      <c r="B14" s="184"/>
      <c r="C14" s="181"/>
      <c r="D14" s="181"/>
      <c r="E14" s="181"/>
      <c r="F14" s="158"/>
    </row>
    <row r="15" spans="1:6" x14ac:dyDescent="0.25">
      <c r="A15" s="162"/>
      <c r="B15" s="184"/>
      <c r="C15" s="184"/>
      <c r="D15" s="184"/>
      <c r="E15" s="184"/>
      <c r="F15" s="158"/>
    </row>
    <row r="16" spans="1:6" x14ac:dyDescent="0.25">
      <c r="A16" s="187"/>
      <c r="B16" s="188"/>
      <c r="C16" s="188"/>
      <c r="D16" s="188"/>
      <c r="E16" s="188"/>
      <c r="F16" s="158"/>
    </row>
    <row r="17" spans="1:6" ht="23.25" customHeight="1" x14ac:dyDescent="0.25">
      <c r="A17" s="187"/>
      <c r="B17" s="188"/>
      <c r="C17" s="188"/>
      <c r="D17" s="188"/>
      <c r="E17" s="188"/>
      <c r="F17" s="158"/>
    </row>
    <row r="18" spans="1:6" x14ac:dyDescent="0.25">
      <c r="A18" s="189"/>
      <c r="B18" s="189"/>
      <c r="C18" s="189"/>
      <c r="D18" s="189"/>
      <c r="E18" s="189"/>
      <c r="F18" s="158"/>
    </row>
    <row r="19" spans="1:6" x14ac:dyDescent="0.25">
      <c r="A19" s="162"/>
      <c r="B19" s="162"/>
      <c r="C19" s="162"/>
      <c r="D19" s="162"/>
      <c r="E19" s="162"/>
      <c r="F19" s="158"/>
    </row>
    <row r="20" spans="1:6" x14ac:dyDescent="0.25">
      <c r="A20" s="162"/>
      <c r="B20" s="182"/>
      <c r="C20" s="182"/>
      <c r="D20" s="182"/>
      <c r="E20" s="182"/>
      <c r="F20" s="158"/>
    </row>
    <row r="21" spans="1:6" x14ac:dyDescent="0.25">
      <c r="A21" s="162"/>
      <c r="B21" s="162"/>
      <c r="C21" s="162"/>
      <c r="D21" s="162"/>
      <c r="E21" s="162"/>
      <c r="F21" s="158"/>
    </row>
    <row r="22" spans="1:6" x14ac:dyDescent="0.25">
      <c r="A22" s="162"/>
      <c r="B22" s="162"/>
      <c r="C22" s="162"/>
      <c r="D22" s="162"/>
      <c r="E22" s="162"/>
      <c r="F22" s="158"/>
    </row>
    <row r="23" spans="1:6" x14ac:dyDescent="0.25">
      <c r="A23" s="162"/>
      <c r="B23" s="162"/>
      <c r="C23" s="162"/>
      <c r="D23" s="162"/>
      <c r="E23" s="162"/>
      <c r="F23" s="158"/>
    </row>
    <row r="24" spans="1:6" x14ac:dyDescent="0.25">
      <c r="A24" s="65"/>
      <c r="B24" s="65"/>
      <c r="C24" s="65"/>
      <c r="D24" s="65"/>
      <c r="E24" s="65"/>
    </row>
    <row r="25" spans="1:6" x14ac:dyDescent="0.25">
      <c r="A25" s="65"/>
      <c r="B25" s="65"/>
      <c r="C25" s="65"/>
      <c r="D25" s="65"/>
      <c r="E25" s="65"/>
    </row>
    <row r="26" spans="1:6" x14ac:dyDescent="0.25">
      <c r="A26" s="65"/>
      <c r="B26" s="65"/>
      <c r="C26" s="65"/>
      <c r="D26" s="65"/>
      <c r="E26" s="65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8222-E1DE-4F15-A383-5895C5D60C4E}">
  <dimension ref="A1:H10"/>
  <sheetViews>
    <sheetView showGridLines="0" workbookViewId="0">
      <selection sqref="A1:D1"/>
    </sheetView>
  </sheetViews>
  <sheetFormatPr defaultRowHeight="12.75" x14ac:dyDescent="0.2"/>
  <cols>
    <col min="1" max="1" width="40.42578125" style="272" customWidth="1"/>
    <col min="2" max="16384" width="9.140625" style="272"/>
  </cols>
  <sheetData>
    <row r="1" spans="1:8" ht="15.75" customHeight="1" x14ac:dyDescent="0.2">
      <c r="A1" s="1505" t="s">
        <v>882</v>
      </c>
      <c r="B1" s="1505"/>
      <c r="C1" s="1505"/>
      <c r="D1" s="1505"/>
    </row>
    <row r="2" spans="1:8" x14ac:dyDescent="0.2">
      <c r="A2" s="993"/>
      <c r="B2" s="993">
        <v>2016</v>
      </c>
      <c r="C2" s="993">
        <v>2017</v>
      </c>
      <c r="D2" s="993">
        <v>2018</v>
      </c>
      <c r="E2" s="993">
        <v>2019</v>
      </c>
      <c r="F2" s="993">
        <v>2020</v>
      </c>
      <c r="G2" s="993">
        <v>2021</v>
      </c>
      <c r="H2" s="994"/>
    </row>
    <row r="3" spans="1:8" s="998" customFormat="1" ht="15.75" customHeight="1" x14ac:dyDescent="0.2">
      <c r="A3" s="995" t="s">
        <v>883</v>
      </c>
      <c r="B3" s="996">
        <v>0.61001025816604937</v>
      </c>
      <c r="C3" s="996">
        <v>0.21572871131285698</v>
      </c>
      <c r="D3" s="996">
        <v>3.6296338960153385</v>
      </c>
      <c r="E3" s="996">
        <v>2.2874587007112535</v>
      </c>
      <c r="F3" s="996">
        <v>1.8945464615648611</v>
      </c>
      <c r="G3" s="996">
        <v>0.27605637191421284</v>
      </c>
      <c r="H3" s="997"/>
    </row>
    <row r="4" spans="1:8" ht="14.25" customHeight="1" x14ac:dyDescent="0.2">
      <c r="A4" s="995" t="s">
        <v>884</v>
      </c>
      <c r="B4" s="996">
        <v>2.0834922277143519</v>
      </c>
      <c r="C4" s="996">
        <v>1.3480051001340336</v>
      </c>
      <c r="D4" s="996">
        <v>1.3398076150772882</v>
      </c>
      <c r="E4" s="996">
        <v>2.2601080060476564</v>
      </c>
      <c r="F4" s="996">
        <v>2.9907486484827657</v>
      </c>
      <c r="G4" s="996">
        <v>3.1974580377560886</v>
      </c>
      <c r="H4" s="994"/>
    </row>
    <row r="5" spans="1:8" ht="14.25" customHeight="1" x14ac:dyDescent="0.2">
      <c r="A5" s="980" t="s">
        <v>885</v>
      </c>
      <c r="B5" s="999">
        <v>1.4734819695483026</v>
      </c>
      <c r="C5" s="999">
        <v>1.1322763888211766</v>
      </c>
      <c r="D5" s="999">
        <v>-2.2898262809380503</v>
      </c>
      <c r="E5" s="999">
        <v>-2.7350694663597075E-2</v>
      </c>
      <c r="F5" s="999">
        <v>1.0962021869179046</v>
      </c>
      <c r="G5" s="999">
        <v>2.9214016658418758</v>
      </c>
      <c r="H5" s="994"/>
    </row>
    <row r="6" spans="1:8" ht="17.25" customHeight="1" x14ac:dyDescent="0.2">
      <c r="A6" s="1000" t="s">
        <v>886</v>
      </c>
      <c r="B6" s="1001">
        <v>0.29906482172594501</v>
      </c>
      <c r="C6" s="1001">
        <v>-1.8046938224697565E-2</v>
      </c>
      <c r="D6" s="1001">
        <v>-0.81836435304433341</v>
      </c>
      <c r="E6" s="1001">
        <v>-9.6267885489944617E-3</v>
      </c>
      <c r="F6" s="1001">
        <v>0.38107079719355536</v>
      </c>
      <c r="G6" s="1001">
        <v>1.0022105854656489</v>
      </c>
      <c r="H6" s="994"/>
    </row>
    <row r="7" spans="1:8" ht="16.5" customHeight="1" x14ac:dyDescent="0.2">
      <c r="A7" s="1002" t="s">
        <v>887</v>
      </c>
      <c r="B7" s="1003">
        <v>-0.30810687755435062</v>
      </c>
      <c r="C7" s="1003">
        <v>0.14050894175062373</v>
      </c>
      <c r="D7" s="1003">
        <v>-0.41820564563451551</v>
      </c>
      <c r="E7" s="1003">
        <v>-0.41399557079666394</v>
      </c>
      <c r="F7" s="1003">
        <v>0.18572200432228045</v>
      </c>
      <c r="G7" s="1003">
        <v>0.69164069132960215</v>
      </c>
      <c r="H7" s="994"/>
    </row>
    <row r="8" spans="1:8" x14ac:dyDescent="0.2">
      <c r="G8" s="1004" t="s">
        <v>37</v>
      </c>
    </row>
    <row r="10" spans="1:8" x14ac:dyDescent="0.2">
      <c r="B10" s="1005"/>
      <c r="C10" s="1005"/>
      <c r="D10" s="1005"/>
      <c r="E10" s="1005"/>
      <c r="F10" s="1005"/>
      <c r="G10" s="1005"/>
    </row>
  </sheetData>
  <mergeCells count="1">
    <mergeCell ref="A1:D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1363-9718-4138-9C84-2146A865DD2C}">
  <sheetPr codeName="Sheet26">
    <pageSetUpPr fitToPage="1"/>
  </sheetPr>
  <dimension ref="A1:Q297"/>
  <sheetViews>
    <sheetView showGridLines="0" zoomScaleNormal="100" workbookViewId="0">
      <selection sqref="A1:K1"/>
    </sheetView>
  </sheetViews>
  <sheetFormatPr defaultColWidth="9" defaultRowHeight="15" x14ac:dyDescent="0.25"/>
  <cols>
    <col min="1" max="1" width="48.28515625" style="225" customWidth="1"/>
    <col min="2" max="2" width="9.140625" style="225" customWidth="1"/>
    <col min="3" max="8" width="9" style="225"/>
    <col min="9" max="14" width="9" style="225" customWidth="1"/>
    <col min="15" max="16384" width="9" style="225"/>
  </cols>
  <sheetData>
    <row r="1" spans="1:17" x14ac:dyDescent="0.25">
      <c r="A1" s="1598" t="s">
        <v>462</v>
      </c>
      <c r="B1" s="1598"/>
      <c r="C1" s="1598"/>
      <c r="D1" s="1598"/>
      <c r="E1" s="1598"/>
      <c r="F1" s="1598"/>
      <c r="G1" s="1598"/>
      <c r="H1" s="1598"/>
      <c r="I1" s="1598"/>
      <c r="J1" s="1598"/>
      <c r="K1" s="1598"/>
      <c r="L1" s="224"/>
      <c r="M1" s="224"/>
      <c r="N1" s="228"/>
      <c r="Q1"/>
    </row>
    <row r="2" spans="1:17" x14ac:dyDescent="0.25">
      <c r="A2" s="226"/>
      <c r="B2" s="227">
        <v>2010</v>
      </c>
      <c r="C2" s="227">
        <v>2011</v>
      </c>
      <c r="D2" s="227">
        <v>2012</v>
      </c>
      <c r="E2" s="227">
        <v>2013</v>
      </c>
      <c r="F2" s="227">
        <v>2014</v>
      </c>
      <c r="G2" s="227">
        <v>2015</v>
      </c>
      <c r="H2" s="227">
        <v>2016</v>
      </c>
      <c r="I2" s="227">
        <v>2017</v>
      </c>
      <c r="J2" s="227">
        <v>2018</v>
      </c>
      <c r="K2" s="227">
        <v>2019</v>
      </c>
      <c r="L2" s="227">
        <v>2020</v>
      </c>
      <c r="M2" s="227">
        <v>2021</v>
      </c>
      <c r="N2" s="228"/>
      <c r="Q2"/>
    </row>
    <row r="3" spans="1:17" x14ac:dyDescent="0.25">
      <c r="A3" s="230" t="s">
        <v>173</v>
      </c>
      <c r="B3" s="229">
        <f t="shared" ref="B3:M3" si="0">SUM(B4:B14)</f>
        <v>-301.70299999999997</v>
      </c>
      <c r="C3" s="229">
        <f t="shared" si="0"/>
        <v>279.39859999999999</v>
      </c>
      <c r="D3" s="229">
        <f t="shared" si="0"/>
        <v>253.14225999999999</v>
      </c>
      <c r="E3" s="229">
        <f t="shared" si="0"/>
        <v>22.259500000000003</v>
      </c>
      <c r="F3" s="229">
        <f t="shared" si="0"/>
        <v>78.272999999999996</v>
      </c>
      <c r="G3" s="229">
        <f t="shared" si="0"/>
        <v>0</v>
      </c>
      <c r="H3" s="229">
        <f t="shared" si="0"/>
        <v>-46.106999999999999</v>
      </c>
      <c r="I3" s="229">
        <f t="shared" si="0"/>
        <v>0</v>
      </c>
      <c r="J3" s="229">
        <f t="shared" si="0"/>
        <v>0</v>
      </c>
      <c r="K3" s="229">
        <f t="shared" si="0"/>
        <v>0</v>
      </c>
      <c r="L3" s="229">
        <f t="shared" si="0"/>
        <v>0</v>
      </c>
      <c r="M3" s="229">
        <f t="shared" si="0"/>
        <v>0</v>
      </c>
      <c r="N3" s="228"/>
      <c r="Q3"/>
    </row>
    <row r="4" spans="1:17" x14ac:dyDescent="0.25">
      <c r="A4" s="233" t="s">
        <v>174</v>
      </c>
      <c r="B4" s="234">
        <v>-211.011</v>
      </c>
      <c r="C4" s="234" t="s">
        <v>175</v>
      </c>
      <c r="D4" s="234" t="s">
        <v>175</v>
      </c>
      <c r="E4" s="234" t="s">
        <v>175</v>
      </c>
      <c r="F4" s="234" t="s">
        <v>175</v>
      </c>
      <c r="G4" s="234" t="s">
        <v>175</v>
      </c>
      <c r="H4" s="234" t="s">
        <v>175</v>
      </c>
      <c r="I4" s="234" t="s">
        <v>175</v>
      </c>
      <c r="J4" s="234" t="s">
        <v>175</v>
      </c>
      <c r="K4" s="234" t="s">
        <v>175</v>
      </c>
      <c r="L4" s="234" t="s">
        <v>175</v>
      </c>
      <c r="M4" s="234" t="s">
        <v>175</v>
      </c>
      <c r="N4" s="228"/>
    </row>
    <row r="5" spans="1:17" x14ac:dyDescent="0.25">
      <c r="A5" s="233" t="s">
        <v>176</v>
      </c>
      <c r="B5" s="234" t="s">
        <v>175</v>
      </c>
      <c r="C5" s="234">
        <v>59.067999999999998</v>
      </c>
      <c r="D5" s="234" t="s">
        <v>175</v>
      </c>
      <c r="E5" s="234" t="s">
        <v>175</v>
      </c>
      <c r="F5" s="234" t="s">
        <v>175</v>
      </c>
      <c r="G5" s="234" t="s">
        <v>175</v>
      </c>
      <c r="H5" s="234" t="s">
        <v>175</v>
      </c>
      <c r="I5" s="234" t="s">
        <v>175</v>
      </c>
      <c r="J5" s="234" t="s">
        <v>175</v>
      </c>
      <c r="K5" s="234" t="s">
        <v>175</v>
      </c>
      <c r="L5" s="234" t="s">
        <v>175</v>
      </c>
      <c r="M5" s="234" t="s">
        <v>175</v>
      </c>
      <c r="N5" s="228"/>
    </row>
    <row r="6" spans="1:17" x14ac:dyDescent="0.25">
      <c r="A6" s="233" t="s">
        <v>177</v>
      </c>
      <c r="B6" s="234" t="s">
        <v>175</v>
      </c>
      <c r="C6" s="234">
        <v>88.46</v>
      </c>
      <c r="D6" s="234" t="s">
        <v>175</v>
      </c>
      <c r="E6" s="234" t="s">
        <v>175</v>
      </c>
      <c r="F6" s="234">
        <v>163.9</v>
      </c>
      <c r="G6" s="234" t="s">
        <v>175</v>
      </c>
      <c r="H6" s="234" t="s">
        <v>175</v>
      </c>
      <c r="I6" s="234" t="s">
        <v>175</v>
      </c>
      <c r="J6" s="234" t="s">
        <v>175</v>
      </c>
      <c r="K6" s="234" t="s">
        <v>175</v>
      </c>
      <c r="L6" s="234" t="s">
        <v>175</v>
      </c>
      <c r="M6" s="234" t="s">
        <v>175</v>
      </c>
      <c r="N6" s="228"/>
    </row>
    <row r="7" spans="1:17" x14ac:dyDescent="0.25">
      <c r="A7" s="233" t="s">
        <v>178</v>
      </c>
      <c r="B7" s="234">
        <v>-112.6</v>
      </c>
      <c r="C7" s="234" t="s">
        <v>175</v>
      </c>
      <c r="D7" s="234" t="s">
        <v>175</v>
      </c>
      <c r="E7" s="234" t="s">
        <v>175</v>
      </c>
      <c r="F7" s="234" t="s">
        <v>175</v>
      </c>
      <c r="G7" s="234" t="s">
        <v>175</v>
      </c>
      <c r="H7" s="234" t="s">
        <v>175</v>
      </c>
      <c r="I7" s="234" t="s">
        <v>175</v>
      </c>
      <c r="J7" s="234" t="s">
        <v>175</v>
      </c>
      <c r="K7" s="234" t="s">
        <v>175</v>
      </c>
      <c r="L7" s="234" t="s">
        <v>175</v>
      </c>
      <c r="M7" s="234" t="s">
        <v>175</v>
      </c>
      <c r="N7" s="228"/>
    </row>
    <row r="8" spans="1:17" x14ac:dyDescent="0.25">
      <c r="A8" s="233" t="s">
        <v>179</v>
      </c>
      <c r="B8" s="234" t="s">
        <v>175</v>
      </c>
      <c r="C8" s="234" t="s">
        <v>175</v>
      </c>
      <c r="D8" s="234">
        <v>40.164659999999998</v>
      </c>
      <c r="E8" s="234" t="s">
        <v>175</v>
      </c>
      <c r="F8" s="234" t="s">
        <v>175</v>
      </c>
      <c r="G8" s="234" t="s">
        <v>175</v>
      </c>
      <c r="H8" s="234" t="s">
        <v>175</v>
      </c>
      <c r="I8" s="234" t="s">
        <v>175</v>
      </c>
      <c r="J8" s="234" t="s">
        <v>175</v>
      </c>
      <c r="K8" s="234" t="s">
        <v>175</v>
      </c>
      <c r="L8" s="234" t="s">
        <v>175</v>
      </c>
      <c r="M8" s="234" t="s">
        <v>175</v>
      </c>
      <c r="N8" s="228"/>
    </row>
    <row r="9" spans="1:17" x14ac:dyDescent="0.25">
      <c r="A9" s="235" t="s">
        <v>180</v>
      </c>
      <c r="B9" s="234" t="s">
        <v>175</v>
      </c>
      <c r="C9" s="234">
        <v>109.863</v>
      </c>
      <c r="D9" s="234">
        <v>185.97</v>
      </c>
      <c r="E9" s="234" t="s">
        <v>175</v>
      </c>
      <c r="F9" s="234" t="s">
        <v>175</v>
      </c>
      <c r="G9" s="234" t="s">
        <v>175</v>
      </c>
      <c r="H9" s="236" t="s">
        <v>175</v>
      </c>
      <c r="I9" s="236" t="s">
        <v>175</v>
      </c>
      <c r="J9" s="236" t="s">
        <v>175</v>
      </c>
      <c r="K9" s="236" t="s">
        <v>175</v>
      </c>
      <c r="L9" s="236" t="s">
        <v>175</v>
      </c>
      <c r="M9" s="236" t="s">
        <v>175</v>
      </c>
      <c r="N9" s="228"/>
    </row>
    <row r="10" spans="1:17" x14ac:dyDescent="0.25">
      <c r="A10" s="235" t="s">
        <v>181</v>
      </c>
      <c r="B10" s="234" t="s">
        <v>175</v>
      </c>
      <c r="C10" s="234" t="s">
        <v>175</v>
      </c>
      <c r="D10" s="234" t="s">
        <v>175</v>
      </c>
      <c r="E10" s="234">
        <v>-8.08</v>
      </c>
      <c r="F10" s="234">
        <v>-58.451999999999998</v>
      </c>
      <c r="G10" s="234" t="s">
        <v>175</v>
      </c>
      <c r="H10" s="234" t="s">
        <v>175</v>
      </c>
      <c r="I10" s="234" t="s">
        <v>175</v>
      </c>
      <c r="J10" s="234" t="s">
        <v>175</v>
      </c>
      <c r="K10" s="234" t="s">
        <v>175</v>
      </c>
      <c r="L10" s="234" t="s">
        <v>175</v>
      </c>
      <c r="M10" s="234" t="s">
        <v>175</v>
      </c>
      <c r="N10" s="228"/>
    </row>
    <row r="11" spans="1:17" x14ac:dyDescent="0.25">
      <c r="A11" s="235" t="s">
        <v>182</v>
      </c>
      <c r="B11" s="234" t="s">
        <v>175</v>
      </c>
      <c r="C11" s="234" t="s">
        <v>175</v>
      </c>
      <c r="D11" s="234" t="s">
        <v>175</v>
      </c>
      <c r="E11" s="234" t="s">
        <v>175</v>
      </c>
      <c r="F11" s="234">
        <v>12.137</v>
      </c>
      <c r="G11" s="234" t="s">
        <v>175</v>
      </c>
      <c r="H11" s="234" t="s">
        <v>175</v>
      </c>
      <c r="I11" s="234" t="s">
        <v>175</v>
      </c>
      <c r="J11" s="234" t="s">
        <v>175</v>
      </c>
      <c r="K11" s="234" t="s">
        <v>175</v>
      </c>
      <c r="L11" s="234" t="s">
        <v>175</v>
      </c>
      <c r="M11" s="234" t="s">
        <v>175</v>
      </c>
      <c r="N11" s="228"/>
    </row>
    <row r="12" spans="1:17" x14ac:dyDescent="0.25">
      <c r="A12" s="235" t="s">
        <v>183</v>
      </c>
      <c r="B12" s="234" t="s">
        <v>175</v>
      </c>
      <c r="C12" s="234" t="s">
        <v>175</v>
      </c>
      <c r="D12" s="234" t="s">
        <v>175</v>
      </c>
      <c r="E12" s="234" t="s">
        <v>175</v>
      </c>
      <c r="F12" s="234">
        <v>-87.4</v>
      </c>
      <c r="G12" s="234" t="s">
        <v>175</v>
      </c>
      <c r="H12" s="234" t="s">
        <v>175</v>
      </c>
      <c r="I12" s="234" t="s">
        <v>175</v>
      </c>
      <c r="J12" s="234" t="s">
        <v>175</v>
      </c>
      <c r="K12" s="234" t="s">
        <v>175</v>
      </c>
      <c r="L12" s="234" t="s">
        <v>175</v>
      </c>
      <c r="M12" s="234" t="s">
        <v>175</v>
      </c>
      <c r="N12" s="228"/>
    </row>
    <row r="13" spans="1:17" x14ac:dyDescent="0.25">
      <c r="A13" s="237" t="s">
        <v>184</v>
      </c>
      <c r="B13" s="234">
        <v>21.908000000000001</v>
      </c>
      <c r="C13" s="234">
        <v>22.0076</v>
      </c>
      <c r="D13" s="234">
        <v>27.0076</v>
      </c>
      <c r="E13" s="234">
        <v>30.339500000000001</v>
      </c>
      <c r="F13" s="234">
        <v>48.088000000000001</v>
      </c>
      <c r="G13" s="234" t="s">
        <v>175</v>
      </c>
      <c r="H13" s="234" t="s">
        <v>175</v>
      </c>
      <c r="I13" s="234" t="s">
        <v>175</v>
      </c>
      <c r="J13" s="234" t="s">
        <v>175</v>
      </c>
      <c r="K13" s="234" t="s">
        <v>175</v>
      </c>
      <c r="L13" s="234" t="s">
        <v>175</v>
      </c>
      <c r="M13" s="234" t="s">
        <v>175</v>
      </c>
      <c r="N13" s="228"/>
    </row>
    <row r="14" spans="1:17" x14ac:dyDescent="0.25">
      <c r="A14" s="238" t="s">
        <v>185</v>
      </c>
      <c r="B14" s="234" t="s">
        <v>175</v>
      </c>
      <c r="C14" s="234" t="s">
        <v>175</v>
      </c>
      <c r="D14" s="234" t="s">
        <v>175</v>
      </c>
      <c r="E14" s="234" t="s">
        <v>175</v>
      </c>
      <c r="F14" s="234" t="s">
        <v>175</v>
      </c>
      <c r="G14" s="234" t="s">
        <v>175</v>
      </c>
      <c r="H14" s="236">
        <v>-46.106999999999999</v>
      </c>
      <c r="I14" s="234" t="s">
        <v>175</v>
      </c>
      <c r="J14" s="234" t="s">
        <v>175</v>
      </c>
      <c r="K14" s="234" t="s">
        <v>175</v>
      </c>
      <c r="L14" s="234" t="s">
        <v>175</v>
      </c>
      <c r="M14" s="234" t="s">
        <v>175</v>
      </c>
      <c r="N14" s="228"/>
    </row>
    <row r="15" spans="1:17" x14ac:dyDescent="0.25">
      <c r="A15" s="230" t="s">
        <v>186</v>
      </c>
      <c r="B15" s="229">
        <f>SUM(B16:B21)</f>
        <v>146.41200000000001</v>
      </c>
      <c r="C15" s="229">
        <f t="shared" ref="C15:M15" si="1">SUM(C16:C21)</f>
        <v>109.685</v>
      </c>
      <c r="D15" s="229">
        <f t="shared" si="1"/>
        <v>146.56700000000001</v>
      </c>
      <c r="E15" s="229">
        <f t="shared" si="1"/>
        <v>554.3094298382</v>
      </c>
      <c r="F15" s="229">
        <f t="shared" si="1"/>
        <v>562.98611015999995</v>
      </c>
      <c r="G15" s="229">
        <f>SUM(G16:G21)</f>
        <v>1890.3538217700002</v>
      </c>
      <c r="H15" s="229">
        <f t="shared" si="1"/>
        <v>162.65658101</v>
      </c>
      <c r="I15" s="229">
        <f t="shared" si="1"/>
        <v>234.71</v>
      </c>
      <c r="J15" s="229">
        <f t="shared" si="1"/>
        <v>82.816000000000003</v>
      </c>
      <c r="K15" s="229">
        <f t="shared" si="1"/>
        <v>68</v>
      </c>
      <c r="L15" s="229">
        <f t="shared" si="1"/>
        <v>68</v>
      </c>
      <c r="M15" s="229">
        <f t="shared" si="1"/>
        <v>68</v>
      </c>
      <c r="N15" s="228"/>
    </row>
    <row r="16" spans="1:17" x14ac:dyDescent="0.25">
      <c r="A16" s="237" t="s">
        <v>187</v>
      </c>
      <c r="B16" s="234" t="s">
        <v>175</v>
      </c>
      <c r="C16" s="234" t="s">
        <v>175</v>
      </c>
      <c r="D16" s="234">
        <v>44.234000000000002</v>
      </c>
      <c r="E16" s="234">
        <v>239.739</v>
      </c>
      <c r="F16" s="234" t="s">
        <v>175</v>
      </c>
      <c r="G16" s="236">
        <v>579.35599999999999</v>
      </c>
      <c r="H16" s="234" t="s">
        <v>175</v>
      </c>
      <c r="I16" s="234" t="s">
        <v>175</v>
      </c>
      <c r="J16" s="234" t="s">
        <v>175</v>
      </c>
      <c r="K16" s="234" t="s">
        <v>175</v>
      </c>
      <c r="L16" s="234" t="s">
        <v>175</v>
      </c>
      <c r="M16" s="234" t="s">
        <v>175</v>
      </c>
      <c r="N16" s="239"/>
    </row>
    <row r="17" spans="1:14" x14ac:dyDescent="0.25">
      <c r="A17" s="235" t="s">
        <v>180</v>
      </c>
      <c r="B17" s="234">
        <v>146.41200000000001</v>
      </c>
      <c r="C17" s="234">
        <v>109.685</v>
      </c>
      <c r="D17" s="234">
        <v>92.582999999999998</v>
      </c>
      <c r="E17" s="234">
        <v>312.27100000000002</v>
      </c>
      <c r="F17" s="234">
        <v>336.84500000000003</v>
      </c>
      <c r="G17" s="234">
        <f>286.574-117.22</f>
        <v>169.35400000000001</v>
      </c>
      <c r="H17" s="236">
        <v>207.28700000000001</v>
      </c>
      <c r="I17" s="234">
        <v>234.71</v>
      </c>
      <c r="J17" s="236">
        <v>82.816000000000003</v>
      </c>
      <c r="K17" s="236">
        <v>68</v>
      </c>
      <c r="L17" s="236">
        <v>68</v>
      </c>
      <c r="M17" s="236">
        <v>68</v>
      </c>
      <c r="N17" s="228"/>
    </row>
    <row r="18" spans="1:14" x14ac:dyDescent="0.25">
      <c r="A18" s="237" t="s">
        <v>188</v>
      </c>
      <c r="B18" s="234" t="s">
        <v>175</v>
      </c>
      <c r="C18" s="234" t="s">
        <v>175</v>
      </c>
      <c r="D18" s="234" t="s">
        <v>175</v>
      </c>
      <c r="E18" s="234" t="s">
        <v>175</v>
      </c>
      <c r="F18" s="234" t="s">
        <v>175</v>
      </c>
      <c r="G18" s="234">
        <v>800</v>
      </c>
      <c r="H18" s="234" t="s">
        <v>175</v>
      </c>
      <c r="I18" s="234" t="s">
        <v>175</v>
      </c>
      <c r="J18" s="234" t="s">
        <v>175</v>
      </c>
      <c r="K18" s="234" t="s">
        <v>175</v>
      </c>
      <c r="L18" s="234" t="s">
        <v>175</v>
      </c>
      <c r="M18" s="234" t="s">
        <v>175</v>
      </c>
      <c r="N18" s="228"/>
    </row>
    <row r="19" spans="1:14" x14ac:dyDescent="0.25">
      <c r="A19" s="237" t="s">
        <v>189</v>
      </c>
      <c r="B19" s="240" t="s">
        <v>175</v>
      </c>
      <c r="C19" s="240" t="s">
        <v>175</v>
      </c>
      <c r="D19" s="240" t="s">
        <v>175</v>
      </c>
      <c r="E19" s="240" t="s">
        <v>175</v>
      </c>
      <c r="F19" s="240">
        <v>157.75559999999999</v>
      </c>
      <c r="G19" s="240" t="s">
        <v>175</v>
      </c>
      <c r="H19" s="240" t="s">
        <v>175</v>
      </c>
      <c r="I19" s="240" t="s">
        <v>175</v>
      </c>
      <c r="J19" s="240" t="s">
        <v>175</v>
      </c>
      <c r="K19" s="240" t="s">
        <v>175</v>
      </c>
      <c r="L19" s="240" t="s">
        <v>175</v>
      </c>
      <c r="M19" s="240" t="s">
        <v>175</v>
      </c>
      <c r="N19" s="228"/>
    </row>
    <row r="20" spans="1:14" x14ac:dyDescent="0.25">
      <c r="A20" s="237" t="s">
        <v>190</v>
      </c>
      <c r="B20" s="240" t="s">
        <v>175</v>
      </c>
      <c r="C20" s="240" t="s">
        <v>175</v>
      </c>
      <c r="D20" s="240">
        <v>9.75</v>
      </c>
      <c r="E20" s="240">
        <v>19.5</v>
      </c>
      <c r="F20" s="240">
        <v>19.5</v>
      </c>
      <c r="G20" s="240">
        <f>117.22</f>
        <v>117.22</v>
      </c>
      <c r="H20" s="240" t="s">
        <v>175</v>
      </c>
      <c r="I20" s="240" t="s">
        <v>175</v>
      </c>
      <c r="J20" s="240" t="s">
        <v>175</v>
      </c>
      <c r="K20" s="240" t="s">
        <v>175</v>
      </c>
      <c r="L20" s="240" t="s">
        <v>175</v>
      </c>
      <c r="M20" s="240" t="s">
        <v>175</v>
      </c>
      <c r="N20" s="228"/>
    </row>
    <row r="21" spans="1:14" x14ac:dyDescent="0.25">
      <c r="A21" s="241" t="s">
        <v>191</v>
      </c>
      <c r="B21" s="240" t="s">
        <v>175</v>
      </c>
      <c r="C21" s="240" t="s">
        <v>175</v>
      </c>
      <c r="D21" s="240" t="s">
        <v>175</v>
      </c>
      <c r="E21" s="242">
        <v>-17.200570161800002</v>
      </c>
      <c r="F21" s="242">
        <v>48.885510159999995</v>
      </c>
      <c r="G21" s="242">
        <v>224.42382177000002</v>
      </c>
      <c r="H21" s="242">
        <v>-44.630418990000003</v>
      </c>
      <c r="I21" s="240" t="s">
        <v>175</v>
      </c>
      <c r="J21" s="240" t="s">
        <v>175</v>
      </c>
      <c r="K21" s="240" t="s">
        <v>175</v>
      </c>
      <c r="L21" s="240" t="s">
        <v>175</v>
      </c>
      <c r="M21" s="240" t="s">
        <v>175</v>
      </c>
      <c r="N21" s="228"/>
    </row>
    <row r="22" spans="1:14" x14ac:dyDescent="0.25">
      <c r="A22" s="243" t="s">
        <v>192</v>
      </c>
      <c r="B22" s="234">
        <f>SUM(B23:B25)</f>
        <v>-181.88200000000001</v>
      </c>
      <c r="C22" s="234">
        <f t="shared" ref="C22:I22" si="2">SUM(C23:C25)</f>
        <v>-491.54600000000005</v>
      </c>
      <c r="D22" s="234">
        <f t="shared" si="2"/>
        <v>172.744</v>
      </c>
      <c r="E22" s="234">
        <f t="shared" si="2"/>
        <v>67.753999999999991</v>
      </c>
      <c r="F22" s="234">
        <f t="shared" si="2"/>
        <v>-422.51800000000003</v>
      </c>
      <c r="G22" s="234">
        <f t="shared" si="2"/>
        <v>-188.18525277999998</v>
      </c>
      <c r="H22" s="234">
        <f t="shared" si="2"/>
        <v>1048.665</v>
      </c>
      <c r="I22" s="234">
        <f t="shared" si="2"/>
        <v>-59.320999999999998</v>
      </c>
      <c r="J22" s="234">
        <f>SUM(J23:J25)</f>
        <v>-34.520000000000003</v>
      </c>
      <c r="K22" s="234">
        <f>SUM(K23:K25)</f>
        <v>0</v>
      </c>
      <c r="L22" s="234">
        <f t="shared" ref="L22:M22" si="3">SUM(L23:L25)</f>
        <v>0</v>
      </c>
      <c r="M22" s="234">
        <f t="shared" si="3"/>
        <v>0</v>
      </c>
      <c r="N22" s="228"/>
    </row>
    <row r="23" spans="1:14" x14ac:dyDescent="0.25">
      <c r="A23" s="237" t="s">
        <v>193</v>
      </c>
      <c r="B23" s="234">
        <v>-225.93600000000001</v>
      </c>
      <c r="C23" s="234">
        <v>-60.034999999999997</v>
      </c>
      <c r="D23" s="234">
        <v>113.09399999999999</v>
      </c>
      <c r="E23" s="234">
        <v>148.21199999999999</v>
      </c>
      <c r="F23" s="234">
        <v>-756.00900000000001</v>
      </c>
      <c r="G23" s="234">
        <v>-22.795000000000002</v>
      </c>
      <c r="H23" s="234">
        <v>209.81</v>
      </c>
      <c r="I23" s="234">
        <v>-7.7409999999999997</v>
      </c>
      <c r="J23" s="234">
        <v>-47.92</v>
      </c>
      <c r="K23" s="234">
        <v>0</v>
      </c>
      <c r="L23" s="234">
        <v>0</v>
      </c>
      <c r="M23" s="234">
        <v>0</v>
      </c>
      <c r="N23" s="228"/>
    </row>
    <row r="24" spans="1:14" x14ac:dyDescent="0.25">
      <c r="A24" s="237" t="s">
        <v>194</v>
      </c>
      <c r="B24" s="234" t="s">
        <v>175</v>
      </c>
      <c r="C24" s="234" t="s">
        <v>175</v>
      </c>
      <c r="D24" s="234" t="s">
        <v>175</v>
      </c>
      <c r="E24" s="236">
        <v>124.514</v>
      </c>
      <c r="F24" s="236">
        <v>111.01</v>
      </c>
      <c r="G24" s="236">
        <f>242.533-123.92</f>
        <v>118.61299999999999</v>
      </c>
      <c r="H24" s="244">
        <f>187.658</f>
        <v>187.65799999999999</v>
      </c>
      <c r="I24" s="234">
        <v>-2.8450000000000002</v>
      </c>
      <c r="J24" s="234">
        <v>13.4</v>
      </c>
      <c r="K24" s="234" t="s">
        <v>175</v>
      </c>
      <c r="L24" s="234" t="s">
        <v>175</v>
      </c>
      <c r="M24" s="234" t="s">
        <v>175</v>
      </c>
      <c r="N24" s="228"/>
    </row>
    <row r="25" spans="1:14" x14ac:dyDescent="0.25">
      <c r="A25" s="237" t="s">
        <v>195</v>
      </c>
      <c r="B25" s="234">
        <v>44.054000000000002</v>
      </c>
      <c r="C25" s="234">
        <v>-431.51100000000002</v>
      </c>
      <c r="D25" s="234">
        <v>59.65</v>
      </c>
      <c r="E25" s="234">
        <v>-204.97200000000001</v>
      </c>
      <c r="F25" s="234">
        <v>222.48099999999999</v>
      </c>
      <c r="G25" s="234">
        <v>-284.00325277999997</v>
      </c>
      <c r="H25" s="234">
        <v>651.197</v>
      </c>
      <c r="I25" s="234">
        <v>-48.734999999999999</v>
      </c>
      <c r="J25" s="234" t="s">
        <v>175</v>
      </c>
      <c r="K25" s="234" t="s">
        <v>175</v>
      </c>
      <c r="L25" s="234" t="s">
        <v>175</v>
      </c>
      <c r="M25" s="234" t="s">
        <v>175</v>
      </c>
      <c r="N25" s="228"/>
    </row>
    <row r="26" spans="1:14" hidden="1" x14ac:dyDescent="0.25">
      <c r="A26" s="230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8"/>
    </row>
    <row r="27" spans="1:14" hidden="1" x14ac:dyDescent="0.25">
      <c r="A27" s="230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8"/>
    </row>
    <row r="28" spans="1:14" x14ac:dyDescent="0.25">
      <c r="A28" s="245" t="s">
        <v>196</v>
      </c>
      <c r="B28" s="232">
        <f t="shared" ref="B28:M28" si="4">B3+B22+B15</f>
        <v>-337.173</v>
      </c>
      <c r="C28" s="232">
        <f t="shared" si="4"/>
        <v>-102.46240000000006</v>
      </c>
      <c r="D28" s="232">
        <f t="shared" si="4"/>
        <v>572.45326</v>
      </c>
      <c r="E28" s="232">
        <f t="shared" si="4"/>
        <v>644.32292983820003</v>
      </c>
      <c r="F28" s="232">
        <f t="shared" si="4"/>
        <v>218.74111015999995</v>
      </c>
      <c r="G28" s="232">
        <f t="shared" si="4"/>
        <v>1702.1685689900003</v>
      </c>
      <c r="H28" s="232">
        <f t="shared" si="4"/>
        <v>1165.2145810100001</v>
      </c>
      <c r="I28" s="232">
        <f t="shared" si="4"/>
        <v>175.38900000000001</v>
      </c>
      <c r="J28" s="232">
        <f t="shared" si="4"/>
        <v>48.295999999999999</v>
      </c>
      <c r="K28" s="232">
        <f t="shared" si="4"/>
        <v>68</v>
      </c>
      <c r="L28" s="232">
        <f t="shared" si="4"/>
        <v>68</v>
      </c>
      <c r="M28" s="232">
        <f t="shared" si="4"/>
        <v>68</v>
      </c>
      <c r="N28" s="228"/>
    </row>
    <row r="29" spans="1:14" x14ac:dyDescent="0.25">
      <c r="A29" s="246" t="s">
        <v>39</v>
      </c>
      <c r="B29" s="247">
        <v>-0.49894417208145336</v>
      </c>
      <c r="C29" s="247">
        <v>-0.14507498527479507</v>
      </c>
      <c r="D29" s="247">
        <v>0.7873806075360883</v>
      </c>
      <c r="E29" s="247">
        <v>0.86871214581413758</v>
      </c>
      <c r="F29" s="247">
        <v>0.28748512923228153</v>
      </c>
      <c r="G29" s="247">
        <v>2.1508810776464471</v>
      </c>
      <c r="H29" s="247">
        <v>1.4345322267226912</v>
      </c>
      <c r="I29" s="247">
        <v>0.20670258064440097</v>
      </c>
      <c r="J29" s="247">
        <v>5.3471729135222801E-2</v>
      </c>
      <c r="K29" s="247">
        <v>7.0293502230109675E-2</v>
      </c>
      <c r="L29" s="247">
        <v>6.6003034807252906E-2</v>
      </c>
      <c r="M29" s="247">
        <v>6.2328027436142248E-2</v>
      </c>
      <c r="N29" s="228"/>
    </row>
    <row r="30" spans="1:14" x14ac:dyDescent="0.25">
      <c r="A30" s="248" t="s">
        <v>197</v>
      </c>
      <c r="B30" s="239"/>
      <c r="C30" s="239"/>
      <c r="D30" s="239"/>
      <c r="E30" s="239"/>
      <c r="F30" s="1599" t="s">
        <v>198</v>
      </c>
      <c r="G30" s="1599"/>
      <c r="H30" s="1599"/>
      <c r="I30" s="1599"/>
      <c r="J30" s="1599"/>
      <c r="K30" s="1599"/>
      <c r="L30" s="1599"/>
      <c r="M30" s="1599"/>
      <c r="N30" s="228"/>
    </row>
    <row r="31" spans="1:14" x14ac:dyDescent="0.25">
      <c r="A31" s="228"/>
      <c r="B31" s="239"/>
      <c r="C31" s="239"/>
      <c r="D31" s="239"/>
      <c r="E31" s="239"/>
      <c r="F31" s="239"/>
      <c r="G31" s="239"/>
      <c r="H31" s="239"/>
      <c r="I31" s="239"/>
      <c r="J31" s="239"/>
      <c r="K31" s="228"/>
      <c r="L31" s="228"/>
      <c r="M31" s="228"/>
      <c r="N31" s="228"/>
    </row>
    <row r="32" spans="1:14" x14ac:dyDescent="0.25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</row>
    <row r="33" spans="1:14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</row>
    <row r="34" spans="1:14" x14ac:dyDescent="0.25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</row>
    <row r="35" spans="1:14" x14ac:dyDescent="0.25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</row>
    <row r="36" spans="1:14" x14ac:dyDescent="0.25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</row>
    <row r="37" spans="1:14" x14ac:dyDescent="0.25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</row>
    <row r="38" spans="1:14" x14ac:dyDescent="0.25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</row>
    <row r="39" spans="1:14" x14ac:dyDescent="0.25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</row>
    <row r="40" spans="1:14" x14ac:dyDescent="0.25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</row>
    <row r="41" spans="1:14" x14ac:dyDescent="0.25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</row>
    <row r="42" spans="1:14" x14ac:dyDescent="0.25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</row>
    <row r="43" spans="1:14" x14ac:dyDescent="0.25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</row>
    <row r="44" spans="1:14" x14ac:dyDescent="0.25">
      <c r="A44" s="228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</row>
    <row r="45" spans="1:14" x14ac:dyDescent="0.25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</row>
    <row r="46" spans="1:14" x14ac:dyDescent="0.25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</row>
    <row r="47" spans="1:14" x14ac:dyDescent="0.25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</row>
    <row r="48" spans="1:14" x14ac:dyDescent="0.25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</row>
    <row r="49" spans="1:14" x14ac:dyDescent="0.25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</row>
    <row r="50" spans="1:14" x14ac:dyDescent="0.2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</row>
    <row r="51" spans="1:14" x14ac:dyDescent="0.25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</row>
    <row r="52" spans="1:14" x14ac:dyDescent="0.25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</row>
    <row r="53" spans="1:14" x14ac:dyDescent="0.25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</row>
    <row r="54" spans="1:14" x14ac:dyDescent="0.25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</row>
    <row r="55" spans="1:14" x14ac:dyDescent="0.25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</row>
    <row r="56" spans="1:14" x14ac:dyDescent="0.25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</row>
    <row r="57" spans="1:14" x14ac:dyDescent="0.25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</row>
    <row r="58" spans="1:14" x14ac:dyDescent="0.25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</row>
    <row r="59" spans="1:14" x14ac:dyDescent="0.25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</row>
    <row r="60" spans="1:14" x14ac:dyDescent="0.25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</row>
    <row r="61" spans="1:14" x14ac:dyDescent="0.25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</row>
    <row r="62" spans="1:14" x14ac:dyDescent="0.25">
      <c r="A62" s="228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</row>
    <row r="63" spans="1:14" x14ac:dyDescent="0.25">
      <c r="A63" s="228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</row>
    <row r="64" spans="1:14" x14ac:dyDescent="0.25">
      <c r="A64" s="228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</row>
    <row r="65" spans="1:14" x14ac:dyDescent="0.25">
      <c r="A65" s="228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</row>
    <row r="66" spans="1:14" x14ac:dyDescent="0.25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</row>
    <row r="67" spans="1:14" x14ac:dyDescent="0.25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</row>
    <row r="68" spans="1:14" x14ac:dyDescent="0.25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</row>
    <row r="69" spans="1:14" x14ac:dyDescent="0.25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</row>
    <row r="70" spans="1:14" x14ac:dyDescent="0.25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</row>
    <row r="71" spans="1:14" x14ac:dyDescent="0.25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</row>
    <row r="72" spans="1:14" x14ac:dyDescent="0.25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</row>
    <row r="73" spans="1:14" x14ac:dyDescent="0.25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</row>
    <row r="74" spans="1:14" x14ac:dyDescent="0.25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</row>
    <row r="75" spans="1:14" x14ac:dyDescent="0.25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</row>
    <row r="76" spans="1:14" x14ac:dyDescent="0.25">
      <c r="A76" s="228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</row>
    <row r="77" spans="1:14" x14ac:dyDescent="0.25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</row>
    <row r="78" spans="1:14" x14ac:dyDescent="0.25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</row>
    <row r="79" spans="1:14" x14ac:dyDescent="0.25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</row>
    <row r="80" spans="1:14" x14ac:dyDescent="0.25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</row>
    <row r="81" spans="1:14" x14ac:dyDescent="0.25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</row>
    <row r="82" spans="1:14" x14ac:dyDescent="0.25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</row>
    <row r="83" spans="1:14" x14ac:dyDescent="0.25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</row>
    <row r="84" spans="1:14" x14ac:dyDescent="0.25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</row>
    <row r="85" spans="1:14" x14ac:dyDescent="0.25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</row>
    <row r="86" spans="1:14" x14ac:dyDescent="0.25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</row>
    <row r="87" spans="1:14" x14ac:dyDescent="0.25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</row>
    <row r="88" spans="1:14" x14ac:dyDescent="0.25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</row>
    <row r="89" spans="1:14" x14ac:dyDescent="0.25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</row>
    <row r="90" spans="1:14" x14ac:dyDescent="0.25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</row>
    <row r="91" spans="1:14" x14ac:dyDescent="0.25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</row>
    <row r="92" spans="1:14" x14ac:dyDescent="0.25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</row>
    <row r="93" spans="1:14" x14ac:dyDescent="0.25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</row>
    <row r="94" spans="1:14" x14ac:dyDescent="0.25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</row>
    <row r="95" spans="1:14" x14ac:dyDescent="0.25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</row>
    <row r="96" spans="1:14" x14ac:dyDescent="0.25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</row>
    <row r="97" spans="1:14" x14ac:dyDescent="0.25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</row>
    <row r="98" spans="1:14" x14ac:dyDescent="0.25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</row>
    <row r="99" spans="1:14" x14ac:dyDescent="0.25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</row>
    <row r="100" spans="1:14" x14ac:dyDescent="0.25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</row>
    <row r="101" spans="1:14" x14ac:dyDescent="0.25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</row>
    <row r="102" spans="1:14" x14ac:dyDescent="0.25">
      <c r="A102" s="228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</row>
    <row r="103" spans="1:14" x14ac:dyDescent="0.25">
      <c r="A103" s="228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</row>
    <row r="104" spans="1:14" x14ac:dyDescent="0.25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</row>
    <row r="105" spans="1:14" x14ac:dyDescent="0.25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</row>
    <row r="106" spans="1:14" x14ac:dyDescent="0.25">
      <c r="A106" s="228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</row>
    <row r="107" spans="1:14" x14ac:dyDescent="0.25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</row>
    <row r="108" spans="1:14" x14ac:dyDescent="0.25">
      <c r="A108" s="228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</row>
    <row r="109" spans="1:14" x14ac:dyDescent="0.25">
      <c r="A109" s="228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</row>
    <row r="110" spans="1:14" x14ac:dyDescent="0.25">
      <c r="A110" s="228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</row>
    <row r="111" spans="1:14" x14ac:dyDescent="0.25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</row>
    <row r="112" spans="1:14" x14ac:dyDescent="0.25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</row>
    <row r="113" spans="1:14" x14ac:dyDescent="0.25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</row>
    <row r="114" spans="1:14" x14ac:dyDescent="0.25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</row>
    <row r="115" spans="1:14" x14ac:dyDescent="0.25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</row>
    <row r="116" spans="1:14" x14ac:dyDescent="0.25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</row>
    <row r="117" spans="1:14" x14ac:dyDescent="0.25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</row>
    <row r="118" spans="1:14" x14ac:dyDescent="0.25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</row>
    <row r="119" spans="1:14" x14ac:dyDescent="0.25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</row>
    <row r="120" spans="1:14" x14ac:dyDescent="0.25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</row>
    <row r="121" spans="1:14" x14ac:dyDescent="0.25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</row>
    <row r="122" spans="1:14" x14ac:dyDescent="0.25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</row>
    <row r="123" spans="1:14" x14ac:dyDescent="0.25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</row>
    <row r="124" spans="1:14" x14ac:dyDescent="0.25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</row>
    <row r="125" spans="1:14" x14ac:dyDescent="0.25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</row>
    <row r="126" spans="1:14" x14ac:dyDescent="0.25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</row>
    <row r="127" spans="1:14" x14ac:dyDescent="0.25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</row>
    <row r="128" spans="1:14" x14ac:dyDescent="0.25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</row>
    <row r="129" spans="1:14" x14ac:dyDescent="0.25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</row>
    <row r="130" spans="1:14" x14ac:dyDescent="0.25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</row>
    <row r="131" spans="1:14" x14ac:dyDescent="0.25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</row>
    <row r="132" spans="1:14" x14ac:dyDescent="0.25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</row>
    <row r="133" spans="1:14" x14ac:dyDescent="0.25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</row>
    <row r="134" spans="1:14" x14ac:dyDescent="0.25">
      <c r="A134" s="228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</row>
    <row r="135" spans="1:14" x14ac:dyDescent="0.25">
      <c r="A135" s="228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</row>
    <row r="136" spans="1:14" x14ac:dyDescent="0.25">
      <c r="A136" s="228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</row>
    <row r="137" spans="1:14" x14ac:dyDescent="0.25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</row>
    <row r="138" spans="1:14" x14ac:dyDescent="0.25">
      <c r="A138" s="228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</row>
    <row r="139" spans="1:14" x14ac:dyDescent="0.25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</row>
    <row r="140" spans="1:14" x14ac:dyDescent="0.25">
      <c r="A140" s="228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</row>
    <row r="141" spans="1:14" x14ac:dyDescent="0.25">
      <c r="A141" s="22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</row>
    <row r="142" spans="1:14" x14ac:dyDescent="0.25">
      <c r="A142" s="228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</row>
    <row r="143" spans="1:14" x14ac:dyDescent="0.25">
      <c r="A143" s="228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</row>
    <row r="144" spans="1:14" x14ac:dyDescent="0.25">
      <c r="A144" s="228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</row>
    <row r="145" spans="1:14" x14ac:dyDescent="0.25">
      <c r="A145" s="228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</row>
    <row r="146" spans="1:14" x14ac:dyDescent="0.25">
      <c r="A146" s="228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</row>
    <row r="147" spans="1:14" x14ac:dyDescent="0.25">
      <c r="A147" s="228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</row>
    <row r="148" spans="1:14" x14ac:dyDescent="0.25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</row>
    <row r="149" spans="1:14" x14ac:dyDescent="0.25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</row>
    <row r="150" spans="1:14" x14ac:dyDescent="0.25">
      <c r="A150" s="228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</row>
    <row r="151" spans="1:14" x14ac:dyDescent="0.25">
      <c r="A151" s="228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</row>
    <row r="152" spans="1:14" x14ac:dyDescent="0.25">
      <c r="A152" s="228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</row>
    <row r="153" spans="1:14" x14ac:dyDescent="0.25">
      <c r="A153" s="228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</row>
    <row r="154" spans="1:14" x14ac:dyDescent="0.25">
      <c r="A154" s="228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</row>
    <row r="155" spans="1:14" x14ac:dyDescent="0.25">
      <c r="A155" s="228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</row>
    <row r="156" spans="1:14" x14ac:dyDescent="0.25">
      <c r="A156" s="228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</row>
    <row r="157" spans="1:14" x14ac:dyDescent="0.25">
      <c r="A157" s="228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</row>
    <row r="158" spans="1:14" x14ac:dyDescent="0.25">
      <c r="A158" s="228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</row>
    <row r="159" spans="1:14" x14ac:dyDescent="0.25">
      <c r="A159" s="228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</row>
    <row r="160" spans="1:14" x14ac:dyDescent="0.25">
      <c r="A160" s="228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</row>
    <row r="161" spans="1:14" x14ac:dyDescent="0.25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</row>
    <row r="162" spans="1:14" x14ac:dyDescent="0.25">
      <c r="A162" s="228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</row>
    <row r="163" spans="1:14" x14ac:dyDescent="0.25">
      <c r="A163" s="228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</row>
    <row r="164" spans="1:14" x14ac:dyDescent="0.25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</row>
    <row r="165" spans="1:14" x14ac:dyDescent="0.25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</row>
    <row r="166" spans="1:14" x14ac:dyDescent="0.25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</row>
    <row r="167" spans="1:14" x14ac:dyDescent="0.25">
      <c r="A167" s="228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</row>
    <row r="168" spans="1:14" x14ac:dyDescent="0.25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</row>
    <row r="169" spans="1:14" x14ac:dyDescent="0.25">
      <c r="A169" s="228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</row>
    <row r="170" spans="1:14" x14ac:dyDescent="0.25">
      <c r="A170" s="228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</row>
    <row r="171" spans="1:14" x14ac:dyDescent="0.25">
      <c r="A171" s="228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</row>
    <row r="172" spans="1:14" x14ac:dyDescent="0.25">
      <c r="A172" s="228"/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</row>
    <row r="173" spans="1:14" x14ac:dyDescent="0.25">
      <c r="A173" s="228"/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</row>
    <row r="174" spans="1:14" x14ac:dyDescent="0.25">
      <c r="A174" s="228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</row>
    <row r="175" spans="1:14" x14ac:dyDescent="0.25">
      <c r="A175" s="228"/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</row>
    <row r="176" spans="1:14" x14ac:dyDescent="0.25">
      <c r="A176" s="228"/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</row>
    <row r="177" spans="1:14" x14ac:dyDescent="0.25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</row>
    <row r="178" spans="1:14" x14ac:dyDescent="0.25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</row>
    <row r="179" spans="1:14" x14ac:dyDescent="0.25">
      <c r="A179" s="228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</row>
    <row r="180" spans="1:14" x14ac:dyDescent="0.25">
      <c r="A180" s="22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</row>
    <row r="181" spans="1:14" x14ac:dyDescent="0.25">
      <c r="A181" s="228"/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</row>
    <row r="182" spans="1:14" x14ac:dyDescent="0.25">
      <c r="A182" s="228"/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</row>
    <row r="183" spans="1:14" x14ac:dyDescent="0.25">
      <c r="A183" s="228"/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</row>
    <row r="184" spans="1:14" x14ac:dyDescent="0.25">
      <c r="A184" s="228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</row>
    <row r="185" spans="1:14" x14ac:dyDescent="0.25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</row>
    <row r="186" spans="1:14" x14ac:dyDescent="0.25">
      <c r="A186" s="228"/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</row>
    <row r="187" spans="1:14" x14ac:dyDescent="0.25">
      <c r="A187" s="228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</row>
    <row r="188" spans="1:14" x14ac:dyDescent="0.25">
      <c r="A188" s="228"/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</row>
    <row r="189" spans="1:14" x14ac:dyDescent="0.25">
      <c r="A189" s="228"/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</row>
    <row r="190" spans="1:14" x14ac:dyDescent="0.25">
      <c r="A190" s="228"/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</row>
    <row r="191" spans="1:14" x14ac:dyDescent="0.25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</row>
    <row r="192" spans="1:14" x14ac:dyDescent="0.25">
      <c r="A192" s="228"/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</row>
    <row r="193" spans="1:14" x14ac:dyDescent="0.25">
      <c r="A193" s="228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</row>
    <row r="194" spans="1:14" x14ac:dyDescent="0.25">
      <c r="A194" s="228"/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</row>
    <row r="195" spans="1:14" x14ac:dyDescent="0.25">
      <c r="A195" s="228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</row>
    <row r="196" spans="1:14" x14ac:dyDescent="0.25">
      <c r="A196" s="228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</row>
    <row r="197" spans="1:14" x14ac:dyDescent="0.25">
      <c r="A197" s="228"/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</row>
    <row r="198" spans="1:14" x14ac:dyDescent="0.25">
      <c r="A198" s="228"/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</row>
    <row r="199" spans="1:14" x14ac:dyDescent="0.25">
      <c r="A199" s="228"/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</row>
    <row r="200" spans="1:14" x14ac:dyDescent="0.25">
      <c r="A200" s="228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</row>
    <row r="201" spans="1:14" x14ac:dyDescent="0.25">
      <c r="A201" s="228"/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</row>
    <row r="202" spans="1:14" x14ac:dyDescent="0.25">
      <c r="A202" s="228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</row>
    <row r="203" spans="1:14" x14ac:dyDescent="0.25">
      <c r="A203" s="228"/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</row>
    <row r="204" spans="1:14" x14ac:dyDescent="0.25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</row>
    <row r="205" spans="1:14" x14ac:dyDescent="0.25">
      <c r="A205" s="228"/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</row>
    <row r="206" spans="1:14" x14ac:dyDescent="0.25">
      <c r="A206" s="228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</row>
    <row r="207" spans="1:14" x14ac:dyDescent="0.25">
      <c r="A207" s="228"/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</row>
    <row r="208" spans="1:14" x14ac:dyDescent="0.25">
      <c r="A208" s="228"/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</row>
    <row r="209" spans="1:14" x14ac:dyDescent="0.25">
      <c r="A209" s="228"/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</row>
    <row r="210" spans="1:14" x14ac:dyDescent="0.25">
      <c r="A210" s="228"/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</row>
    <row r="211" spans="1:14" x14ac:dyDescent="0.25">
      <c r="A211" s="228"/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</row>
    <row r="212" spans="1:14" x14ac:dyDescent="0.25">
      <c r="A212" s="228"/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</row>
    <row r="213" spans="1:14" x14ac:dyDescent="0.25">
      <c r="A213" s="228"/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</row>
    <row r="214" spans="1:14" x14ac:dyDescent="0.25">
      <c r="A214" s="228"/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8"/>
    </row>
    <row r="215" spans="1:14" x14ac:dyDescent="0.25">
      <c r="A215" s="228"/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</row>
    <row r="216" spans="1:14" x14ac:dyDescent="0.25">
      <c r="A216" s="228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8"/>
    </row>
    <row r="217" spans="1:14" x14ac:dyDescent="0.25">
      <c r="A217" s="228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8"/>
    </row>
    <row r="218" spans="1:14" x14ac:dyDescent="0.25">
      <c r="A218" s="228"/>
      <c r="B218" s="228"/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8"/>
    </row>
    <row r="219" spans="1:14" x14ac:dyDescent="0.25">
      <c r="A219" s="228"/>
      <c r="B219" s="228"/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</row>
    <row r="220" spans="1:14" x14ac:dyDescent="0.25">
      <c r="A220" s="228"/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</row>
    <row r="221" spans="1:14" x14ac:dyDescent="0.25">
      <c r="A221" s="228"/>
      <c r="B221" s="228"/>
      <c r="C221" s="228"/>
      <c r="D221" s="228"/>
      <c r="E221" s="228"/>
      <c r="F221" s="228"/>
      <c r="G221" s="228"/>
      <c r="H221" s="228"/>
      <c r="I221" s="228"/>
      <c r="J221" s="228"/>
      <c r="K221" s="228"/>
      <c r="L221" s="228"/>
      <c r="M221" s="228"/>
      <c r="N221" s="228"/>
    </row>
    <row r="222" spans="1:14" x14ac:dyDescent="0.25">
      <c r="A222" s="228"/>
      <c r="B222" s="228"/>
      <c r="C222" s="228"/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</row>
    <row r="223" spans="1:14" x14ac:dyDescent="0.25">
      <c r="A223" s="228"/>
      <c r="B223" s="228"/>
      <c r="C223" s="228"/>
      <c r="D223" s="228"/>
      <c r="E223" s="228"/>
      <c r="F223" s="228"/>
      <c r="G223" s="228"/>
      <c r="H223" s="228"/>
      <c r="I223" s="228"/>
      <c r="J223" s="228"/>
      <c r="K223" s="228"/>
      <c r="L223" s="228"/>
      <c r="M223" s="228"/>
      <c r="N223" s="228"/>
    </row>
    <row r="224" spans="1:14" x14ac:dyDescent="0.25">
      <c r="A224" s="228"/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8"/>
    </row>
    <row r="225" spans="1:14" x14ac:dyDescent="0.25">
      <c r="A225" s="228"/>
      <c r="B225" s="228"/>
      <c r="C225" s="228"/>
      <c r="D225" s="228"/>
      <c r="E225" s="228"/>
      <c r="F225" s="228"/>
      <c r="G225" s="228"/>
      <c r="H225" s="228"/>
      <c r="I225" s="228"/>
      <c r="J225" s="228"/>
      <c r="K225" s="228"/>
      <c r="L225" s="228"/>
      <c r="M225" s="228"/>
      <c r="N225" s="228"/>
    </row>
    <row r="226" spans="1:14" x14ac:dyDescent="0.25">
      <c r="A226" s="228"/>
      <c r="B226" s="228"/>
      <c r="C226" s="228"/>
      <c r="D226" s="228"/>
      <c r="E226" s="228"/>
      <c r="F226" s="228"/>
      <c r="G226" s="228"/>
      <c r="H226" s="228"/>
      <c r="I226" s="228"/>
      <c r="J226" s="228"/>
      <c r="K226" s="228"/>
      <c r="L226" s="228"/>
      <c r="M226" s="228"/>
      <c r="N226" s="228"/>
    </row>
    <row r="227" spans="1:14" x14ac:dyDescent="0.25">
      <c r="A227" s="228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  <c r="M227" s="228"/>
      <c r="N227" s="228"/>
    </row>
    <row r="228" spans="1:14" x14ac:dyDescent="0.25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</row>
    <row r="229" spans="1:14" x14ac:dyDescent="0.25">
      <c r="A229" s="228"/>
      <c r="B229" s="228"/>
      <c r="C229" s="228"/>
      <c r="D229" s="228"/>
      <c r="E229" s="228"/>
      <c r="F229" s="228"/>
      <c r="G229" s="228"/>
      <c r="H229" s="228"/>
      <c r="I229" s="228"/>
      <c r="J229" s="228"/>
      <c r="K229" s="228"/>
      <c r="L229" s="228"/>
      <c r="M229" s="228"/>
      <c r="N229" s="228"/>
    </row>
    <row r="230" spans="1:14" x14ac:dyDescent="0.25">
      <c r="A230" s="228"/>
      <c r="B230" s="228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8"/>
    </row>
    <row r="231" spans="1:14" x14ac:dyDescent="0.25">
      <c r="A231" s="228"/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  <c r="M231" s="228"/>
      <c r="N231" s="228"/>
    </row>
    <row r="232" spans="1:14" x14ac:dyDescent="0.25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</row>
    <row r="233" spans="1:14" x14ac:dyDescent="0.25">
      <c r="A233" s="228"/>
      <c r="B233" s="228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8"/>
    </row>
    <row r="234" spans="1:14" x14ac:dyDescent="0.25">
      <c r="A234" s="228"/>
      <c r="B234" s="228"/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  <c r="M234" s="228"/>
      <c r="N234" s="228"/>
    </row>
    <row r="235" spans="1:14" x14ac:dyDescent="0.25">
      <c r="A235" s="228"/>
      <c r="B235" s="228"/>
      <c r="C235" s="228"/>
      <c r="D235" s="228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</row>
    <row r="236" spans="1:14" x14ac:dyDescent="0.25">
      <c r="A236" s="228"/>
      <c r="B236" s="228"/>
      <c r="C236" s="228"/>
      <c r="D236" s="228"/>
      <c r="E236" s="228"/>
      <c r="F236" s="228"/>
      <c r="G236" s="228"/>
      <c r="H236" s="228"/>
      <c r="I236" s="228"/>
      <c r="J236" s="228"/>
      <c r="K236" s="228"/>
      <c r="L236" s="228"/>
      <c r="M236" s="228"/>
      <c r="N236" s="228"/>
    </row>
    <row r="237" spans="1:14" x14ac:dyDescent="0.25">
      <c r="A237" s="228"/>
      <c r="B237" s="228"/>
      <c r="C237" s="228"/>
      <c r="D237" s="228"/>
      <c r="E237" s="228"/>
      <c r="F237" s="228"/>
      <c r="G237" s="228"/>
      <c r="H237" s="228"/>
      <c r="I237" s="228"/>
      <c r="J237" s="228"/>
      <c r="K237" s="228"/>
      <c r="L237" s="228"/>
      <c r="M237" s="228"/>
      <c r="N237" s="228"/>
    </row>
    <row r="238" spans="1:14" x14ac:dyDescent="0.25">
      <c r="A238" s="228"/>
      <c r="B238" s="228"/>
      <c r="C238" s="228"/>
      <c r="D238" s="228"/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</row>
    <row r="239" spans="1:14" x14ac:dyDescent="0.25">
      <c r="A239" s="228"/>
      <c r="B239" s="228"/>
      <c r="C239" s="228"/>
      <c r="D239" s="228"/>
      <c r="E239" s="228"/>
      <c r="F239" s="228"/>
      <c r="G239" s="228"/>
      <c r="H239" s="228"/>
      <c r="I239" s="228"/>
      <c r="J239" s="228"/>
      <c r="K239" s="228"/>
      <c r="L239" s="228"/>
      <c r="M239" s="228"/>
      <c r="N239" s="228"/>
    </row>
    <row r="240" spans="1:14" x14ac:dyDescent="0.25">
      <c r="A240" s="228"/>
      <c r="B240" s="228"/>
      <c r="C240" s="228"/>
      <c r="D240" s="228"/>
      <c r="E240" s="228"/>
      <c r="F240" s="228"/>
      <c r="G240" s="228"/>
      <c r="H240" s="228"/>
      <c r="I240" s="228"/>
      <c r="J240" s="228"/>
      <c r="K240" s="228"/>
      <c r="L240" s="228"/>
      <c r="M240" s="228"/>
      <c r="N240" s="228"/>
    </row>
    <row r="241" spans="1:14" x14ac:dyDescent="0.25">
      <c r="A241" s="228"/>
      <c r="B241" s="228"/>
      <c r="C241" s="228"/>
      <c r="D241" s="228"/>
      <c r="E241" s="228"/>
      <c r="F241" s="228"/>
      <c r="G241" s="228"/>
      <c r="H241" s="228"/>
      <c r="I241" s="228"/>
      <c r="J241" s="228"/>
      <c r="K241" s="228"/>
      <c r="L241" s="228"/>
      <c r="M241" s="228"/>
      <c r="N241" s="228"/>
    </row>
    <row r="242" spans="1:14" x14ac:dyDescent="0.25">
      <c r="A242" s="228"/>
      <c r="B242" s="228"/>
      <c r="C242" s="228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228"/>
    </row>
    <row r="243" spans="1:14" x14ac:dyDescent="0.25">
      <c r="A243" s="228"/>
      <c r="B243" s="228"/>
      <c r="C243" s="228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</row>
    <row r="244" spans="1:14" x14ac:dyDescent="0.25">
      <c r="A244" s="228"/>
      <c r="B244" s="228"/>
      <c r="C244" s="228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228"/>
    </row>
    <row r="245" spans="1:14" x14ac:dyDescent="0.25">
      <c r="A245" s="228"/>
      <c r="B245" s="228"/>
      <c r="C245" s="228"/>
      <c r="D245" s="228"/>
      <c r="E245" s="228"/>
      <c r="F245" s="228"/>
      <c r="G245" s="228"/>
      <c r="H245" s="228"/>
      <c r="I245" s="228"/>
      <c r="J245" s="228"/>
      <c r="K245" s="228"/>
      <c r="L245" s="228"/>
      <c r="M245" s="228"/>
      <c r="N245" s="228"/>
    </row>
    <row r="246" spans="1:14" x14ac:dyDescent="0.25">
      <c r="A246" s="228"/>
      <c r="B246" s="228"/>
      <c r="C246" s="228"/>
      <c r="D246" s="228"/>
      <c r="E246" s="228"/>
      <c r="F246" s="228"/>
      <c r="G246" s="228"/>
      <c r="H246" s="228"/>
      <c r="I246" s="228"/>
      <c r="J246" s="228"/>
      <c r="K246" s="228"/>
      <c r="L246" s="228"/>
      <c r="M246" s="228"/>
      <c r="N246" s="228"/>
    </row>
    <row r="247" spans="1:14" x14ac:dyDescent="0.25">
      <c r="A247" s="228"/>
      <c r="B247" s="228"/>
      <c r="C247" s="228"/>
      <c r="D247" s="228"/>
      <c r="E247" s="228"/>
      <c r="F247" s="228"/>
      <c r="G247" s="228"/>
      <c r="H247" s="228"/>
      <c r="I247" s="228"/>
      <c r="J247" s="228"/>
      <c r="K247" s="228"/>
      <c r="L247" s="228"/>
      <c r="M247" s="228"/>
      <c r="N247" s="228"/>
    </row>
    <row r="248" spans="1:14" x14ac:dyDescent="0.25">
      <c r="A248" s="228"/>
      <c r="B248" s="228"/>
      <c r="C248" s="228"/>
      <c r="D248" s="228"/>
      <c r="E248" s="228"/>
      <c r="F248" s="228"/>
      <c r="G248" s="228"/>
      <c r="H248" s="228"/>
      <c r="I248" s="228"/>
      <c r="J248" s="228"/>
      <c r="K248" s="228"/>
      <c r="L248" s="228"/>
      <c r="M248" s="228"/>
      <c r="N248" s="228"/>
    </row>
    <row r="249" spans="1:14" x14ac:dyDescent="0.25">
      <c r="A249" s="228"/>
      <c r="B249" s="228"/>
      <c r="C249" s="228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</row>
    <row r="250" spans="1:14" x14ac:dyDescent="0.25">
      <c r="A250" s="228"/>
      <c r="B250" s="228"/>
      <c r="C250" s="228"/>
      <c r="D250" s="228"/>
      <c r="E250" s="228"/>
      <c r="F250" s="228"/>
      <c r="G250" s="228"/>
      <c r="H250" s="228"/>
      <c r="I250" s="228"/>
      <c r="J250" s="228"/>
      <c r="K250" s="228"/>
      <c r="L250" s="228"/>
      <c r="M250" s="228"/>
      <c r="N250" s="228"/>
    </row>
    <row r="251" spans="1:14" x14ac:dyDescent="0.25">
      <c r="A251" s="228"/>
      <c r="B251" s="228"/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</row>
    <row r="252" spans="1:14" x14ac:dyDescent="0.25">
      <c r="A252" s="228"/>
      <c r="B252" s="228"/>
      <c r="C252" s="228"/>
      <c r="D252" s="228"/>
      <c r="E252" s="228"/>
      <c r="F252" s="228"/>
      <c r="G252" s="228"/>
      <c r="H252" s="228"/>
      <c r="I252" s="228"/>
      <c r="J252" s="228"/>
      <c r="K252" s="228"/>
      <c r="L252" s="228"/>
      <c r="M252" s="228"/>
      <c r="N252" s="228"/>
    </row>
    <row r="253" spans="1:14" x14ac:dyDescent="0.25">
      <c r="A253" s="228"/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</row>
    <row r="254" spans="1:14" x14ac:dyDescent="0.25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</row>
    <row r="255" spans="1:14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</row>
    <row r="256" spans="1:14" x14ac:dyDescent="0.25">
      <c r="A256" s="228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</row>
    <row r="257" spans="1:14" x14ac:dyDescent="0.25">
      <c r="A257" s="228"/>
      <c r="B257" s="228"/>
      <c r="C257" s="228"/>
      <c r="D257" s="228"/>
      <c r="E257" s="228"/>
      <c r="F257" s="228"/>
      <c r="G257" s="228"/>
      <c r="H257" s="228"/>
      <c r="I257" s="228"/>
      <c r="J257" s="228"/>
      <c r="K257" s="228"/>
      <c r="L257" s="228"/>
      <c r="M257" s="228"/>
      <c r="N257" s="228"/>
    </row>
    <row r="258" spans="1:14" x14ac:dyDescent="0.25">
      <c r="A258" s="228"/>
      <c r="B258" s="228"/>
      <c r="C258" s="228"/>
      <c r="D258" s="228"/>
      <c r="E258" s="228"/>
      <c r="F258" s="228"/>
      <c r="G258" s="228"/>
      <c r="H258" s="228"/>
      <c r="I258" s="228"/>
      <c r="J258" s="228"/>
      <c r="K258" s="228"/>
      <c r="L258" s="228"/>
      <c r="M258" s="228"/>
      <c r="N258" s="228"/>
    </row>
    <row r="259" spans="1:14" x14ac:dyDescent="0.25">
      <c r="A259" s="228"/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</row>
    <row r="260" spans="1:14" x14ac:dyDescent="0.25">
      <c r="A260" s="228"/>
      <c r="B260" s="228"/>
      <c r="C260" s="228"/>
      <c r="D260" s="228"/>
      <c r="E260" s="228"/>
      <c r="F260" s="228"/>
      <c r="G260" s="228"/>
      <c r="H260" s="228"/>
      <c r="I260" s="228"/>
      <c r="J260" s="228"/>
      <c r="K260" s="228"/>
      <c r="L260" s="228"/>
      <c r="M260" s="228"/>
      <c r="N260" s="228"/>
    </row>
    <row r="261" spans="1:14" x14ac:dyDescent="0.25">
      <c r="A261" s="228"/>
      <c r="B261" s="228"/>
      <c r="C261" s="228"/>
      <c r="D261" s="228"/>
      <c r="E261" s="228"/>
      <c r="F261" s="228"/>
      <c r="G261" s="228"/>
      <c r="H261" s="228"/>
      <c r="I261" s="228"/>
      <c r="J261" s="228"/>
      <c r="K261" s="228"/>
      <c r="L261" s="228"/>
      <c r="M261" s="228"/>
      <c r="N261" s="228"/>
    </row>
    <row r="262" spans="1:14" x14ac:dyDescent="0.25">
      <c r="A262" s="228"/>
      <c r="B262" s="228"/>
      <c r="C262" s="228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</row>
    <row r="263" spans="1:14" x14ac:dyDescent="0.25">
      <c r="A263" s="228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  <c r="M263" s="228"/>
      <c r="N263" s="228"/>
    </row>
    <row r="264" spans="1:14" x14ac:dyDescent="0.25">
      <c r="A264" s="228"/>
      <c r="B264" s="228"/>
      <c r="C264" s="228"/>
      <c r="D264" s="228"/>
      <c r="E264" s="228"/>
      <c r="F264" s="228"/>
      <c r="G264" s="228"/>
      <c r="H264" s="228"/>
      <c r="I264" s="228"/>
      <c r="J264" s="228"/>
      <c r="K264" s="228"/>
      <c r="L264" s="228"/>
      <c r="M264" s="228"/>
      <c r="N264" s="228"/>
    </row>
    <row r="265" spans="1:14" x14ac:dyDescent="0.25">
      <c r="A265" s="228"/>
      <c r="B265" s="228"/>
      <c r="C265" s="228"/>
      <c r="D265" s="228"/>
      <c r="E265" s="228"/>
      <c r="F265" s="228"/>
      <c r="G265" s="228"/>
      <c r="H265" s="228"/>
      <c r="I265" s="228"/>
      <c r="J265" s="228"/>
      <c r="K265" s="228"/>
      <c r="L265" s="228"/>
      <c r="M265" s="228"/>
      <c r="N265" s="228"/>
    </row>
    <row r="266" spans="1:14" x14ac:dyDescent="0.25">
      <c r="A266" s="228"/>
      <c r="B266" s="228"/>
      <c r="C266" s="228"/>
      <c r="D266" s="228"/>
      <c r="E266" s="228"/>
      <c r="F266" s="228"/>
      <c r="G266" s="228"/>
      <c r="H266" s="228"/>
      <c r="I266" s="228"/>
      <c r="J266" s="228"/>
      <c r="K266" s="228"/>
      <c r="L266" s="228"/>
      <c r="M266" s="228"/>
      <c r="N266" s="228"/>
    </row>
    <row r="267" spans="1:14" x14ac:dyDescent="0.25">
      <c r="A267" s="228"/>
      <c r="B267" s="228"/>
      <c r="C267" s="228"/>
      <c r="D267" s="228"/>
      <c r="E267" s="228"/>
      <c r="F267" s="228"/>
      <c r="G267" s="228"/>
      <c r="H267" s="228"/>
      <c r="I267" s="228"/>
      <c r="J267" s="228"/>
      <c r="K267" s="228"/>
      <c r="L267" s="228"/>
      <c r="M267" s="228"/>
      <c r="N267" s="228"/>
    </row>
    <row r="268" spans="1:14" x14ac:dyDescent="0.25">
      <c r="A268" s="228"/>
      <c r="B268" s="228"/>
      <c r="C268" s="228"/>
      <c r="D268" s="228"/>
      <c r="E268" s="228"/>
      <c r="F268" s="228"/>
      <c r="G268" s="228"/>
      <c r="H268" s="228"/>
      <c r="I268" s="228"/>
      <c r="J268" s="228"/>
      <c r="K268" s="228"/>
      <c r="L268" s="228"/>
      <c r="M268" s="228"/>
      <c r="N268" s="228"/>
    </row>
    <row r="269" spans="1:14" x14ac:dyDescent="0.25">
      <c r="A269" s="228"/>
      <c r="B269" s="228"/>
      <c r="C269" s="228"/>
      <c r="D269" s="228"/>
      <c r="E269" s="228"/>
      <c r="F269" s="228"/>
      <c r="G269" s="228"/>
      <c r="H269" s="228"/>
      <c r="I269" s="228"/>
      <c r="J269" s="228"/>
      <c r="K269" s="228"/>
      <c r="L269" s="228"/>
      <c r="M269" s="228"/>
      <c r="N269" s="228"/>
    </row>
    <row r="270" spans="1:14" x14ac:dyDescent="0.25">
      <c r="A270" s="228"/>
      <c r="B270" s="228"/>
      <c r="C270" s="228"/>
      <c r="D270" s="228"/>
      <c r="E270" s="228"/>
      <c r="F270" s="228"/>
      <c r="G270" s="228"/>
      <c r="H270" s="228"/>
      <c r="I270" s="228"/>
      <c r="J270" s="228"/>
      <c r="K270" s="228"/>
      <c r="L270" s="228"/>
      <c r="M270" s="228"/>
      <c r="N270" s="228"/>
    </row>
    <row r="271" spans="1:14" x14ac:dyDescent="0.25">
      <c r="A271" s="228"/>
      <c r="B271" s="228"/>
      <c r="C271" s="228"/>
      <c r="D271" s="228"/>
      <c r="E271" s="228"/>
      <c r="F271" s="228"/>
      <c r="G271" s="228"/>
      <c r="H271" s="228"/>
      <c r="I271" s="228"/>
      <c r="J271" s="228"/>
      <c r="K271" s="228"/>
      <c r="L271" s="228"/>
      <c r="M271" s="228"/>
      <c r="N271" s="228"/>
    </row>
    <row r="272" spans="1:14" x14ac:dyDescent="0.25">
      <c r="A272" s="228"/>
      <c r="B272" s="228"/>
      <c r="C272" s="228"/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</row>
    <row r="273" spans="1:14" x14ac:dyDescent="0.25">
      <c r="A273" s="228"/>
      <c r="B273" s="228"/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</row>
    <row r="274" spans="1:14" x14ac:dyDescent="0.25">
      <c r="A274" s="228"/>
      <c r="B274" s="228"/>
      <c r="C274" s="228"/>
      <c r="D274" s="228"/>
      <c r="E274" s="228"/>
      <c r="F274" s="228"/>
      <c r="G274" s="228"/>
      <c r="H274" s="228"/>
      <c r="I274" s="228"/>
      <c r="J274" s="228"/>
      <c r="K274" s="228"/>
      <c r="L274" s="228"/>
      <c r="M274" s="228"/>
      <c r="N274" s="228"/>
    </row>
    <row r="275" spans="1:14" x14ac:dyDescent="0.25">
      <c r="A275" s="228"/>
      <c r="B275" s="228"/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</row>
    <row r="276" spans="1:14" x14ac:dyDescent="0.25">
      <c r="A276" s="228"/>
      <c r="B276" s="228"/>
      <c r="C276" s="228"/>
      <c r="D276" s="228"/>
      <c r="E276" s="228"/>
      <c r="F276" s="228"/>
      <c r="G276" s="228"/>
      <c r="H276" s="228"/>
      <c r="I276" s="228"/>
      <c r="J276" s="228"/>
      <c r="K276" s="228"/>
      <c r="L276" s="228"/>
      <c r="M276" s="228"/>
      <c r="N276" s="228"/>
    </row>
    <row r="277" spans="1:14" x14ac:dyDescent="0.25">
      <c r="A277" s="228"/>
      <c r="B277" s="228"/>
      <c r="C277" s="228"/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</row>
    <row r="278" spans="1:14" x14ac:dyDescent="0.25">
      <c r="A278" s="228"/>
      <c r="B278" s="228"/>
      <c r="C278" s="228"/>
      <c r="D278" s="228"/>
      <c r="E278" s="228"/>
      <c r="F278" s="228"/>
      <c r="G278" s="228"/>
      <c r="H278" s="228"/>
      <c r="I278" s="228"/>
      <c r="J278" s="228"/>
      <c r="K278" s="228"/>
      <c r="L278" s="228"/>
      <c r="M278" s="228"/>
      <c r="N278" s="228"/>
    </row>
    <row r="279" spans="1:14" x14ac:dyDescent="0.25">
      <c r="A279" s="228"/>
      <c r="B279" s="228"/>
      <c r="C279" s="228"/>
      <c r="D279" s="228"/>
      <c r="E279" s="228"/>
      <c r="F279" s="228"/>
      <c r="G279" s="228"/>
      <c r="H279" s="228"/>
      <c r="I279" s="228"/>
      <c r="J279" s="228"/>
      <c r="K279" s="228"/>
      <c r="L279" s="228"/>
      <c r="M279" s="228"/>
      <c r="N279" s="228"/>
    </row>
    <row r="280" spans="1:14" x14ac:dyDescent="0.25">
      <c r="A280" s="228"/>
      <c r="B280" s="228"/>
      <c r="C280" s="228"/>
      <c r="D280" s="228"/>
      <c r="E280" s="228"/>
      <c r="F280" s="228"/>
      <c r="G280" s="228"/>
      <c r="H280" s="228"/>
      <c r="I280" s="228"/>
      <c r="J280" s="228"/>
      <c r="K280" s="228"/>
      <c r="L280" s="228"/>
      <c r="M280" s="228"/>
      <c r="N280" s="228"/>
    </row>
    <row r="281" spans="1:14" x14ac:dyDescent="0.25">
      <c r="A281" s="228"/>
      <c r="B281" s="228"/>
      <c r="C281" s="228"/>
      <c r="D281" s="228"/>
      <c r="E281" s="228"/>
      <c r="F281" s="228"/>
      <c r="G281" s="228"/>
      <c r="H281" s="228"/>
      <c r="I281" s="228"/>
      <c r="J281" s="228"/>
      <c r="K281" s="228"/>
      <c r="L281" s="228"/>
      <c r="M281" s="228"/>
      <c r="N281" s="228"/>
    </row>
    <row r="282" spans="1:14" x14ac:dyDescent="0.25">
      <c r="A282" s="228"/>
      <c r="B282" s="228"/>
      <c r="C282" s="228"/>
      <c r="D282" s="228"/>
      <c r="E282" s="228"/>
      <c r="F282" s="228"/>
      <c r="G282" s="228"/>
      <c r="H282" s="228"/>
      <c r="I282" s="228"/>
      <c r="J282" s="228"/>
      <c r="K282" s="228"/>
      <c r="L282" s="228"/>
      <c r="M282" s="228"/>
      <c r="N282" s="228"/>
    </row>
    <row r="283" spans="1:14" x14ac:dyDescent="0.25">
      <c r="A283" s="228"/>
      <c r="B283" s="228"/>
      <c r="C283" s="228"/>
      <c r="D283" s="228"/>
      <c r="E283" s="228"/>
      <c r="F283" s="228"/>
      <c r="G283" s="228"/>
      <c r="H283" s="228"/>
      <c r="I283" s="228"/>
      <c r="J283" s="228"/>
      <c r="K283" s="228"/>
      <c r="L283" s="228"/>
      <c r="M283" s="228"/>
      <c r="N283" s="228"/>
    </row>
    <row r="284" spans="1:14" x14ac:dyDescent="0.25">
      <c r="A284" s="228"/>
      <c r="B284" s="228"/>
      <c r="C284" s="228"/>
      <c r="D284" s="228"/>
      <c r="E284" s="228"/>
      <c r="F284" s="228"/>
      <c r="G284" s="228"/>
      <c r="H284" s="228"/>
      <c r="I284" s="228"/>
      <c r="J284" s="228"/>
      <c r="K284" s="228"/>
      <c r="L284" s="228"/>
      <c r="M284" s="228"/>
      <c r="N284" s="228"/>
    </row>
    <row r="285" spans="1:14" x14ac:dyDescent="0.25">
      <c r="A285" s="228"/>
      <c r="B285" s="228"/>
      <c r="C285" s="228"/>
      <c r="D285" s="228"/>
      <c r="E285" s="228"/>
      <c r="F285" s="228"/>
      <c r="G285" s="228"/>
      <c r="H285" s="228"/>
      <c r="I285" s="228"/>
      <c r="J285" s="228"/>
      <c r="K285" s="228"/>
      <c r="L285" s="228"/>
      <c r="M285" s="228"/>
      <c r="N285" s="228"/>
    </row>
    <row r="286" spans="1:14" x14ac:dyDescent="0.25">
      <c r="A286" s="228"/>
      <c r="B286" s="228"/>
      <c r="C286" s="228"/>
      <c r="D286" s="228"/>
      <c r="E286" s="228"/>
      <c r="F286" s="228"/>
      <c r="G286" s="228"/>
      <c r="H286" s="228"/>
      <c r="I286" s="228"/>
      <c r="J286" s="228"/>
      <c r="K286" s="228"/>
      <c r="L286" s="228"/>
      <c r="M286" s="228"/>
      <c r="N286" s="228"/>
    </row>
    <row r="287" spans="1:14" x14ac:dyDescent="0.25">
      <c r="A287" s="228"/>
      <c r="B287" s="228"/>
      <c r="C287" s="228"/>
      <c r="D287" s="228"/>
      <c r="E287" s="228"/>
      <c r="F287" s="228"/>
      <c r="G287" s="228"/>
      <c r="H287" s="228"/>
      <c r="I287" s="228"/>
      <c r="J287" s="228"/>
      <c r="K287" s="228"/>
      <c r="L287" s="228"/>
      <c r="M287" s="228"/>
      <c r="N287" s="228"/>
    </row>
    <row r="288" spans="1:14" x14ac:dyDescent="0.25">
      <c r="A288" s="228"/>
      <c r="B288" s="228"/>
      <c r="C288" s="228"/>
      <c r="D288" s="228"/>
      <c r="E288" s="228"/>
      <c r="F288" s="228"/>
      <c r="G288" s="228"/>
      <c r="H288" s="228"/>
      <c r="I288" s="228"/>
      <c r="J288" s="228"/>
      <c r="K288" s="228"/>
      <c r="L288" s="228"/>
      <c r="M288" s="228"/>
      <c r="N288" s="228"/>
    </row>
    <row r="289" spans="1:14" x14ac:dyDescent="0.25">
      <c r="A289" s="228"/>
      <c r="B289" s="228"/>
      <c r="C289" s="228"/>
      <c r="D289" s="228"/>
      <c r="E289" s="228"/>
      <c r="F289" s="228"/>
      <c r="G289" s="228"/>
      <c r="H289" s="228"/>
      <c r="I289" s="228"/>
      <c r="J289" s="228"/>
      <c r="K289" s="228"/>
      <c r="L289" s="228"/>
      <c r="M289" s="228"/>
      <c r="N289" s="228"/>
    </row>
    <row r="290" spans="1:14" x14ac:dyDescent="0.25">
      <c r="A290" s="228"/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  <c r="M290" s="228"/>
      <c r="N290" s="228"/>
    </row>
    <row r="291" spans="1:14" x14ac:dyDescent="0.25">
      <c r="A291" s="228"/>
      <c r="B291" s="228"/>
      <c r="C291" s="228"/>
      <c r="D291" s="228"/>
      <c r="E291" s="228"/>
      <c r="F291" s="228"/>
      <c r="G291" s="228"/>
      <c r="H291" s="228"/>
      <c r="I291" s="228"/>
      <c r="J291" s="228"/>
      <c r="K291" s="228"/>
      <c r="L291" s="228"/>
      <c r="M291" s="228"/>
      <c r="N291" s="228"/>
    </row>
    <row r="292" spans="1:14" x14ac:dyDescent="0.25">
      <c r="A292" s="228"/>
      <c r="B292" s="228"/>
      <c r="C292" s="228"/>
      <c r="D292" s="228"/>
      <c r="E292" s="228"/>
      <c r="F292" s="228"/>
      <c r="G292" s="228"/>
      <c r="H292" s="228"/>
      <c r="I292" s="228"/>
      <c r="J292" s="228"/>
      <c r="K292" s="228"/>
      <c r="L292" s="228"/>
      <c r="M292" s="228"/>
      <c r="N292" s="228"/>
    </row>
    <row r="293" spans="1:14" x14ac:dyDescent="0.25">
      <c r="A293" s="228"/>
      <c r="B293" s="228"/>
      <c r="C293" s="228"/>
      <c r="D293" s="228"/>
      <c r="E293" s="228"/>
      <c r="F293" s="228"/>
      <c r="G293" s="228"/>
      <c r="H293" s="228"/>
      <c r="I293" s="228"/>
      <c r="J293" s="228"/>
      <c r="K293" s="228"/>
      <c r="L293" s="228"/>
      <c r="M293" s="228"/>
      <c r="N293" s="228"/>
    </row>
    <row r="294" spans="1:14" x14ac:dyDescent="0.25">
      <c r="A294" s="228"/>
      <c r="B294" s="228"/>
      <c r="C294" s="228"/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</row>
    <row r="295" spans="1:14" x14ac:dyDescent="0.25">
      <c r="A295" s="228"/>
      <c r="B295" s="228"/>
      <c r="C295" s="228"/>
      <c r="D295" s="228"/>
      <c r="E295" s="228"/>
      <c r="F295" s="228"/>
      <c r="G295" s="228"/>
      <c r="H295" s="228"/>
      <c r="I295" s="228"/>
      <c r="J295" s="228"/>
      <c r="K295" s="228"/>
      <c r="L295" s="228"/>
      <c r="M295" s="228"/>
      <c r="N295" s="228"/>
    </row>
    <row r="296" spans="1:14" x14ac:dyDescent="0.25">
      <c r="A296" s="228"/>
      <c r="B296" s="228"/>
      <c r="C296" s="228"/>
      <c r="D296" s="228"/>
      <c r="E296" s="228"/>
      <c r="F296" s="228"/>
      <c r="G296" s="228"/>
      <c r="H296" s="228"/>
      <c r="I296" s="228"/>
      <c r="J296" s="228"/>
      <c r="K296" s="228"/>
      <c r="L296" s="228"/>
      <c r="M296" s="228"/>
      <c r="N296" s="228"/>
    </row>
    <row r="297" spans="1:14" x14ac:dyDescent="0.25">
      <c r="A297" s="228"/>
      <c r="B297" s="228"/>
      <c r="C297" s="228"/>
      <c r="D297" s="228"/>
      <c r="E297" s="228"/>
      <c r="F297" s="228"/>
      <c r="G297" s="228"/>
      <c r="H297" s="228"/>
      <c r="I297" s="228"/>
      <c r="J297" s="228"/>
      <c r="K297" s="228"/>
      <c r="L297" s="228"/>
      <c r="M297" s="228"/>
      <c r="N297" s="228"/>
    </row>
  </sheetData>
  <mergeCells count="2">
    <mergeCell ref="A1:K1"/>
    <mergeCell ref="F30:M30"/>
  </mergeCells>
  <pageMargins left="0.7" right="0.7" top="0.75" bottom="0.75" header="0.3" footer="0.3"/>
  <pageSetup paperSize="9" scale="63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1B7C-DCD1-4D9B-BEFB-D10E1566332B}">
  <sheetPr codeName="Sheet27">
    <pageSetUpPr fitToPage="1"/>
  </sheetPr>
  <dimension ref="A1:M363"/>
  <sheetViews>
    <sheetView showGridLines="0" zoomScaleNormal="100" workbookViewId="0">
      <selection sqref="A1:L1"/>
    </sheetView>
  </sheetViews>
  <sheetFormatPr defaultColWidth="9" defaultRowHeight="15" x14ac:dyDescent="0.25"/>
  <cols>
    <col min="1" max="1" width="36" style="225" customWidth="1"/>
    <col min="2" max="7" width="9" style="225"/>
    <col min="8" max="12" width="9" style="225" customWidth="1"/>
    <col min="13" max="16384" width="9" style="225"/>
  </cols>
  <sheetData>
    <row r="1" spans="1:13" x14ac:dyDescent="0.25">
      <c r="A1" s="1600" t="s">
        <v>463</v>
      </c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</row>
    <row r="2" spans="1:13" x14ac:dyDescent="0.25">
      <c r="A2" s="226"/>
      <c r="B2" s="250">
        <v>2011</v>
      </c>
      <c r="C2" s="250">
        <v>2012</v>
      </c>
      <c r="D2" s="250">
        <v>2013</v>
      </c>
      <c r="E2" s="250">
        <v>2014</v>
      </c>
      <c r="F2" s="250">
        <v>2015</v>
      </c>
      <c r="G2" s="250">
        <v>2016</v>
      </c>
      <c r="H2" s="250">
        <v>2017</v>
      </c>
      <c r="I2" s="250">
        <v>2018</v>
      </c>
      <c r="J2" s="250">
        <v>2019</v>
      </c>
      <c r="K2" s="250">
        <v>2020</v>
      </c>
      <c r="L2" s="250">
        <v>2021</v>
      </c>
      <c r="M2" s="228"/>
    </row>
    <row r="3" spans="1:13" x14ac:dyDescent="0.25">
      <c r="A3" s="231" t="s">
        <v>170</v>
      </c>
      <c r="B3" s="251">
        <v>2.4749965767785298</v>
      </c>
      <c r="C3" s="251">
        <v>8.4892338693052025</v>
      </c>
      <c r="D3" s="251">
        <v>2.5743002320916304</v>
      </c>
      <c r="E3" s="251">
        <v>-1.2154841109417518</v>
      </c>
      <c r="F3" s="251">
        <v>-1.3428728901587874</v>
      </c>
      <c r="G3" s="251">
        <v>-0.40777634746286395</v>
      </c>
      <c r="H3" s="251">
        <v>-0.8251098395294818</v>
      </c>
      <c r="I3" s="252">
        <v>-2.2204032897048691</v>
      </c>
      <c r="J3" s="252">
        <v>-0.65140980644411428</v>
      </c>
      <c r="K3" s="252">
        <v>-0.83790322866407507</v>
      </c>
      <c r="L3" s="252">
        <v>-0.91233782384230011</v>
      </c>
      <c r="M3" s="249"/>
    </row>
    <row r="4" spans="1:13" x14ac:dyDescent="0.25">
      <c r="A4" s="230" t="s">
        <v>199</v>
      </c>
      <c r="B4" s="253">
        <v>-1.4204088846404441</v>
      </c>
      <c r="C4" s="253">
        <v>4.1561636217195437</v>
      </c>
      <c r="D4" s="253">
        <v>0.1473418393303989</v>
      </c>
      <c r="E4" s="253">
        <v>-2.9291541849385903</v>
      </c>
      <c r="F4" s="253">
        <v>0.69800768905896948</v>
      </c>
      <c r="G4" s="253">
        <v>0.6829418668424232</v>
      </c>
      <c r="H4" s="253">
        <v>0.47111537656652303</v>
      </c>
      <c r="I4" s="254">
        <v>-0.1079091449284082</v>
      </c>
      <c r="J4" s="254">
        <v>0.24978228069659547</v>
      </c>
      <c r="K4" s="254">
        <v>0.37759312493968711</v>
      </c>
      <c r="L4" s="254">
        <v>0.32811192269961875</v>
      </c>
      <c r="M4" s="249"/>
    </row>
    <row r="5" spans="1:13" x14ac:dyDescent="0.25">
      <c r="A5" s="231" t="s">
        <v>171</v>
      </c>
      <c r="B5" s="251">
        <f>B3-B4</f>
        <v>3.8954054614189739</v>
      </c>
      <c r="C5" s="251">
        <f t="shared" ref="C5:L5" si="0">C3-C4</f>
        <v>4.3330702475856588</v>
      </c>
      <c r="D5" s="251">
        <f t="shared" si="0"/>
        <v>2.4269583927612315</v>
      </c>
      <c r="E5" s="251">
        <f t="shared" si="0"/>
        <v>1.7136700739968385</v>
      </c>
      <c r="F5" s="251">
        <f t="shared" si="0"/>
        <v>-2.0408805792177569</v>
      </c>
      <c r="G5" s="251">
        <f t="shared" si="0"/>
        <v>-1.0907182143052871</v>
      </c>
      <c r="H5" s="251">
        <f t="shared" si="0"/>
        <v>-1.2962252160960048</v>
      </c>
      <c r="I5" s="251">
        <f t="shared" si="0"/>
        <v>-2.1124941447764609</v>
      </c>
      <c r="J5" s="252">
        <f t="shared" si="0"/>
        <v>-0.90119208714070975</v>
      </c>
      <c r="K5" s="252">
        <f t="shared" si="0"/>
        <v>-1.2154963536037622</v>
      </c>
      <c r="L5" s="252">
        <f t="shared" si="0"/>
        <v>-1.2404497465419189</v>
      </c>
      <c r="M5" s="249"/>
    </row>
    <row r="6" spans="1:13" x14ac:dyDescent="0.25">
      <c r="A6" s="230" t="s">
        <v>200</v>
      </c>
      <c r="B6" s="253">
        <v>0.14507498527479515</v>
      </c>
      <c r="C6" s="253">
        <v>-0.78738060753608841</v>
      </c>
      <c r="D6" s="253">
        <v>-0.86871214581413758</v>
      </c>
      <c r="E6" s="253">
        <v>-0.28748512923228148</v>
      </c>
      <c r="F6" s="253">
        <v>-2.1508810776464466</v>
      </c>
      <c r="G6" s="253">
        <v>-1.434532226722691</v>
      </c>
      <c r="H6" s="253">
        <v>-0.206702580644401</v>
      </c>
      <c r="I6" s="254">
        <v>-5.3471729135222801E-2</v>
      </c>
      <c r="J6" s="254">
        <v>-7.0293502230109675E-2</v>
      </c>
      <c r="K6" s="254">
        <v>-6.6003034807252906E-2</v>
      </c>
      <c r="L6" s="254">
        <v>-6.2328027436142248E-2</v>
      </c>
      <c r="M6" s="249"/>
    </row>
    <row r="7" spans="1:13" x14ac:dyDescent="0.25">
      <c r="A7" s="255" t="s">
        <v>201</v>
      </c>
      <c r="B7" s="256">
        <f>B5-B6</f>
        <v>3.7503304761441787</v>
      </c>
      <c r="C7" s="256">
        <f t="shared" ref="C7:L7" si="1">C5-C6</f>
        <v>5.1204508551217476</v>
      </c>
      <c r="D7" s="256">
        <f t="shared" si="1"/>
        <v>3.2956705385753691</v>
      </c>
      <c r="E7" s="256">
        <f t="shared" si="1"/>
        <v>2.00115520322912</v>
      </c>
      <c r="F7" s="256">
        <f t="shared" si="1"/>
        <v>0.11000049842868975</v>
      </c>
      <c r="G7" s="256">
        <f t="shared" si="1"/>
        <v>0.34381401241740384</v>
      </c>
      <c r="H7" s="256">
        <f t="shared" si="1"/>
        <v>-1.0895226354516039</v>
      </c>
      <c r="I7" s="257">
        <f t="shared" si="1"/>
        <v>-2.059022415641238</v>
      </c>
      <c r="J7" s="257">
        <f t="shared" si="1"/>
        <v>-0.83089858491060009</v>
      </c>
      <c r="K7" s="257">
        <f t="shared" si="1"/>
        <v>-1.1494933187965093</v>
      </c>
      <c r="L7" s="257">
        <f t="shared" si="1"/>
        <v>-1.1781217191057767</v>
      </c>
      <c r="M7" s="249"/>
    </row>
    <row r="8" spans="1:13" x14ac:dyDescent="0.25">
      <c r="A8" s="259" t="s">
        <v>202</v>
      </c>
      <c r="B8" s="253">
        <v>0.24440017443704409</v>
      </c>
      <c r="C8" s="253">
        <v>1.8175121781513679</v>
      </c>
      <c r="D8" s="253">
        <v>0.5403741949227383</v>
      </c>
      <c r="E8" s="253">
        <v>0.13432381217188574</v>
      </c>
      <c r="F8" s="253">
        <v>-0.14657902252009777</v>
      </c>
      <c r="G8" s="253">
        <v>0</v>
      </c>
      <c r="H8" s="253">
        <v>0</v>
      </c>
      <c r="I8" s="254">
        <v>0</v>
      </c>
      <c r="J8" s="254">
        <v>0</v>
      </c>
      <c r="K8" s="254">
        <v>0</v>
      </c>
      <c r="L8" s="254">
        <v>0</v>
      </c>
      <c r="M8" s="228"/>
    </row>
    <row r="9" spans="1:13" x14ac:dyDescent="0.25">
      <c r="A9" s="260" t="s">
        <v>203</v>
      </c>
      <c r="B9" s="261">
        <v>3.5059303017071346</v>
      </c>
      <c r="C9" s="261">
        <v>3.3029386769703795</v>
      </c>
      <c r="D9" s="261">
        <v>2.7552963436526308</v>
      </c>
      <c r="E9" s="261">
        <v>1.8668313910572343</v>
      </c>
      <c r="F9" s="261">
        <v>0.25657952094878755</v>
      </c>
      <c r="G9" s="261">
        <v>0.34381401241740384</v>
      </c>
      <c r="H9" s="261">
        <v>-1.0895226354516039</v>
      </c>
      <c r="I9" s="261">
        <v>-2.059022415641238</v>
      </c>
      <c r="J9" s="261">
        <v>-0.83089858491060009</v>
      </c>
      <c r="K9" s="261">
        <v>-1.1494933187965093</v>
      </c>
      <c r="L9" s="261">
        <v>-1.1781217191057767</v>
      </c>
      <c r="M9" s="228"/>
    </row>
    <row r="10" spans="1:13" x14ac:dyDescent="0.25">
      <c r="A10" s="228"/>
      <c r="B10" s="239"/>
      <c r="C10" s="239"/>
      <c r="D10" s="239"/>
      <c r="E10" s="239"/>
      <c r="F10" s="239"/>
      <c r="G10" s="1599" t="s">
        <v>198</v>
      </c>
      <c r="H10" s="1599"/>
      <c r="I10" s="1599"/>
      <c r="J10" s="1599"/>
      <c r="K10" s="1599"/>
      <c r="L10" s="1599"/>
    </row>
    <row r="11" spans="1:13" x14ac:dyDescent="0.25">
      <c r="A11" s="228"/>
      <c r="B11" s="239"/>
      <c r="C11" s="239"/>
      <c r="D11" s="239"/>
      <c r="E11" s="239"/>
      <c r="F11" s="239"/>
      <c r="G11" s="239"/>
      <c r="H11" s="239"/>
      <c r="I11" s="239"/>
      <c r="J11" s="228"/>
      <c r="K11" s="228"/>
      <c r="L11" s="228"/>
      <c r="M11" s="262"/>
    </row>
    <row r="12" spans="1:13" x14ac:dyDescent="0.25">
      <c r="A12" s="228"/>
      <c r="B12" s="239"/>
      <c r="C12" s="239"/>
      <c r="D12" s="239"/>
      <c r="E12" s="239"/>
      <c r="F12" s="239"/>
      <c r="G12" s="239"/>
      <c r="H12" s="239"/>
      <c r="I12" s="239"/>
      <c r="J12" s="228"/>
      <c r="K12" s="228"/>
      <c r="L12" s="228"/>
    </row>
    <row r="13" spans="1:13" x14ac:dyDescent="0.25">
      <c r="A13" s="228"/>
      <c r="B13" s="239"/>
      <c r="C13" s="239"/>
      <c r="D13" s="239"/>
      <c r="E13" s="239"/>
      <c r="F13" s="239"/>
      <c r="G13" s="239"/>
      <c r="H13" s="239"/>
      <c r="I13" s="239"/>
      <c r="J13" s="228"/>
      <c r="K13" s="228"/>
      <c r="L13" s="228"/>
    </row>
    <row r="14" spans="1:13" x14ac:dyDescent="0.25">
      <c r="A14" s="228"/>
      <c r="B14" s="239"/>
      <c r="C14" s="239"/>
      <c r="D14" s="239"/>
      <c r="E14" s="239"/>
      <c r="F14" s="239"/>
      <c r="G14" s="239"/>
      <c r="H14" s="239"/>
      <c r="I14" s="239"/>
      <c r="J14" s="228"/>
      <c r="K14" s="228"/>
      <c r="L14" s="228"/>
    </row>
    <row r="15" spans="1:13" x14ac:dyDescent="0.25">
      <c r="A15" s="228"/>
      <c r="B15" s="239"/>
      <c r="C15" s="239"/>
      <c r="D15" s="239"/>
      <c r="E15" s="239"/>
      <c r="F15" s="239"/>
      <c r="G15" s="239"/>
      <c r="H15" s="239"/>
      <c r="I15" s="239"/>
      <c r="J15" s="228"/>
      <c r="K15" s="228"/>
      <c r="L15" s="228"/>
    </row>
    <row r="16" spans="1:13" x14ac:dyDescent="0.25">
      <c r="A16" s="228"/>
      <c r="B16" s="239"/>
      <c r="C16" s="239"/>
      <c r="D16" s="239"/>
      <c r="E16" s="239"/>
      <c r="F16" s="239"/>
      <c r="G16" s="239"/>
      <c r="H16" s="239"/>
      <c r="I16" s="239"/>
      <c r="J16" s="228"/>
      <c r="K16" s="228"/>
      <c r="L16" s="228"/>
    </row>
    <row r="17" spans="1:12" x14ac:dyDescent="0.25">
      <c r="A17" s="228"/>
      <c r="B17" s="239"/>
      <c r="C17" s="239"/>
      <c r="D17" s="239"/>
      <c r="E17" s="239"/>
      <c r="F17" s="239"/>
      <c r="G17" s="239"/>
      <c r="H17" s="239"/>
      <c r="I17" s="239"/>
      <c r="J17" s="228"/>
      <c r="K17" s="228"/>
      <c r="L17" s="228"/>
    </row>
    <row r="18" spans="1:12" x14ac:dyDescent="0.25">
      <c r="A18" s="228"/>
      <c r="B18" s="239"/>
      <c r="C18" s="239"/>
      <c r="D18" s="239"/>
      <c r="E18" s="239"/>
      <c r="F18" s="239"/>
      <c r="G18" s="239"/>
      <c r="H18" s="239"/>
      <c r="I18" s="239"/>
      <c r="J18" s="228"/>
      <c r="K18" s="228"/>
      <c r="L18" s="228"/>
    </row>
    <row r="19" spans="1:12" x14ac:dyDescent="0.25">
      <c r="A19" s="228"/>
      <c r="B19" s="239"/>
      <c r="C19" s="239"/>
      <c r="D19" s="239"/>
      <c r="E19" s="239"/>
      <c r="F19" s="239"/>
      <c r="G19" s="239"/>
      <c r="H19" s="239"/>
      <c r="I19" s="239"/>
      <c r="J19" s="228"/>
      <c r="K19" s="228"/>
      <c r="L19" s="228"/>
    </row>
    <row r="20" spans="1:12" x14ac:dyDescent="0.25">
      <c r="A20" s="228"/>
      <c r="B20" s="239"/>
      <c r="C20" s="239"/>
      <c r="D20" s="239"/>
      <c r="E20" s="239"/>
      <c r="F20" s="239"/>
      <c r="G20" s="239"/>
      <c r="H20" s="239"/>
      <c r="I20" s="239"/>
      <c r="J20" s="228"/>
      <c r="K20" s="228"/>
      <c r="L20" s="228"/>
    </row>
    <row r="21" spans="1:12" x14ac:dyDescent="0.25">
      <c r="A21" s="228"/>
      <c r="B21" s="239"/>
      <c r="C21" s="239"/>
      <c r="D21" s="239"/>
      <c r="E21" s="239"/>
      <c r="F21" s="239"/>
      <c r="G21" s="239"/>
      <c r="H21" s="239"/>
      <c r="I21" s="239"/>
      <c r="J21" s="228"/>
      <c r="K21" s="228"/>
      <c r="L21" s="228"/>
    </row>
    <row r="22" spans="1:12" x14ac:dyDescent="0.25">
      <c r="A22" s="228"/>
      <c r="B22" s="239"/>
      <c r="C22" s="239"/>
      <c r="D22" s="239"/>
      <c r="E22" s="239"/>
      <c r="F22" s="239"/>
      <c r="G22" s="239"/>
      <c r="H22" s="239"/>
      <c r="I22" s="239"/>
      <c r="J22" s="228"/>
      <c r="K22" s="228"/>
      <c r="L22" s="228"/>
    </row>
    <row r="23" spans="1:12" x14ac:dyDescent="0.25">
      <c r="A23" s="228"/>
      <c r="B23" s="239"/>
      <c r="C23" s="239"/>
      <c r="D23" s="239"/>
      <c r="E23" s="239"/>
      <c r="F23" s="239"/>
      <c r="G23" s="239"/>
      <c r="H23" s="239"/>
      <c r="I23" s="239"/>
      <c r="J23" s="228"/>
      <c r="K23" s="228"/>
      <c r="L23" s="228"/>
    </row>
    <row r="24" spans="1:12" x14ac:dyDescent="0.25">
      <c r="A24" s="228"/>
      <c r="B24" s="239"/>
      <c r="C24" s="239"/>
      <c r="D24" s="239"/>
      <c r="E24" s="239"/>
      <c r="F24" s="239"/>
      <c r="G24" s="239"/>
      <c r="H24" s="239"/>
      <c r="I24" s="239"/>
      <c r="J24" s="228"/>
      <c r="K24" s="228"/>
      <c r="L24" s="228"/>
    </row>
    <row r="25" spans="1:12" x14ac:dyDescent="0.25">
      <c r="A25" s="228"/>
      <c r="B25" s="239"/>
      <c r="C25" s="239"/>
      <c r="D25" s="239"/>
      <c r="E25" s="239"/>
      <c r="F25" s="239"/>
      <c r="G25" s="239"/>
      <c r="H25" s="239"/>
      <c r="I25" s="239"/>
      <c r="J25" s="228"/>
      <c r="K25" s="228"/>
      <c r="L25" s="228"/>
    </row>
    <row r="26" spans="1:12" x14ac:dyDescent="0.25">
      <c r="A26" s="228"/>
      <c r="B26" s="239"/>
      <c r="C26" s="239"/>
      <c r="D26" s="239"/>
      <c r="E26" s="239"/>
      <c r="F26" s="239"/>
      <c r="G26" s="239"/>
      <c r="H26" s="239"/>
      <c r="I26" s="239"/>
      <c r="J26" s="228"/>
      <c r="K26" s="228"/>
      <c r="L26" s="228"/>
    </row>
    <row r="27" spans="1:12" x14ac:dyDescent="0.25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</row>
    <row r="28" spans="1:12" x14ac:dyDescent="0.25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</row>
    <row r="29" spans="1:12" x14ac:dyDescent="0.25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</row>
    <row r="30" spans="1:12" x14ac:dyDescent="0.25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</row>
    <row r="31" spans="1:12" x14ac:dyDescent="0.25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</row>
    <row r="32" spans="1:12" x14ac:dyDescent="0.25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</row>
    <row r="33" spans="1:12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</row>
    <row r="34" spans="1:12" x14ac:dyDescent="0.25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</row>
    <row r="35" spans="1:12" x14ac:dyDescent="0.25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</row>
    <row r="36" spans="1:12" x14ac:dyDescent="0.25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</row>
    <row r="37" spans="1:12" x14ac:dyDescent="0.25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</row>
    <row r="38" spans="1:12" x14ac:dyDescent="0.25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</row>
    <row r="39" spans="1:12" x14ac:dyDescent="0.25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</row>
    <row r="40" spans="1:12" x14ac:dyDescent="0.25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</row>
    <row r="41" spans="1:12" x14ac:dyDescent="0.25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</row>
    <row r="42" spans="1:12" x14ac:dyDescent="0.25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</row>
    <row r="43" spans="1:12" x14ac:dyDescent="0.25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</row>
    <row r="44" spans="1:12" x14ac:dyDescent="0.25">
      <c r="A44" s="228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</row>
    <row r="45" spans="1:12" x14ac:dyDescent="0.25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</row>
    <row r="46" spans="1:12" x14ac:dyDescent="0.25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</row>
    <row r="47" spans="1:12" x14ac:dyDescent="0.25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</row>
    <row r="48" spans="1:12" x14ac:dyDescent="0.25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</row>
    <row r="49" spans="1:12" x14ac:dyDescent="0.25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</row>
    <row r="50" spans="1:12" x14ac:dyDescent="0.2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1:12" x14ac:dyDescent="0.25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</row>
    <row r="52" spans="1:12" x14ac:dyDescent="0.25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</row>
    <row r="53" spans="1:12" x14ac:dyDescent="0.25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</row>
    <row r="54" spans="1:12" x14ac:dyDescent="0.25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</row>
    <row r="55" spans="1:12" x14ac:dyDescent="0.25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</row>
    <row r="56" spans="1:12" x14ac:dyDescent="0.25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</row>
    <row r="57" spans="1:12" x14ac:dyDescent="0.25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</row>
    <row r="58" spans="1:12" x14ac:dyDescent="0.25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</row>
    <row r="59" spans="1:12" x14ac:dyDescent="0.25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</row>
    <row r="60" spans="1:12" x14ac:dyDescent="0.25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</row>
    <row r="61" spans="1:12" x14ac:dyDescent="0.25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</row>
    <row r="62" spans="1:12" x14ac:dyDescent="0.25">
      <c r="A62" s="228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</row>
    <row r="63" spans="1:12" x14ac:dyDescent="0.25">
      <c r="A63" s="228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</row>
    <row r="64" spans="1:12" x14ac:dyDescent="0.25">
      <c r="A64" s="228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</row>
    <row r="65" spans="1:12" x14ac:dyDescent="0.25">
      <c r="A65" s="228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</row>
    <row r="66" spans="1:12" x14ac:dyDescent="0.25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</row>
    <row r="67" spans="1:12" x14ac:dyDescent="0.25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</row>
    <row r="68" spans="1:12" x14ac:dyDescent="0.25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</row>
    <row r="69" spans="1:12" x14ac:dyDescent="0.25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</row>
    <row r="70" spans="1:12" x14ac:dyDescent="0.25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</row>
    <row r="71" spans="1:12" x14ac:dyDescent="0.25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</row>
    <row r="72" spans="1:12" x14ac:dyDescent="0.25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</row>
    <row r="73" spans="1:12" x14ac:dyDescent="0.25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</row>
    <row r="74" spans="1:12" x14ac:dyDescent="0.25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</row>
    <row r="75" spans="1:12" x14ac:dyDescent="0.25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</row>
    <row r="76" spans="1:12" x14ac:dyDescent="0.25">
      <c r="A76" s="228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</row>
    <row r="77" spans="1:12" x14ac:dyDescent="0.25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</row>
    <row r="78" spans="1:12" x14ac:dyDescent="0.25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</row>
    <row r="79" spans="1:12" x14ac:dyDescent="0.25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</row>
    <row r="80" spans="1:12" x14ac:dyDescent="0.25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</row>
    <row r="81" spans="1:12" x14ac:dyDescent="0.25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</row>
    <row r="82" spans="1:12" x14ac:dyDescent="0.25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</row>
    <row r="83" spans="1:12" x14ac:dyDescent="0.25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</row>
    <row r="84" spans="1:12" x14ac:dyDescent="0.25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</row>
    <row r="85" spans="1:12" x14ac:dyDescent="0.25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</row>
    <row r="86" spans="1:12" x14ac:dyDescent="0.25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</row>
    <row r="87" spans="1:12" x14ac:dyDescent="0.25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</row>
    <row r="88" spans="1:12" x14ac:dyDescent="0.25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</row>
    <row r="89" spans="1:12" x14ac:dyDescent="0.25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</row>
    <row r="90" spans="1:12" x14ac:dyDescent="0.25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</row>
    <row r="91" spans="1:12" x14ac:dyDescent="0.25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</row>
    <row r="92" spans="1:12" x14ac:dyDescent="0.25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</row>
    <row r="93" spans="1:12" x14ac:dyDescent="0.25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</row>
    <row r="94" spans="1:12" x14ac:dyDescent="0.25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</row>
    <row r="95" spans="1:12" x14ac:dyDescent="0.25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</row>
    <row r="96" spans="1:12" x14ac:dyDescent="0.25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</row>
    <row r="97" spans="1:12" x14ac:dyDescent="0.25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</row>
    <row r="98" spans="1:12" x14ac:dyDescent="0.25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</row>
    <row r="99" spans="1:12" x14ac:dyDescent="0.25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</row>
    <row r="100" spans="1:12" x14ac:dyDescent="0.25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</row>
    <row r="101" spans="1:12" x14ac:dyDescent="0.25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</row>
    <row r="102" spans="1:12" x14ac:dyDescent="0.25">
      <c r="A102" s="228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</row>
    <row r="103" spans="1:12" x14ac:dyDescent="0.25">
      <c r="A103" s="228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</row>
    <row r="104" spans="1:12" x14ac:dyDescent="0.25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</row>
    <row r="105" spans="1:12" x14ac:dyDescent="0.25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</row>
    <row r="106" spans="1:12" x14ac:dyDescent="0.25">
      <c r="A106" s="228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</row>
    <row r="107" spans="1:12" x14ac:dyDescent="0.25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</row>
    <row r="108" spans="1:12" x14ac:dyDescent="0.25">
      <c r="A108" s="228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</row>
    <row r="109" spans="1:12" x14ac:dyDescent="0.25">
      <c r="A109" s="228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</row>
    <row r="110" spans="1:12" x14ac:dyDescent="0.25">
      <c r="A110" s="228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</row>
    <row r="111" spans="1:12" x14ac:dyDescent="0.25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</row>
    <row r="112" spans="1:12" x14ac:dyDescent="0.25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</row>
    <row r="113" spans="1:12" x14ac:dyDescent="0.25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</row>
    <row r="114" spans="1:12" x14ac:dyDescent="0.25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</row>
    <row r="115" spans="1:12" x14ac:dyDescent="0.25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</row>
    <row r="116" spans="1:12" x14ac:dyDescent="0.25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</row>
    <row r="117" spans="1:12" x14ac:dyDescent="0.25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</row>
    <row r="118" spans="1:12" x14ac:dyDescent="0.25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</row>
    <row r="119" spans="1:12" x14ac:dyDescent="0.25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</row>
    <row r="120" spans="1:12" x14ac:dyDescent="0.25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</row>
    <row r="121" spans="1:12" x14ac:dyDescent="0.25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</row>
    <row r="122" spans="1:12" x14ac:dyDescent="0.25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</row>
    <row r="123" spans="1:12" x14ac:dyDescent="0.25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</row>
    <row r="124" spans="1:12" x14ac:dyDescent="0.25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</row>
    <row r="125" spans="1:12" x14ac:dyDescent="0.25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</row>
    <row r="126" spans="1:12" x14ac:dyDescent="0.25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</row>
    <row r="127" spans="1:12" x14ac:dyDescent="0.25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</row>
    <row r="128" spans="1:12" x14ac:dyDescent="0.25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</row>
    <row r="129" spans="1:12" x14ac:dyDescent="0.25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</row>
    <row r="130" spans="1:12" x14ac:dyDescent="0.25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</row>
    <row r="131" spans="1:12" x14ac:dyDescent="0.25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</row>
    <row r="132" spans="1:12" x14ac:dyDescent="0.25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</row>
    <row r="133" spans="1:12" x14ac:dyDescent="0.25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</row>
    <row r="134" spans="1:12" x14ac:dyDescent="0.25">
      <c r="A134" s="228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</row>
    <row r="135" spans="1:12" x14ac:dyDescent="0.25">
      <c r="A135" s="228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</row>
    <row r="136" spans="1:12" x14ac:dyDescent="0.25">
      <c r="A136" s="228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</row>
    <row r="137" spans="1:12" x14ac:dyDescent="0.25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</row>
    <row r="138" spans="1:12" x14ac:dyDescent="0.25">
      <c r="A138" s="228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</row>
    <row r="139" spans="1:12" x14ac:dyDescent="0.25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</row>
    <row r="140" spans="1:12" x14ac:dyDescent="0.25">
      <c r="A140" s="228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</row>
    <row r="141" spans="1:12" x14ac:dyDescent="0.25">
      <c r="A141" s="22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</row>
    <row r="142" spans="1:12" x14ac:dyDescent="0.25">
      <c r="A142" s="228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</row>
    <row r="143" spans="1:12" x14ac:dyDescent="0.25">
      <c r="A143" s="228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</row>
    <row r="144" spans="1:12" x14ac:dyDescent="0.25">
      <c r="A144" s="228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</row>
    <row r="145" spans="1:12" x14ac:dyDescent="0.25">
      <c r="A145" s="228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</row>
    <row r="146" spans="1:12" x14ac:dyDescent="0.25">
      <c r="A146" s="228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</row>
    <row r="147" spans="1:12" x14ac:dyDescent="0.25">
      <c r="A147" s="228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</row>
    <row r="148" spans="1:12" x14ac:dyDescent="0.25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</row>
    <row r="149" spans="1:12" x14ac:dyDescent="0.25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</row>
    <row r="150" spans="1:12" x14ac:dyDescent="0.25">
      <c r="A150" s="228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</row>
    <row r="151" spans="1:12" x14ac:dyDescent="0.25">
      <c r="A151" s="228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</row>
    <row r="152" spans="1:12" x14ac:dyDescent="0.25">
      <c r="A152" s="228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</row>
    <row r="153" spans="1:12" x14ac:dyDescent="0.25">
      <c r="A153" s="228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</row>
    <row r="154" spans="1:12" x14ac:dyDescent="0.25">
      <c r="A154" s="228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</row>
    <row r="155" spans="1:12" x14ac:dyDescent="0.25">
      <c r="A155" s="228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</row>
    <row r="156" spans="1:12" x14ac:dyDescent="0.25">
      <c r="A156" s="228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</row>
    <row r="157" spans="1:12" x14ac:dyDescent="0.25">
      <c r="A157" s="228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</row>
    <row r="158" spans="1:12" x14ac:dyDescent="0.25">
      <c r="A158" s="228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</row>
    <row r="159" spans="1:12" x14ac:dyDescent="0.25">
      <c r="A159" s="228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</row>
    <row r="160" spans="1:12" x14ac:dyDescent="0.25">
      <c r="A160" s="228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</row>
    <row r="161" spans="1:12" x14ac:dyDescent="0.25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</row>
    <row r="162" spans="1:12" x14ac:dyDescent="0.25">
      <c r="A162" s="228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</row>
    <row r="163" spans="1:12" x14ac:dyDescent="0.25">
      <c r="A163" s="228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</row>
    <row r="164" spans="1:12" x14ac:dyDescent="0.25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</row>
    <row r="165" spans="1:12" x14ac:dyDescent="0.25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</row>
    <row r="166" spans="1:12" x14ac:dyDescent="0.25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</row>
    <row r="167" spans="1:12" x14ac:dyDescent="0.25">
      <c r="A167" s="228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</row>
    <row r="168" spans="1:12" x14ac:dyDescent="0.25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</row>
    <row r="169" spans="1:12" x14ac:dyDescent="0.25">
      <c r="A169" s="228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</row>
    <row r="170" spans="1:12" x14ac:dyDescent="0.25">
      <c r="A170" s="228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</row>
    <row r="171" spans="1:12" x14ac:dyDescent="0.25">
      <c r="A171" s="228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</row>
    <row r="172" spans="1:12" x14ac:dyDescent="0.25">
      <c r="A172" s="228"/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</row>
    <row r="173" spans="1:12" x14ac:dyDescent="0.25">
      <c r="A173" s="228"/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</row>
    <row r="174" spans="1:12" x14ac:dyDescent="0.25">
      <c r="A174" s="228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</row>
    <row r="175" spans="1:12" x14ac:dyDescent="0.25">
      <c r="A175" s="228"/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</row>
    <row r="176" spans="1:12" x14ac:dyDescent="0.25">
      <c r="A176" s="228"/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</row>
    <row r="177" spans="1:12" x14ac:dyDescent="0.25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</row>
    <row r="178" spans="1:12" x14ac:dyDescent="0.25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</row>
    <row r="179" spans="1:12" x14ac:dyDescent="0.25">
      <c r="A179" s="228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</row>
    <row r="180" spans="1:12" x14ac:dyDescent="0.25">
      <c r="A180" s="22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</row>
    <row r="181" spans="1:12" x14ac:dyDescent="0.25">
      <c r="A181" s="228"/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</row>
    <row r="182" spans="1:12" x14ac:dyDescent="0.25">
      <c r="A182" s="228"/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</row>
    <row r="183" spans="1:12" x14ac:dyDescent="0.25">
      <c r="A183" s="228"/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</row>
    <row r="184" spans="1:12" x14ac:dyDescent="0.25">
      <c r="A184" s="228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</row>
    <row r="185" spans="1:12" x14ac:dyDescent="0.25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</row>
    <row r="186" spans="1:12" x14ac:dyDescent="0.25">
      <c r="A186" s="228"/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</row>
    <row r="187" spans="1:12" x14ac:dyDescent="0.25">
      <c r="A187" s="228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</row>
    <row r="188" spans="1:12" x14ac:dyDescent="0.25">
      <c r="A188" s="228"/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</row>
    <row r="189" spans="1:12" x14ac:dyDescent="0.25">
      <c r="A189" s="228"/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</row>
    <row r="190" spans="1:12" x14ac:dyDescent="0.25">
      <c r="A190" s="228"/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</row>
    <row r="191" spans="1:12" x14ac:dyDescent="0.25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</row>
    <row r="192" spans="1:12" x14ac:dyDescent="0.25">
      <c r="A192" s="228"/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</row>
    <row r="193" spans="1:12" x14ac:dyDescent="0.25">
      <c r="A193" s="228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</row>
    <row r="194" spans="1:12" x14ac:dyDescent="0.25">
      <c r="A194" s="228"/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228"/>
    </row>
    <row r="195" spans="1:12" x14ac:dyDescent="0.25">
      <c r="A195" s="228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</row>
    <row r="196" spans="1:12" x14ac:dyDescent="0.25">
      <c r="A196" s="228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</row>
    <row r="197" spans="1:12" x14ac:dyDescent="0.25">
      <c r="A197" s="228"/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</row>
    <row r="198" spans="1:12" x14ac:dyDescent="0.25">
      <c r="A198" s="228"/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</row>
    <row r="199" spans="1:12" x14ac:dyDescent="0.25">
      <c r="A199" s="228"/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</row>
    <row r="200" spans="1:12" x14ac:dyDescent="0.25">
      <c r="A200" s="228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</row>
    <row r="201" spans="1:12" x14ac:dyDescent="0.25">
      <c r="A201" s="228"/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</row>
    <row r="202" spans="1:12" x14ac:dyDescent="0.25">
      <c r="A202" s="228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</row>
    <row r="203" spans="1:12" x14ac:dyDescent="0.25">
      <c r="A203" s="228"/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</row>
    <row r="204" spans="1:12" x14ac:dyDescent="0.25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</row>
    <row r="205" spans="1:12" x14ac:dyDescent="0.25">
      <c r="A205" s="228"/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</row>
    <row r="206" spans="1:12" x14ac:dyDescent="0.25">
      <c r="A206" s="228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</row>
    <row r="207" spans="1:12" x14ac:dyDescent="0.25">
      <c r="A207" s="228"/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</row>
    <row r="208" spans="1:12" x14ac:dyDescent="0.25">
      <c r="A208" s="228"/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</row>
    <row r="209" spans="1:12" x14ac:dyDescent="0.25">
      <c r="A209" s="228"/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</row>
    <row r="210" spans="1:12" x14ac:dyDescent="0.25">
      <c r="A210" s="228"/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</row>
    <row r="211" spans="1:12" x14ac:dyDescent="0.25">
      <c r="A211" s="228"/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</row>
    <row r="212" spans="1:12" x14ac:dyDescent="0.25">
      <c r="A212" s="228"/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</row>
    <row r="213" spans="1:12" x14ac:dyDescent="0.25">
      <c r="A213" s="228"/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</row>
    <row r="214" spans="1:12" x14ac:dyDescent="0.25">
      <c r="A214" s="228"/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</row>
    <row r="215" spans="1:12" x14ac:dyDescent="0.25">
      <c r="A215" s="228"/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</row>
    <row r="216" spans="1:12" x14ac:dyDescent="0.25">
      <c r="A216" s="228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</row>
    <row r="217" spans="1:12" x14ac:dyDescent="0.25">
      <c r="A217" s="228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</row>
    <row r="218" spans="1:12" x14ac:dyDescent="0.25">
      <c r="A218" s="228"/>
      <c r="B218" s="228"/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</row>
    <row r="219" spans="1:12" x14ac:dyDescent="0.25">
      <c r="A219" s="228"/>
      <c r="B219" s="228"/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</row>
    <row r="220" spans="1:12" x14ac:dyDescent="0.25">
      <c r="A220" s="228"/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</row>
    <row r="221" spans="1:12" x14ac:dyDescent="0.25">
      <c r="A221" s="228"/>
      <c r="B221" s="228"/>
      <c r="C221" s="228"/>
      <c r="D221" s="228"/>
      <c r="E221" s="228"/>
      <c r="F221" s="228"/>
      <c r="G221" s="228"/>
      <c r="H221" s="228"/>
      <c r="I221" s="228"/>
      <c r="J221" s="228"/>
      <c r="K221" s="228"/>
      <c r="L221" s="228"/>
    </row>
    <row r="222" spans="1:12" x14ac:dyDescent="0.25">
      <c r="A222" s="228"/>
      <c r="B222" s="228"/>
      <c r="C222" s="228"/>
      <c r="D222" s="228"/>
      <c r="E222" s="228"/>
      <c r="F222" s="228"/>
      <c r="G222" s="228"/>
      <c r="H222" s="228"/>
      <c r="I222" s="228"/>
      <c r="J222" s="228"/>
      <c r="K222" s="228"/>
      <c r="L222" s="228"/>
    </row>
    <row r="223" spans="1:12" x14ac:dyDescent="0.25">
      <c r="A223" s="228"/>
      <c r="B223" s="228"/>
      <c r="C223" s="228"/>
      <c r="D223" s="228"/>
      <c r="E223" s="228"/>
      <c r="F223" s="228"/>
      <c r="G223" s="228"/>
      <c r="H223" s="228"/>
      <c r="I223" s="228"/>
      <c r="J223" s="228"/>
      <c r="K223" s="228"/>
      <c r="L223" s="228"/>
    </row>
    <row r="224" spans="1:12" x14ac:dyDescent="0.25">
      <c r="A224" s="228"/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</row>
    <row r="225" spans="1:12" x14ac:dyDescent="0.25">
      <c r="A225" s="228"/>
      <c r="B225" s="228"/>
      <c r="C225" s="228"/>
      <c r="D225" s="228"/>
      <c r="E225" s="228"/>
      <c r="F225" s="228"/>
      <c r="G225" s="228"/>
      <c r="H225" s="228"/>
      <c r="I225" s="228"/>
      <c r="J225" s="228"/>
      <c r="K225" s="228"/>
      <c r="L225" s="228"/>
    </row>
    <row r="226" spans="1:12" x14ac:dyDescent="0.25">
      <c r="A226" s="228"/>
      <c r="B226" s="228"/>
      <c r="C226" s="228"/>
      <c r="D226" s="228"/>
      <c r="E226" s="228"/>
      <c r="F226" s="228"/>
      <c r="G226" s="228"/>
      <c r="H226" s="228"/>
      <c r="I226" s="228"/>
      <c r="J226" s="228"/>
      <c r="K226" s="228"/>
      <c r="L226" s="228"/>
    </row>
    <row r="227" spans="1:12" x14ac:dyDescent="0.25">
      <c r="A227" s="228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</row>
    <row r="228" spans="1:12" x14ac:dyDescent="0.25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</row>
    <row r="229" spans="1:12" x14ac:dyDescent="0.25">
      <c r="A229" s="228"/>
      <c r="B229" s="228"/>
      <c r="C229" s="228"/>
      <c r="D229" s="228"/>
      <c r="E229" s="228"/>
      <c r="F229" s="228"/>
      <c r="G229" s="228"/>
      <c r="H229" s="228"/>
      <c r="I229" s="228"/>
      <c r="J229" s="228"/>
      <c r="K229" s="228"/>
      <c r="L229" s="228"/>
    </row>
    <row r="230" spans="1:12" x14ac:dyDescent="0.25">
      <c r="A230" s="228"/>
      <c r="B230" s="228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</row>
    <row r="231" spans="1:12" x14ac:dyDescent="0.25">
      <c r="A231" s="228"/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</row>
    <row r="232" spans="1:12" x14ac:dyDescent="0.25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</row>
    <row r="233" spans="1:12" x14ac:dyDescent="0.25">
      <c r="A233" s="228"/>
      <c r="B233" s="228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</row>
    <row r="234" spans="1:12" x14ac:dyDescent="0.25">
      <c r="A234" s="228"/>
      <c r="B234" s="228"/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</row>
    <row r="235" spans="1:12" x14ac:dyDescent="0.25">
      <c r="A235" s="228"/>
      <c r="B235" s="228"/>
      <c r="C235" s="228"/>
      <c r="D235" s="228"/>
      <c r="E235" s="228"/>
      <c r="F235" s="228"/>
      <c r="G235" s="228"/>
      <c r="H235" s="228"/>
      <c r="I235" s="228"/>
      <c r="J235" s="228"/>
      <c r="K235" s="228"/>
      <c r="L235" s="228"/>
    </row>
    <row r="236" spans="1:12" x14ac:dyDescent="0.25">
      <c r="A236" s="228"/>
      <c r="B236" s="228"/>
      <c r="C236" s="228"/>
      <c r="D236" s="228"/>
      <c r="E236" s="228"/>
      <c r="F236" s="228"/>
      <c r="G236" s="228"/>
      <c r="H236" s="228"/>
      <c r="I236" s="228"/>
      <c r="J236" s="228"/>
      <c r="K236" s="228"/>
      <c r="L236" s="228"/>
    </row>
    <row r="237" spans="1:12" x14ac:dyDescent="0.25">
      <c r="A237" s="228"/>
      <c r="B237" s="228"/>
      <c r="C237" s="228"/>
      <c r="D237" s="228"/>
      <c r="E237" s="228"/>
      <c r="F237" s="228"/>
      <c r="G237" s="228"/>
      <c r="H237" s="228"/>
      <c r="I237" s="228"/>
      <c r="J237" s="228"/>
      <c r="K237" s="228"/>
      <c r="L237" s="228"/>
    </row>
    <row r="238" spans="1:12" x14ac:dyDescent="0.25">
      <c r="A238" s="228"/>
      <c r="B238" s="228"/>
      <c r="C238" s="228"/>
      <c r="D238" s="228"/>
      <c r="E238" s="228"/>
      <c r="F238" s="228"/>
      <c r="G238" s="228"/>
      <c r="H238" s="228"/>
      <c r="I238" s="228"/>
      <c r="J238" s="228"/>
      <c r="K238" s="228"/>
      <c r="L238" s="228"/>
    </row>
    <row r="239" spans="1:12" x14ac:dyDescent="0.25">
      <c r="A239" s="228"/>
      <c r="B239" s="228"/>
      <c r="C239" s="228"/>
      <c r="D239" s="228"/>
      <c r="E239" s="228"/>
      <c r="F239" s="228"/>
      <c r="G239" s="228"/>
      <c r="H239" s="228"/>
      <c r="I239" s="228"/>
      <c r="J239" s="228"/>
      <c r="K239" s="228"/>
      <c r="L239" s="228"/>
    </row>
    <row r="240" spans="1:12" x14ac:dyDescent="0.25">
      <c r="A240" s="228"/>
      <c r="B240" s="228"/>
      <c r="C240" s="228"/>
      <c r="D240" s="228"/>
      <c r="E240" s="228"/>
      <c r="F240" s="228"/>
      <c r="G240" s="228"/>
      <c r="H240" s="228"/>
      <c r="I240" s="228"/>
      <c r="J240" s="228"/>
      <c r="K240" s="228"/>
      <c r="L240" s="228"/>
    </row>
    <row r="241" spans="1:12" x14ac:dyDescent="0.25">
      <c r="A241" s="228"/>
      <c r="B241" s="228"/>
      <c r="C241" s="228"/>
      <c r="D241" s="228"/>
      <c r="E241" s="228"/>
      <c r="F241" s="228"/>
      <c r="G241" s="228"/>
      <c r="H241" s="228"/>
      <c r="I241" s="228"/>
      <c r="J241" s="228"/>
      <c r="K241" s="228"/>
      <c r="L241" s="228"/>
    </row>
    <row r="242" spans="1:12" x14ac:dyDescent="0.25">
      <c r="A242" s="228"/>
      <c r="B242" s="228"/>
      <c r="C242" s="228"/>
      <c r="D242" s="228"/>
      <c r="E242" s="228"/>
      <c r="F242" s="228"/>
      <c r="G242" s="228"/>
      <c r="H242" s="228"/>
      <c r="I242" s="228"/>
      <c r="J242" s="228"/>
      <c r="K242" s="228"/>
      <c r="L242" s="228"/>
    </row>
    <row r="243" spans="1:12" x14ac:dyDescent="0.25">
      <c r="A243" s="228"/>
      <c r="B243" s="228"/>
      <c r="C243" s="228"/>
      <c r="D243" s="228"/>
      <c r="E243" s="228"/>
      <c r="F243" s="228"/>
      <c r="G243" s="228"/>
      <c r="H243" s="228"/>
      <c r="I243" s="228"/>
      <c r="J243" s="228"/>
      <c r="K243" s="228"/>
      <c r="L243" s="228"/>
    </row>
    <row r="244" spans="1:12" x14ac:dyDescent="0.25">
      <c r="A244" s="228"/>
      <c r="B244" s="228"/>
      <c r="C244" s="228"/>
      <c r="D244" s="228"/>
      <c r="E244" s="228"/>
      <c r="F244" s="228"/>
      <c r="G244" s="228"/>
      <c r="H244" s="228"/>
      <c r="I244" s="228"/>
      <c r="J244" s="228"/>
      <c r="K244" s="228"/>
      <c r="L244" s="228"/>
    </row>
    <row r="245" spans="1:12" x14ac:dyDescent="0.25">
      <c r="A245" s="228"/>
      <c r="B245" s="228"/>
      <c r="C245" s="228"/>
      <c r="D245" s="228"/>
      <c r="E245" s="228"/>
      <c r="F245" s="228"/>
      <c r="G245" s="228"/>
      <c r="H245" s="228"/>
      <c r="I245" s="228"/>
      <c r="J245" s="228"/>
      <c r="K245" s="228"/>
      <c r="L245" s="228"/>
    </row>
    <row r="246" spans="1:12" x14ac:dyDescent="0.25">
      <c r="A246" s="228"/>
      <c r="B246" s="228"/>
      <c r="C246" s="228"/>
      <c r="D246" s="228"/>
      <c r="E246" s="228"/>
      <c r="F246" s="228"/>
      <c r="G246" s="228"/>
      <c r="H246" s="228"/>
      <c r="I246" s="228"/>
      <c r="J246" s="228"/>
      <c r="K246" s="228"/>
      <c r="L246" s="228"/>
    </row>
    <row r="247" spans="1:12" x14ac:dyDescent="0.25">
      <c r="A247" s="228"/>
      <c r="B247" s="228"/>
      <c r="C247" s="228"/>
      <c r="D247" s="228"/>
      <c r="E247" s="228"/>
      <c r="F247" s="228"/>
      <c r="G247" s="228"/>
      <c r="H247" s="228"/>
      <c r="I247" s="228"/>
      <c r="J247" s="228"/>
      <c r="K247" s="228"/>
      <c r="L247" s="228"/>
    </row>
    <row r="248" spans="1:12" x14ac:dyDescent="0.25">
      <c r="A248" s="228"/>
      <c r="B248" s="228"/>
      <c r="C248" s="228"/>
      <c r="D248" s="228"/>
      <c r="E248" s="228"/>
      <c r="F248" s="228"/>
      <c r="G248" s="228"/>
      <c r="H248" s="228"/>
      <c r="I248" s="228"/>
      <c r="J248" s="228"/>
      <c r="K248" s="228"/>
      <c r="L248" s="228"/>
    </row>
    <row r="249" spans="1:12" x14ac:dyDescent="0.25">
      <c r="A249" s="228"/>
      <c r="B249" s="228"/>
      <c r="C249" s="228"/>
      <c r="D249" s="228"/>
      <c r="E249" s="228"/>
      <c r="F249" s="228"/>
      <c r="G249" s="228"/>
      <c r="H249" s="228"/>
      <c r="I249" s="228"/>
      <c r="J249" s="228"/>
      <c r="K249" s="228"/>
      <c r="L249" s="228"/>
    </row>
    <row r="250" spans="1:12" x14ac:dyDescent="0.25">
      <c r="A250" s="228"/>
      <c r="B250" s="228"/>
      <c r="C250" s="228"/>
      <c r="D250" s="228"/>
      <c r="E250" s="228"/>
      <c r="F250" s="228"/>
      <c r="G250" s="228"/>
      <c r="H250" s="228"/>
      <c r="I250" s="228"/>
      <c r="J250" s="228"/>
      <c r="K250" s="228"/>
      <c r="L250" s="228"/>
    </row>
    <row r="251" spans="1:12" x14ac:dyDescent="0.25">
      <c r="A251" s="228"/>
      <c r="B251" s="228"/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</row>
    <row r="252" spans="1:12" x14ac:dyDescent="0.25">
      <c r="A252" s="228"/>
      <c r="B252" s="228"/>
      <c r="C252" s="228"/>
      <c r="D252" s="228"/>
      <c r="E252" s="228"/>
      <c r="F252" s="228"/>
      <c r="G252" s="228"/>
      <c r="H252" s="228"/>
      <c r="I252" s="228"/>
      <c r="J252" s="228"/>
      <c r="K252" s="228"/>
      <c r="L252" s="228"/>
    </row>
    <row r="253" spans="1:12" x14ac:dyDescent="0.25">
      <c r="A253" s="228"/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</row>
    <row r="254" spans="1:12" x14ac:dyDescent="0.25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</row>
    <row r="255" spans="1:12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</row>
    <row r="256" spans="1:12" x14ac:dyDescent="0.25">
      <c r="A256" s="228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</row>
    <row r="257" spans="1:12" x14ac:dyDescent="0.25">
      <c r="A257" s="228"/>
      <c r="B257" s="228"/>
      <c r="C257" s="228"/>
      <c r="D257" s="228"/>
      <c r="E257" s="228"/>
      <c r="F257" s="228"/>
      <c r="G257" s="228"/>
      <c r="H257" s="228"/>
      <c r="I257" s="228"/>
      <c r="J257" s="228"/>
      <c r="K257" s="228"/>
      <c r="L257" s="228"/>
    </row>
    <row r="258" spans="1:12" x14ac:dyDescent="0.25">
      <c r="A258" s="228"/>
      <c r="B258" s="228"/>
      <c r="C258" s="228"/>
      <c r="D258" s="228"/>
      <c r="E258" s="228"/>
      <c r="F258" s="228"/>
      <c r="G258" s="228"/>
      <c r="H258" s="228"/>
      <c r="I258" s="228"/>
      <c r="J258" s="228"/>
      <c r="K258" s="228"/>
      <c r="L258" s="228"/>
    </row>
    <row r="259" spans="1:12" x14ac:dyDescent="0.25">
      <c r="A259" s="228"/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</row>
    <row r="260" spans="1:12" x14ac:dyDescent="0.25">
      <c r="A260" s="228"/>
      <c r="B260" s="228"/>
      <c r="C260" s="228"/>
      <c r="D260" s="228"/>
      <c r="E260" s="228"/>
      <c r="F260" s="228"/>
      <c r="G260" s="228"/>
      <c r="H260" s="228"/>
      <c r="I260" s="228"/>
      <c r="J260" s="228"/>
      <c r="K260" s="228"/>
      <c r="L260" s="228"/>
    </row>
    <row r="261" spans="1:12" x14ac:dyDescent="0.25">
      <c r="A261" s="228"/>
      <c r="B261" s="228"/>
      <c r="C261" s="228"/>
      <c r="D261" s="228"/>
      <c r="E261" s="228"/>
      <c r="F261" s="228"/>
      <c r="G261" s="228"/>
      <c r="H261" s="228"/>
      <c r="I261" s="228"/>
      <c r="J261" s="228"/>
      <c r="K261" s="228"/>
      <c r="L261" s="228"/>
    </row>
    <row r="262" spans="1:12" x14ac:dyDescent="0.25">
      <c r="A262" s="228"/>
      <c r="B262" s="228"/>
      <c r="C262" s="228"/>
      <c r="D262" s="228"/>
      <c r="E262" s="228"/>
      <c r="F262" s="228"/>
      <c r="G262" s="228"/>
      <c r="H262" s="228"/>
      <c r="I262" s="228"/>
      <c r="J262" s="228"/>
      <c r="K262" s="228"/>
      <c r="L262" s="228"/>
    </row>
    <row r="263" spans="1:12" x14ac:dyDescent="0.25">
      <c r="A263" s="228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</row>
    <row r="264" spans="1:12" x14ac:dyDescent="0.25">
      <c r="A264" s="228"/>
      <c r="B264" s="228"/>
      <c r="C264" s="228"/>
      <c r="D264" s="228"/>
      <c r="E264" s="228"/>
      <c r="F264" s="228"/>
      <c r="G264" s="228"/>
      <c r="H264" s="228"/>
      <c r="I264" s="228"/>
      <c r="J264" s="228"/>
      <c r="K264" s="228"/>
      <c r="L264" s="228"/>
    </row>
    <row r="265" spans="1:12" x14ac:dyDescent="0.25">
      <c r="A265" s="228"/>
      <c r="B265" s="228"/>
      <c r="C265" s="228"/>
      <c r="D265" s="228"/>
      <c r="E265" s="228"/>
      <c r="F265" s="228"/>
      <c r="G265" s="228"/>
      <c r="H265" s="228"/>
      <c r="I265" s="228"/>
      <c r="J265" s="228"/>
      <c r="K265" s="228"/>
      <c r="L265" s="228"/>
    </row>
    <row r="266" spans="1:12" x14ac:dyDescent="0.25">
      <c r="A266" s="228"/>
      <c r="B266" s="228"/>
      <c r="C266" s="228"/>
      <c r="D266" s="228"/>
      <c r="E266" s="228"/>
      <c r="F266" s="228"/>
      <c r="G266" s="228"/>
      <c r="H266" s="228"/>
      <c r="I266" s="228"/>
      <c r="J266" s="228"/>
      <c r="K266" s="228"/>
      <c r="L266" s="228"/>
    </row>
    <row r="267" spans="1:12" x14ac:dyDescent="0.25">
      <c r="A267" s="228"/>
      <c r="B267" s="228"/>
      <c r="C267" s="228"/>
      <c r="D267" s="228"/>
      <c r="E267" s="228"/>
      <c r="F267" s="228"/>
      <c r="G267" s="228"/>
      <c r="H267" s="228"/>
      <c r="I267" s="228"/>
      <c r="J267" s="228"/>
      <c r="K267" s="228"/>
      <c r="L267" s="228"/>
    </row>
    <row r="268" spans="1:12" x14ac:dyDescent="0.25">
      <c r="A268" s="228"/>
      <c r="B268" s="228"/>
      <c r="C268" s="228"/>
      <c r="D268" s="228"/>
      <c r="E268" s="228"/>
      <c r="F268" s="228"/>
      <c r="G268" s="228"/>
      <c r="H268" s="228"/>
      <c r="I268" s="228"/>
      <c r="J268" s="228"/>
      <c r="K268" s="228"/>
      <c r="L268" s="228"/>
    </row>
    <row r="269" spans="1:12" x14ac:dyDescent="0.25">
      <c r="A269" s="228"/>
      <c r="B269" s="228"/>
      <c r="C269" s="228"/>
      <c r="D269" s="228"/>
      <c r="E269" s="228"/>
      <c r="F269" s="228"/>
      <c r="G269" s="228"/>
      <c r="H269" s="228"/>
      <c r="I269" s="228"/>
      <c r="J269" s="228"/>
      <c r="K269" s="228"/>
      <c r="L269" s="228"/>
    </row>
    <row r="270" spans="1:12" x14ac:dyDescent="0.25">
      <c r="A270" s="228"/>
      <c r="B270" s="228"/>
      <c r="C270" s="228"/>
      <c r="D270" s="228"/>
      <c r="E270" s="228"/>
      <c r="F270" s="228"/>
      <c r="G270" s="228"/>
      <c r="H270" s="228"/>
      <c r="I270" s="228"/>
      <c r="J270" s="228"/>
      <c r="K270" s="228"/>
      <c r="L270" s="228"/>
    </row>
    <row r="271" spans="1:12" x14ac:dyDescent="0.25">
      <c r="A271" s="228"/>
      <c r="B271" s="228"/>
      <c r="C271" s="228"/>
      <c r="D271" s="228"/>
      <c r="E271" s="228"/>
      <c r="F271" s="228"/>
      <c r="G271" s="228"/>
      <c r="H271" s="228"/>
      <c r="I271" s="228"/>
      <c r="J271" s="228"/>
      <c r="K271" s="228"/>
      <c r="L271" s="228"/>
    </row>
    <row r="272" spans="1:12" x14ac:dyDescent="0.25">
      <c r="A272" s="228"/>
      <c r="B272" s="228"/>
      <c r="C272" s="228"/>
      <c r="D272" s="228"/>
      <c r="E272" s="228"/>
      <c r="F272" s="228"/>
      <c r="G272" s="228"/>
      <c r="H272" s="228"/>
      <c r="I272" s="228"/>
      <c r="J272" s="228"/>
      <c r="K272" s="228"/>
      <c r="L272" s="228"/>
    </row>
    <row r="273" spans="1:12" x14ac:dyDescent="0.25">
      <c r="A273" s="228"/>
      <c r="B273" s="228"/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</row>
    <row r="274" spans="1:12" x14ac:dyDescent="0.25">
      <c r="A274" s="228"/>
      <c r="B274" s="228"/>
      <c r="C274" s="228"/>
      <c r="D274" s="228"/>
      <c r="E274" s="228"/>
      <c r="F274" s="228"/>
      <c r="G274" s="228"/>
      <c r="H274" s="228"/>
      <c r="I274" s="228"/>
      <c r="J274" s="228"/>
      <c r="K274" s="228"/>
      <c r="L274" s="228"/>
    </row>
    <row r="275" spans="1:12" x14ac:dyDescent="0.25">
      <c r="A275" s="228"/>
      <c r="B275" s="228"/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</row>
    <row r="276" spans="1:12" x14ac:dyDescent="0.25">
      <c r="A276" s="228"/>
      <c r="B276" s="228"/>
      <c r="C276" s="228"/>
      <c r="D276" s="228"/>
      <c r="E276" s="228"/>
      <c r="F276" s="228"/>
      <c r="G276" s="228"/>
      <c r="H276" s="228"/>
      <c r="I276" s="228"/>
      <c r="J276" s="228"/>
      <c r="K276" s="228"/>
      <c r="L276" s="228"/>
    </row>
    <row r="277" spans="1:12" x14ac:dyDescent="0.25">
      <c r="A277" s="228"/>
      <c r="B277" s="228"/>
      <c r="C277" s="228"/>
      <c r="D277" s="228"/>
      <c r="E277" s="228"/>
      <c r="F277" s="228"/>
      <c r="G277" s="228"/>
      <c r="H277" s="228"/>
      <c r="I277" s="228"/>
      <c r="J277" s="228"/>
      <c r="K277" s="228"/>
      <c r="L277" s="228"/>
    </row>
    <row r="278" spans="1:12" x14ac:dyDescent="0.25">
      <c r="A278" s="228"/>
      <c r="B278" s="228"/>
      <c r="C278" s="228"/>
      <c r="D278" s="228"/>
      <c r="E278" s="228"/>
      <c r="F278" s="228"/>
      <c r="G278" s="228"/>
      <c r="H278" s="228"/>
      <c r="I278" s="228"/>
      <c r="J278" s="228"/>
      <c r="K278" s="228"/>
      <c r="L278" s="228"/>
    </row>
    <row r="279" spans="1:12" x14ac:dyDescent="0.25">
      <c r="A279" s="228"/>
      <c r="B279" s="228"/>
      <c r="C279" s="228"/>
      <c r="D279" s="228"/>
      <c r="E279" s="228"/>
      <c r="F279" s="228"/>
      <c r="G279" s="228"/>
      <c r="H279" s="228"/>
      <c r="I279" s="228"/>
      <c r="J279" s="228"/>
      <c r="K279" s="228"/>
      <c r="L279" s="228"/>
    </row>
    <row r="280" spans="1:12" x14ac:dyDescent="0.25">
      <c r="A280" s="228"/>
      <c r="B280" s="228"/>
      <c r="C280" s="228"/>
      <c r="D280" s="228"/>
      <c r="E280" s="228"/>
      <c r="F280" s="228"/>
      <c r="G280" s="228"/>
      <c r="H280" s="228"/>
      <c r="I280" s="228"/>
      <c r="J280" s="228"/>
      <c r="K280" s="228"/>
      <c r="L280" s="228"/>
    </row>
    <row r="281" spans="1:12" x14ac:dyDescent="0.25">
      <c r="A281" s="228"/>
      <c r="B281" s="228"/>
      <c r="C281" s="228"/>
      <c r="D281" s="228"/>
      <c r="E281" s="228"/>
      <c r="F281" s="228"/>
      <c r="G281" s="228"/>
      <c r="H281" s="228"/>
      <c r="I281" s="228"/>
      <c r="J281" s="228"/>
      <c r="K281" s="228"/>
      <c r="L281" s="228"/>
    </row>
    <row r="282" spans="1:12" x14ac:dyDescent="0.25">
      <c r="A282" s="228"/>
      <c r="B282" s="228"/>
      <c r="C282" s="228"/>
      <c r="D282" s="228"/>
      <c r="E282" s="228"/>
      <c r="F282" s="228"/>
      <c r="G282" s="228"/>
      <c r="H282" s="228"/>
      <c r="I282" s="228"/>
      <c r="J282" s="228"/>
      <c r="K282" s="228"/>
      <c r="L282" s="228"/>
    </row>
    <row r="283" spans="1:12" x14ac:dyDescent="0.25">
      <c r="A283" s="228"/>
      <c r="B283" s="228"/>
      <c r="C283" s="228"/>
      <c r="D283" s="228"/>
      <c r="E283" s="228"/>
      <c r="F283" s="228"/>
      <c r="G283" s="228"/>
      <c r="H283" s="228"/>
      <c r="I283" s="228"/>
      <c r="J283" s="228"/>
      <c r="K283" s="228"/>
      <c r="L283" s="228"/>
    </row>
    <row r="284" spans="1:12" x14ac:dyDescent="0.25">
      <c r="A284" s="228"/>
      <c r="B284" s="228"/>
      <c r="C284" s="228"/>
      <c r="D284" s="228"/>
      <c r="E284" s="228"/>
      <c r="F284" s="228"/>
      <c r="G284" s="228"/>
      <c r="H284" s="228"/>
      <c r="I284" s="228"/>
      <c r="J284" s="228"/>
      <c r="K284" s="228"/>
      <c r="L284" s="228"/>
    </row>
    <row r="285" spans="1:12" x14ac:dyDescent="0.25">
      <c r="A285" s="228"/>
      <c r="B285" s="228"/>
      <c r="C285" s="228"/>
      <c r="D285" s="228"/>
      <c r="E285" s="228"/>
      <c r="F285" s="228"/>
      <c r="G285" s="228"/>
      <c r="H285" s="228"/>
      <c r="I285" s="228"/>
      <c r="J285" s="228"/>
      <c r="K285" s="228"/>
      <c r="L285" s="228"/>
    </row>
    <row r="286" spans="1:12" x14ac:dyDescent="0.25">
      <c r="A286" s="228"/>
      <c r="B286" s="228"/>
      <c r="C286" s="228"/>
      <c r="D286" s="228"/>
      <c r="E286" s="228"/>
      <c r="F286" s="228"/>
      <c r="G286" s="228"/>
      <c r="H286" s="228"/>
      <c r="I286" s="228"/>
      <c r="J286" s="228"/>
      <c r="K286" s="228"/>
      <c r="L286" s="228"/>
    </row>
    <row r="287" spans="1:12" x14ac:dyDescent="0.25">
      <c r="A287" s="228"/>
      <c r="B287" s="228"/>
      <c r="C287" s="228"/>
      <c r="D287" s="228"/>
      <c r="E287" s="228"/>
      <c r="F287" s="228"/>
      <c r="G287" s="228"/>
      <c r="H287" s="228"/>
      <c r="I287" s="228"/>
      <c r="J287" s="228"/>
      <c r="K287" s="228"/>
      <c r="L287" s="228"/>
    </row>
    <row r="288" spans="1:12" x14ac:dyDescent="0.25">
      <c r="A288" s="228"/>
      <c r="B288" s="228"/>
      <c r="C288" s="228"/>
      <c r="D288" s="228"/>
      <c r="E288" s="228"/>
      <c r="F288" s="228"/>
      <c r="G288" s="228"/>
      <c r="H288" s="228"/>
      <c r="I288" s="228"/>
      <c r="J288" s="228"/>
      <c r="K288" s="228"/>
      <c r="L288" s="228"/>
    </row>
    <row r="289" spans="1:12" x14ac:dyDescent="0.25">
      <c r="A289" s="228"/>
      <c r="B289" s="228"/>
      <c r="C289" s="228"/>
      <c r="D289" s="228"/>
      <c r="E289" s="228"/>
      <c r="F289" s="228"/>
      <c r="G289" s="228"/>
      <c r="H289" s="228"/>
      <c r="I289" s="228"/>
      <c r="J289" s="228"/>
      <c r="K289" s="228"/>
      <c r="L289" s="228"/>
    </row>
    <row r="290" spans="1:12" x14ac:dyDescent="0.25">
      <c r="A290" s="228"/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</row>
    <row r="291" spans="1:12" x14ac:dyDescent="0.25">
      <c r="A291" s="228"/>
      <c r="B291" s="228"/>
      <c r="C291" s="228"/>
      <c r="D291" s="228"/>
      <c r="E291" s="228"/>
      <c r="F291" s="228"/>
      <c r="G291" s="228"/>
      <c r="H291" s="228"/>
      <c r="I291" s="228"/>
      <c r="J291" s="228"/>
      <c r="K291" s="228"/>
      <c r="L291" s="228"/>
    </row>
    <row r="292" spans="1:12" x14ac:dyDescent="0.25">
      <c r="A292" s="228"/>
      <c r="B292" s="228"/>
      <c r="C292" s="228"/>
      <c r="D292" s="228"/>
      <c r="E292" s="228"/>
      <c r="F292" s="228"/>
      <c r="G292" s="228"/>
      <c r="H292" s="228"/>
      <c r="I292" s="228"/>
      <c r="J292" s="228"/>
      <c r="K292" s="228"/>
      <c r="L292" s="228"/>
    </row>
    <row r="293" spans="1:12" x14ac:dyDescent="0.25">
      <c r="A293" s="228"/>
      <c r="B293" s="228"/>
      <c r="C293" s="228"/>
      <c r="D293" s="228"/>
      <c r="E293" s="228"/>
      <c r="F293" s="228"/>
      <c r="G293" s="228"/>
      <c r="H293" s="228"/>
      <c r="I293" s="228"/>
      <c r="J293" s="228"/>
      <c r="K293" s="228"/>
      <c r="L293" s="228"/>
    </row>
    <row r="294" spans="1:12" x14ac:dyDescent="0.25">
      <c r="A294" s="228"/>
      <c r="B294" s="228"/>
      <c r="C294" s="228"/>
      <c r="D294" s="228"/>
      <c r="E294" s="228"/>
      <c r="F294" s="228"/>
      <c r="G294" s="228"/>
      <c r="H294" s="228"/>
      <c r="I294" s="228"/>
      <c r="J294" s="228"/>
      <c r="K294" s="228"/>
      <c r="L294" s="228"/>
    </row>
    <row r="295" spans="1:12" x14ac:dyDescent="0.25">
      <c r="A295" s="228"/>
      <c r="B295" s="228"/>
      <c r="C295" s="228"/>
      <c r="D295" s="228"/>
      <c r="E295" s="228"/>
      <c r="F295" s="228"/>
      <c r="G295" s="228"/>
      <c r="H295" s="228"/>
      <c r="I295" s="228"/>
      <c r="J295" s="228"/>
      <c r="K295" s="228"/>
      <c r="L295" s="228"/>
    </row>
    <row r="296" spans="1:12" x14ac:dyDescent="0.25">
      <c r="A296" s="228"/>
      <c r="B296" s="228"/>
      <c r="C296" s="228"/>
      <c r="D296" s="228"/>
      <c r="E296" s="228"/>
      <c r="F296" s="228"/>
      <c r="G296" s="228"/>
      <c r="H296" s="228"/>
      <c r="I296" s="228"/>
      <c r="J296" s="228"/>
      <c r="K296" s="228"/>
      <c r="L296" s="228"/>
    </row>
    <row r="297" spans="1:12" x14ac:dyDescent="0.25">
      <c r="A297" s="228"/>
      <c r="B297" s="228"/>
      <c r="C297" s="228"/>
      <c r="D297" s="228"/>
      <c r="E297" s="228"/>
      <c r="F297" s="228"/>
      <c r="G297" s="228"/>
      <c r="H297" s="228"/>
      <c r="I297" s="228"/>
      <c r="J297" s="228"/>
      <c r="K297" s="228"/>
      <c r="L297" s="228"/>
    </row>
    <row r="298" spans="1:12" x14ac:dyDescent="0.25">
      <c r="A298" s="228"/>
      <c r="B298" s="228"/>
      <c r="C298" s="228"/>
      <c r="D298" s="228"/>
      <c r="E298" s="228"/>
      <c r="F298" s="228"/>
      <c r="G298" s="228"/>
      <c r="H298" s="228"/>
      <c r="I298" s="228"/>
      <c r="J298" s="228"/>
      <c r="K298" s="228"/>
      <c r="L298" s="228"/>
    </row>
    <row r="299" spans="1:12" x14ac:dyDescent="0.25">
      <c r="A299" s="228"/>
      <c r="B299" s="228"/>
      <c r="C299" s="228"/>
      <c r="D299" s="228"/>
      <c r="E299" s="228"/>
      <c r="F299" s="228"/>
      <c r="G299" s="228"/>
      <c r="H299" s="228"/>
      <c r="I299" s="228"/>
      <c r="J299" s="228"/>
      <c r="K299" s="228"/>
      <c r="L299" s="228"/>
    </row>
    <row r="300" spans="1:12" x14ac:dyDescent="0.25">
      <c r="A300" s="228"/>
      <c r="B300" s="228"/>
      <c r="C300" s="228"/>
      <c r="D300" s="228"/>
      <c r="E300" s="228"/>
      <c r="F300" s="228"/>
      <c r="G300" s="228"/>
      <c r="H300" s="228"/>
      <c r="I300" s="228"/>
      <c r="J300" s="228"/>
      <c r="K300" s="228"/>
      <c r="L300" s="228"/>
    </row>
    <row r="301" spans="1:12" x14ac:dyDescent="0.25">
      <c r="A301" s="228"/>
      <c r="B301" s="228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</row>
    <row r="302" spans="1:12" x14ac:dyDescent="0.25">
      <c r="A302" s="228"/>
      <c r="B302" s="228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</row>
    <row r="303" spans="1:12" x14ac:dyDescent="0.25">
      <c r="A303" s="228"/>
      <c r="B303" s="228"/>
      <c r="C303" s="228"/>
      <c r="D303" s="228"/>
      <c r="E303" s="228"/>
      <c r="F303" s="228"/>
      <c r="G303" s="228"/>
      <c r="H303" s="228"/>
      <c r="I303" s="228"/>
      <c r="J303" s="228"/>
      <c r="K303" s="228"/>
      <c r="L303" s="228"/>
    </row>
    <row r="304" spans="1:12" x14ac:dyDescent="0.25">
      <c r="A304" s="228"/>
      <c r="B304" s="228"/>
      <c r="C304" s="228"/>
      <c r="D304" s="228"/>
      <c r="E304" s="228"/>
      <c r="F304" s="228"/>
      <c r="G304" s="228"/>
      <c r="H304" s="228"/>
      <c r="I304" s="228"/>
      <c r="J304" s="228"/>
      <c r="K304" s="228"/>
      <c r="L304" s="228"/>
    </row>
    <row r="305" spans="1:12" x14ac:dyDescent="0.25">
      <c r="A305" s="228"/>
      <c r="B305" s="228"/>
      <c r="C305" s="228"/>
      <c r="D305" s="228"/>
      <c r="E305" s="228"/>
      <c r="F305" s="228"/>
      <c r="G305" s="228"/>
      <c r="H305" s="228"/>
      <c r="I305" s="228"/>
      <c r="J305" s="228"/>
      <c r="K305" s="228"/>
      <c r="L305" s="228"/>
    </row>
    <row r="306" spans="1:12" x14ac:dyDescent="0.25">
      <c r="A306" s="228"/>
      <c r="B306" s="228"/>
      <c r="C306" s="228"/>
      <c r="D306" s="228"/>
      <c r="E306" s="228"/>
      <c r="F306" s="228"/>
      <c r="G306" s="228"/>
      <c r="H306" s="228"/>
      <c r="I306" s="228"/>
      <c r="J306" s="228"/>
      <c r="K306" s="228"/>
      <c r="L306" s="228"/>
    </row>
    <row r="307" spans="1:12" x14ac:dyDescent="0.25">
      <c r="A307" s="228"/>
      <c r="B307" s="228"/>
      <c r="C307" s="228"/>
      <c r="D307" s="228"/>
      <c r="E307" s="228"/>
      <c r="F307" s="228"/>
      <c r="G307" s="228"/>
      <c r="H307" s="228"/>
      <c r="I307" s="228"/>
      <c r="J307" s="228"/>
      <c r="K307" s="228"/>
      <c r="L307" s="228"/>
    </row>
    <row r="308" spans="1:12" x14ac:dyDescent="0.25">
      <c r="A308" s="228"/>
      <c r="B308" s="228"/>
      <c r="C308" s="228"/>
      <c r="D308" s="228"/>
      <c r="E308" s="228"/>
      <c r="F308" s="228"/>
      <c r="G308" s="228"/>
      <c r="H308" s="228"/>
      <c r="I308" s="228"/>
      <c r="J308" s="228"/>
      <c r="K308" s="228"/>
      <c r="L308" s="228"/>
    </row>
    <row r="309" spans="1:12" x14ac:dyDescent="0.25">
      <c r="A309" s="228"/>
      <c r="B309" s="228"/>
      <c r="C309" s="228"/>
      <c r="D309" s="228"/>
      <c r="E309" s="228"/>
      <c r="F309" s="228"/>
      <c r="G309" s="228"/>
      <c r="H309" s="228"/>
      <c r="I309" s="228"/>
      <c r="J309" s="228"/>
      <c r="K309" s="228"/>
      <c r="L309" s="228"/>
    </row>
    <row r="310" spans="1:12" x14ac:dyDescent="0.25">
      <c r="A310" s="228"/>
      <c r="B310" s="228"/>
      <c r="C310" s="228"/>
      <c r="D310" s="228"/>
      <c r="E310" s="228"/>
      <c r="F310" s="228"/>
      <c r="G310" s="228"/>
      <c r="H310" s="228"/>
      <c r="I310" s="228"/>
      <c r="J310" s="228"/>
      <c r="K310" s="228"/>
      <c r="L310" s="228"/>
    </row>
    <row r="311" spans="1:12" x14ac:dyDescent="0.25">
      <c r="A311" s="228"/>
      <c r="B311" s="228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</row>
    <row r="312" spans="1:12" x14ac:dyDescent="0.25">
      <c r="A312" s="228"/>
      <c r="B312" s="228"/>
      <c r="C312" s="228"/>
      <c r="D312" s="228"/>
      <c r="E312" s="228"/>
      <c r="F312" s="228"/>
      <c r="G312" s="228"/>
      <c r="H312" s="228"/>
      <c r="I312" s="228"/>
      <c r="J312" s="228"/>
      <c r="K312" s="228"/>
      <c r="L312" s="228"/>
    </row>
    <row r="313" spans="1:12" x14ac:dyDescent="0.25">
      <c r="A313" s="228"/>
      <c r="B313" s="228"/>
      <c r="C313" s="228"/>
      <c r="D313" s="228"/>
      <c r="E313" s="228"/>
      <c r="F313" s="228"/>
      <c r="G313" s="228"/>
      <c r="H313" s="228"/>
      <c r="I313" s="228"/>
      <c r="J313" s="228"/>
      <c r="K313" s="228"/>
      <c r="L313" s="228"/>
    </row>
    <row r="314" spans="1:12" x14ac:dyDescent="0.25">
      <c r="A314" s="228"/>
      <c r="B314" s="228"/>
      <c r="C314" s="228"/>
      <c r="D314" s="228"/>
      <c r="E314" s="228"/>
      <c r="F314" s="228"/>
      <c r="G314" s="228"/>
      <c r="H314" s="228"/>
      <c r="I314" s="228"/>
      <c r="J314" s="228"/>
      <c r="K314" s="228"/>
      <c r="L314" s="228"/>
    </row>
    <row r="315" spans="1:12" x14ac:dyDescent="0.25">
      <c r="A315" s="228"/>
      <c r="B315" s="228"/>
      <c r="C315" s="228"/>
      <c r="D315" s="228"/>
      <c r="E315" s="228"/>
      <c r="F315" s="228"/>
      <c r="G315" s="228"/>
      <c r="H315" s="228"/>
      <c r="I315" s="228"/>
      <c r="J315" s="228"/>
      <c r="K315" s="228"/>
      <c r="L315" s="228"/>
    </row>
    <row r="316" spans="1:12" x14ac:dyDescent="0.25">
      <c r="A316" s="228"/>
      <c r="B316" s="228"/>
      <c r="C316" s="228"/>
      <c r="D316" s="228"/>
      <c r="E316" s="228"/>
      <c r="F316" s="228"/>
      <c r="G316" s="228"/>
      <c r="H316" s="228"/>
      <c r="I316" s="228"/>
      <c r="J316" s="228"/>
      <c r="K316" s="228"/>
      <c r="L316" s="228"/>
    </row>
    <row r="317" spans="1:12" x14ac:dyDescent="0.25">
      <c r="A317" s="228"/>
      <c r="B317" s="228"/>
      <c r="C317" s="228"/>
      <c r="D317" s="228"/>
      <c r="E317" s="228"/>
      <c r="F317" s="228"/>
      <c r="G317" s="228"/>
      <c r="H317" s="228"/>
      <c r="I317" s="228"/>
      <c r="J317" s="228"/>
      <c r="K317" s="228"/>
      <c r="L317" s="228"/>
    </row>
    <row r="318" spans="1:12" x14ac:dyDescent="0.25">
      <c r="A318" s="228"/>
      <c r="B318" s="228"/>
      <c r="C318" s="228"/>
      <c r="D318" s="228"/>
      <c r="E318" s="228"/>
      <c r="F318" s="228"/>
      <c r="G318" s="228"/>
      <c r="H318" s="228"/>
      <c r="I318" s="228"/>
      <c r="J318" s="228"/>
      <c r="K318" s="228"/>
      <c r="L318" s="228"/>
    </row>
    <row r="319" spans="1:12" x14ac:dyDescent="0.25">
      <c r="A319" s="228"/>
      <c r="B319" s="228"/>
      <c r="C319" s="228"/>
      <c r="D319" s="228"/>
      <c r="E319" s="228"/>
      <c r="F319" s="228"/>
      <c r="G319" s="228"/>
      <c r="H319" s="228"/>
      <c r="I319" s="228"/>
      <c r="J319" s="228"/>
      <c r="K319" s="228"/>
      <c r="L319" s="228"/>
    </row>
    <row r="320" spans="1:12" x14ac:dyDescent="0.25">
      <c r="A320" s="228"/>
      <c r="B320" s="228"/>
      <c r="C320" s="228"/>
      <c r="D320" s="228"/>
      <c r="E320" s="228"/>
      <c r="F320" s="228"/>
      <c r="G320" s="228"/>
      <c r="H320" s="228"/>
      <c r="I320" s="228"/>
      <c r="J320" s="228"/>
      <c r="K320" s="228"/>
      <c r="L320" s="228"/>
    </row>
    <row r="321" spans="1:12" x14ac:dyDescent="0.25">
      <c r="A321" s="228"/>
      <c r="B321" s="228"/>
      <c r="C321" s="228"/>
      <c r="D321" s="228"/>
      <c r="E321" s="228"/>
      <c r="F321" s="228"/>
      <c r="G321" s="228"/>
      <c r="H321" s="228"/>
      <c r="I321" s="228"/>
      <c r="J321" s="228"/>
      <c r="K321" s="228"/>
      <c r="L321" s="228"/>
    </row>
    <row r="322" spans="1:12" x14ac:dyDescent="0.25">
      <c r="A322" s="228"/>
      <c r="B322" s="228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</row>
    <row r="323" spans="1:12" x14ac:dyDescent="0.25">
      <c r="A323" s="228"/>
      <c r="B323" s="228"/>
      <c r="C323" s="228"/>
      <c r="D323" s="228"/>
      <c r="E323" s="228"/>
      <c r="F323" s="228"/>
      <c r="G323" s="228"/>
      <c r="H323" s="228"/>
      <c r="I323" s="228"/>
      <c r="J323" s="228"/>
      <c r="K323" s="228"/>
      <c r="L323" s="228"/>
    </row>
    <row r="324" spans="1:12" x14ac:dyDescent="0.25">
      <c r="A324" s="228"/>
      <c r="B324" s="228"/>
      <c r="C324" s="228"/>
      <c r="D324" s="228"/>
      <c r="E324" s="228"/>
      <c r="F324" s="228"/>
      <c r="G324" s="228"/>
      <c r="H324" s="228"/>
      <c r="I324" s="228"/>
      <c r="J324" s="228"/>
      <c r="K324" s="228"/>
      <c r="L324" s="228"/>
    </row>
    <row r="325" spans="1:12" x14ac:dyDescent="0.25">
      <c r="A325" s="228"/>
      <c r="B325" s="228"/>
      <c r="C325" s="228"/>
      <c r="D325" s="228"/>
      <c r="E325" s="228"/>
      <c r="F325" s="228"/>
      <c r="G325" s="228"/>
      <c r="H325" s="228"/>
      <c r="I325" s="228"/>
      <c r="J325" s="228"/>
      <c r="K325" s="228"/>
      <c r="L325" s="228"/>
    </row>
    <row r="326" spans="1:12" x14ac:dyDescent="0.25">
      <c r="A326" s="228"/>
      <c r="B326" s="228"/>
      <c r="C326" s="228"/>
      <c r="D326" s="228"/>
      <c r="E326" s="228"/>
      <c r="F326" s="228"/>
      <c r="G326" s="228"/>
      <c r="H326" s="228"/>
      <c r="I326" s="228"/>
      <c r="J326" s="228"/>
      <c r="K326" s="228"/>
      <c r="L326" s="228"/>
    </row>
    <row r="327" spans="1:12" x14ac:dyDescent="0.25">
      <c r="A327" s="228"/>
      <c r="B327" s="228"/>
      <c r="C327" s="228"/>
      <c r="D327" s="228"/>
      <c r="E327" s="228"/>
      <c r="F327" s="228"/>
      <c r="G327" s="228"/>
      <c r="H327" s="228"/>
      <c r="I327" s="228"/>
      <c r="J327" s="228"/>
      <c r="K327" s="228"/>
      <c r="L327" s="228"/>
    </row>
    <row r="328" spans="1:12" x14ac:dyDescent="0.25">
      <c r="A328" s="228"/>
      <c r="B328" s="228"/>
      <c r="C328" s="228"/>
      <c r="D328" s="228"/>
      <c r="E328" s="228"/>
      <c r="F328" s="228"/>
      <c r="G328" s="228"/>
      <c r="H328" s="228"/>
      <c r="I328" s="228"/>
      <c r="J328" s="228"/>
      <c r="K328" s="228"/>
      <c r="L328" s="228"/>
    </row>
    <row r="329" spans="1:12" x14ac:dyDescent="0.25">
      <c r="A329" s="228"/>
      <c r="B329" s="228"/>
      <c r="C329" s="228"/>
      <c r="D329" s="228"/>
      <c r="E329" s="228"/>
      <c r="F329" s="228"/>
      <c r="G329" s="228"/>
      <c r="H329" s="228"/>
      <c r="I329" s="228"/>
      <c r="J329" s="228"/>
      <c r="K329" s="228"/>
      <c r="L329" s="228"/>
    </row>
    <row r="330" spans="1:12" x14ac:dyDescent="0.25">
      <c r="A330" s="228"/>
      <c r="B330" s="228"/>
      <c r="C330" s="228"/>
      <c r="D330" s="228"/>
      <c r="E330" s="228"/>
      <c r="F330" s="228"/>
      <c r="G330" s="228"/>
      <c r="H330" s="228"/>
      <c r="I330" s="228"/>
      <c r="J330" s="228"/>
      <c r="K330" s="228"/>
      <c r="L330" s="228"/>
    </row>
    <row r="331" spans="1:12" x14ac:dyDescent="0.25">
      <c r="A331" s="228"/>
      <c r="B331" s="228"/>
      <c r="C331" s="228"/>
      <c r="D331" s="228"/>
      <c r="E331" s="228"/>
      <c r="F331" s="228"/>
      <c r="G331" s="228"/>
      <c r="H331" s="228"/>
      <c r="I331" s="228"/>
      <c r="J331" s="228"/>
      <c r="K331" s="228"/>
      <c r="L331" s="228"/>
    </row>
    <row r="332" spans="1:12" x14ac:dyDescent="0.25">
      <c r="A332" s="228"/>
      <c r="B332" s="228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</row>
    <row r="333" spans="1:12" x14ac:dyDescent="0.25">
      <c r="A333" s="228"/>
      <c r="B333" s="228"/>
      <c r="C333" s="228"/>
      <c r="D333" s="228"/>
      <c r="E333" s="228"/>
      <c r="F333" s="228"/>
      <c r="G333" s="228"/>
      <c r="H333" s="228"/>
      <c r="I333" s="228"/>
      <c r="J333" s="228"/>
      <c r="K333" s="228"/>
      <c r="L333" s="228"/>
    </row>
    <row r="334" spans="1:12" x14ac:dyDescent="0.25">
      <c r="A334" s="228"/>
      <c r="B334" s="228"/>
      <c r="C334" s="228"/>
      <c r="D334" s="228"/>
      <c r="E334" s="228"/>
      <c r="F334" s="228"/>
      <c r="G334" s="228"/>
      <c r="H334" s="228"/>
      <c r="I334" s="228"/>
      <c r="J334" s="228"/>
      <c r="K334" s="228"/>
      <c r="L334" s="228"/>
    </row>
    <row r="335" spans="1:12" x14ac:dyDescent="0.25">
      <c r="A335" s="228"/>
      <c r="B335" s="228"/>
      <c r="C335" s="228"/>
      <c r="D335" s="228"/>
      <c r="E335" s="228"/>
      <c r="F335" s="228"/>
      <c r="G335" s="228"/>
      <c r="H335" s="228"/>
      <c r="I335" s="228"/>
      <c r="J335" s="228"/>
      <c r="K335" s="228"/>
      <c r="L335" s="228"/>
    </row>
    <row r="336" spans="1:12" x14ac:dyDescent="0.25">
      <c r="A336" s="228"/>
      <c r="B336" s="228"/>
      <c r="C336" s="228"/>
      <c r="D336" s="228"/>
      <c r="E336" s="228"/>
      <c r="F336" s="228"/>
      <c r="G336" s="228"/>
      <c r="H336" s="228"/>
      <c r="I336" s="228"/>
      <c r="J336" s="228"/>
      <c r="K336" s="228"/>
      <c r="L336" s="228"/>
    </row>
    <row r="337" spans="1:12" x14ac:dyDescent="0.25">
      <c r="A337" s="228"/>
      <c r="B337" s="228"/>
      <c r="C337" s="228"/>
      <c r="D337" s="228"/>
      <c r="E337" s="228"/>
      <c r="F337" s="228"/>
      <c r="G337" s="228"/>
      <c r="H337" s="228"/>
      <c r="I337" s="228"/>
      <c r="J337" s="228"/>
      <c r="K337" s="228"/>
      <c r="L337" s="228"/>
    </row>
    <row r="338" spans="1:12" x14ac:dyDescent="0.25">
      <c r="A338" s="228"/>
      <c r="B338" s="228"/>
      <c r="C338" s="228"/>
      <c r="D338" s="228"/>
      <c r="E338" s="228"/>
      <c r="F338" s="228"/>
      <c r="G338" s="228"/>
      <c r="H338" s="228"/>
      <c r="I338" s="228"/>
      <c r="J338" s="228"/>
      <c r="K338" s="228"/>
      <c r="L338" s="228"/>
    </row>
    <row r="339" spans="1:12" x14ac:dyDescent="0.25">
      <c r="A339" s="228"/>
      <c r="B339" s="228"/>
      <c r="C339" s="228"/>
      <c r="D339" s="228"/>
      <c r="E339" s="228"/>
      <c r="F339" s="228"/>
      <c r="G339" s="228"/>
      <c r="H339" s="228"/>
      <c r="I339" s="228"/>
      <c r="J339" s="228"/>
      <c r="K339" s="228"/>
      <c r="L339" s="228"/>
    </row>
    <row r="340" spans="1:12" x14ac:dyDescent="0.25">
      <c r="A340" s="228"/>
      <c r="B340" s="228"/>
      <c r="C340" s="228"/>
      <c r="D340" s="228"/>
      <c r="E340" s="228"/>
      <c r="F340" s="228"/>
      <c r="G340" s="228"/>
      <c r="H340" s="228"/>
      <c r="I340" s="228"/>
      <c r="J340" s="228"/>
      <c r="K340" s="228"/>
      <c r="L340" s="228"/>
    </row>
    <row r="341" spans="1:12" x14ac:dyDescent="0.25">
      <c r="A341" s="228"/>
      <c r="B341" s="228"/>
      <c r="C341" s="228"/>
      <c r="D341" s="228"/>
      <c r="E341" s="228"/>
      <c r="F341" s="228"/>
      <c r="G341" s="228"/>
      <c r="H341" s="228"/>
      <c r="I341" s="228"/>
      <c r="J341" s="228"/>
      <c r="K341" s="228"/>
      <c r="L341" s="228"/>
    </row>
    <row r="342" spans="1:12" x14ac:dyDescent="0.25">
      <c r="A342" s="228"/>
      <c r="B342" s="228"/>
      <c r="C342" s="228"/>
      <c r="D342" s="228"/>
      <c r="E342" s="228"/>
      <c r="F342" s="228"/>
      <c r="G342" s="228"/>
      <c r="H342" s="228"/>
      <c r="I342" s="228"/>
      <c r="J342" s="228"/>
      <c r="K342" s="228"/>
      <c r="L342" s="228"/>
    </row>
    <row r="343" spans="1:12" x14ac:dyDescent="0.25">
      <c r="A343" s="228"/>
      <c r="B343" s="228"/>
      <c r="C343" s="228"/>
      <c r="D343" s="228"/>
      <c r="E343" s="228"/>
      <c r="F343" s="228"/>
      <c r="G343" s="228"/>
      <c r="H343" s="228"/>
      <c r="I343" s="228"/>
      <c r="J343" s="228"/>
      <c r="K343" s="228"/>
      <c r="L343" s="228"/>
    </row>
    <row r="344" spans="1:12" x14ac:dyDescent="0.25">
      <c r="A344" s="228"/>
      <c r="B344" s="228"/>
      <c r="C344" s="228"/>
      <c r="D344" s="228"/>
      <c r="E344" s="228"/>
      <c r="F344" s="228"/>
      <c r="G344" s="228"/>
      <c r="H344" s="228"/>
      <c r="I344" s="228"/>
      <c r="J344" s="228"/>
      <c r="K344" s="228"/>
      <c r="L344" s="228"/>
    </row>
    <row r="345" spans="1:12" x14ac:dyDescent="0.25">
      <c r="A345" s="228"/>
      <c r="B345" s="228"/>
      <c r="C345" s="228"/>
      <c r="D345" s="228"/>
      <c r="E345" s="228"/>
      <c r="F345" s="228"/>
      <c r="G345" s="228"/>
      <c r="H345" s="228"/>
      <c r="I345" s="228"/>
      <c r="J345" s="228"/>
      <c r="K345" s="228"/>
      <c r="L345" s="228"/>
    </row>
    <row r="346" spans="1:12" x14ac:dyDescent="0.25">
      <c r="A346" s="228"/>
      <c r="B346" s="228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</row>
    <row r="347" spans="1:12" x14ac:dyDescent="0.25">
      <c r="A347" s="228"/>
      <c r="B347" s="228"/>
      <c r="C347" s="228"/>
      <c r="D347" s="228"/>
      <c r="E347" s="228"/>
      <c r="F347" s="228"/>
      <c r="G347" s="228"/>
      <c r="H347" s="228"/>
      <c r="I347" s="228"/>
      <c r="J347" s="228"/>
      <c r="K347" s="228"/>
      <c r="L347" s="228"/>
    </row>
    <row r="348" spans="1:12" x14ac:dyDescent="0.25">
      <c r="A348" s="228"/>
      <c r="B348" s="228"/>
      <c r="C348" s="228"/>
      <c r="D348" s="228"/>
      <c r="E348" s="228"/>
      <c r="F348" s="228"/>
      <c r="G348" s="228"/>
      <c r="H348" s="228"/>
      <c r="I348" s="228"/>
      <c r="J348" s="228"/>
      <c r="K348" s="228"/>
      <c r="L348" s="228"/>
    </row>
    <row r="349" spans="1:12" x14ac:dyDescent="0.25">
      <c r="A349" s="228"/>
      <c r="B349" s="228"/>
      <c r="C349" s="228"/>
      <c r="D349" s="228"/>
      <c r="E349" s="228"/>
      <c r="F349" s="228"/>
      <c r="G349" s="228"/>
      <c r="H349" s="228"/>
      <c r="I349" s="228"/>
      <c r="J349" s="228"/>
      <c r="K349" s="228"/>
      <c r="L349" s="228"/>
    </row>
    <row r="350" spans="1:12" x14ac:dyDescent="0.25">
      <c r="A350" s="228"/>
      <c r="B350" s="228"/>
      <c r="C350" s="228"/>
      <c r="D350" s="228"/>
      <c r="E350" s="228"/>
      <c r="F350" s="228"/>
      <c r="G350" s="228"/>
      <c r="H350" s="228"/>
      <c r="I350" s="228"/>
      <c r="J350" s="228"/>
      <c r="K350" s="228"/>
      <c r="L350" s="228"/>
    </row>
    <row r="351" spans="1:12" x14ac:dyDescent="0.25">
      <c r="A351" s="228"/>
      <c r="B351" s="228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</row>
    <row r="352" spans="1:12" x14ac:dyDescent="0.25">
      <c r="A352" s="228"/>
      <c r="B352" s="228"/>
      <c r="C352" s="228"/>
      <c r="D352" s="228"/>
      <c r="E352" s="228"/>
      <c r="F352" s="228"/>
      <c r="G352" s="228"/>
      <c r="H352" s="228"/>
      <c r="I352" s="228"/>
      <c r="J352" s="228"/>
      <c r="K352" s="228"/>
      <c r="L352" s="228"/>
    </row>
    <row r="353" spans="1:12" x14ac:dyDescent="0.25">
      <c r="A353" s="228"/>
      <c r="B353" s="228"/>
      <c r="C353" s="228"/>
      <c r="D353" s="228"/>
      <c r="E353" s="228"/>
      <c r="F353" s="228"/>
      <c r="G353" s="228"/>
      <c r="H353" s="228"/>
      <c r="I353" s="228"/>
      <c r="J353" s="228"/>
      <c r="K353" s="228"/>
      <c r="L353" s="228"/>
    </row>
    <row r="354" spans="1:12" x14ac:dyDescent="0.25">
      <c r="A354" s="228"/>
      <c r="B354" s="228"/>
      <c r="C354" s="228"/>
      <c r="D354" s="228"/>
      <c r="E354" s="228"/>
      <c r="F354" s="228"/>
      <c r="G354" s="228"/>
      <c r="H354" s="228"/>
      <c r="I354" s="228"/>
      <c r="J354" s="228"/>
      <c r="K354" s="228"/>
      <c r="L354" s="228"/>
    </row>
    <row r="355" spans="1:12" x14ac:dyDescent="0.25">
      <c r="A355" s="228"/>
      <c r="B355" s="228"/>
      <c r="C355" s="228"/>
      <c r="D355" s="228"/>
      <c r="E355" s="228"/>
      <c r="F355" s="228"/>
      <c r="G355" s="228"/>
      <c r="H355" s="228"/>
      <c r="I355" s="228"/>
      <c r="J355" s="228"/>
      <c r="K355" s="228"/>
      <c r="L355" s="228"/>
    </row>
    <row r="356" spans="1:12" x14ac:dyDescent="0.25">
      <c r="A356" s="228"/>
      <c r="B356" s="228"/>
      <c r="C356" s="228"/>
      <c r="D356" s="228"/>
      <c r="E356" s="228"/>
      <c r="F356" s="228"/>
      <c r="G356" s="228"/>
      <c r="H356" s="228"/>
      <c r="I356" s="228"/>
      <c r="J356" s="228"/>
      <c r="K356" s="228"/>
      <c r="L356" s="228"/>
    </row>
    <row r="357" spans="1:12" x14ac:dyDescent="0.25">
      <c r="A357" s="228"/>
      <c r="B357" s="228"/>
      <c r="C357" s="228"/>
      <c r="D357" s="228"/>
      <c r="E357" s="228"/>
      <c r="F357" s="228"/>
      <c r="G357" s="228"/>
      <c r="H357" s="228"/>
      <c r="I357" s="228"/>
      <c r="J357" s="228"/>
      <c r="K357" s="228"/>
      <c r="L357" s="228"/>
    </row>
    <row r="358" spans="1:12" x14ac:dyDescent="0.25">
      <c r="A358" s="228"/>
      <c r="B358" s="228"/>
      <c r="C358" s="228"/>
      <c r="D358" s="228"/>
      <c r="E358" s="228"/>
      <c r="F358" s="228"/>
      <c r="G358" s="228"/>
      <c r="H358" s="228"/>
      <c r="I358" s="228"/>
      <c r="J358" s="228"/>
      <c r="K358" s="228"/>
      <c r="L358" s="228"/>
    </row>
    <row r="359" spans="1:12" x14ac:dyDescent="0.25">
      <c r="A359" s="228"/>
      <c r="B359" s="228"/>
      <c r="C359" s="228"/>
      <c r="D359" s="228"/>
      <c r="E359" s="228"/>
      <c r="F359" s="228"/>
      <c r="G359" s="228"/>
      <c r="H359" s="228"/>
      <c r="I359" s="228"/>
      <c r="J359" s="228"/>
      <c r="K359" s="228"/>
      <c r="L359" s="228"/>
    </row>
    <row r="360" spans="1:12" x14ac:dyDescent="0.25">
      <c r="A360" s="228"/>
      <c r="B360" s="228"/>
      <c r="C360" s="228"/>
      <c r="D360" s="228"/>
      <c r="E360" s="228"/>
      <c r="F360" s="228"/>
      <c r="G360" s="228"/>
      <c r="H360" s="228"/>
      <c r="I360" s="228"/>
      <c r="J360" s="228"/>
      <c r="K360" s="228"/>
      <c r="L360" s="228"/>
    </row>
    <row r="361" spans="1:12" x14ac:dyDescent="0.25">
      <c r="A361" s="228"/>
      <c r="B361" s="228"/>
      <c r="C361" s="228"/>
      <c r="D361" s="228"/>
      <c r="E361" s="228"/>
      <c r="F361" s="228"/>
      <c r="G361" s="228"/>
      <c r="H361" s="228"/>
      <c r="I361" s="228"/>
      <c r="J361" s="228"/>
      <c r="K361" s="228"/>
      <c r="L361" s="228"/>
    </row>
    <row r="362" spans="1:12" x14ac:dyDescent="0.25">
      <c r="A362" s="228"/>
      <c r="B362" s="228"/>
      <c r="C362" s="228"/>
      <c r="D362" s="228"/>
      <c r="E362" s="228"/>
      <c r="F362" s="228"/>
      <c r="G362" s="228"/>
      <c r="H362" s="228"/>
      <c r="I362" s="228"/>
      <c r="J362" s="228"/>
      <c r="K362" s="228"/>
      <c r="L362" s="228"/>
    </row>
    <row r="363" spans="1:12" x14ac:dyDescent="0.25">
      <c r="A363" s="228"/>
      <c r="B363" s="228"/>
      <c r="C363" s="228"/>
      <c r="D363" s="228"/>
      <c r="E363" s="228"/>
      <c r="F363" s="228"/>
      <c r="G363" s="228"/>
      <c r="H363" s="228"/>
      <c r="I363" s="228"/>
      <c r="J363" s="228"/>
      <c r="K363" s="228"/>
      <c r="L363" s="228"/>
    </row>
  </sheetData>
  <mergeCells count="2">
    <mergeCell ref="G10:L10"/>
    <mergeCell ref="A1:L1"/>
  </mergeCells>
  <pageMargins left="0.7" right="0.7" top="0.75" bottom="0.75" header="0.3" footer="0.3"/>
  <pageSetup paperSize="9" scale="97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79FE-3C99-4D12-9523-A90C8CFE61BC}">
  <dimension ref="A1:J41"/>
  <sheetViews>
    <sheetView showGridLines="0" workbookViewId="0"/>
  </sheetViews>
  <sheetFormatPr defaultRowHeight="15" x14ac:dyDescent="0.25"/>
  <cols>
    <col min="1" max="1" width="40.7109375" customWidth="1"/>
    <col min="2" max="9" width="10.7109375" style="39" customWidth="1"/>
  </cols>
  <sheetData>
    <row r="1" spans="1:10" x14ac:dyDescent="0.25">
      <c r="A1" s="895" t="s">
        <v>850</v>
      </c>
      <c r="B1" s="932"/>
      <c r="C1" s="932"/>
      <c r="D1" s="932"/>
      <c r="E1" s="932"/>
      <c r="F1" s="932"/>
      <c r="G1" s="932"/>
      <c r="H1" s="932"/>
      <c r="I1" s="932"/>
      <c r="J1" s="895"/>
    </row>
    <row r="2" spans="1:10" x14ac:dyDescent="0.25">
      <c r="A2" s="933"/>
      <c r="B2" s="934">
        <v>2012</v>
      </c>
      <c r="C2" s="934">
        <v>2013</v>
      </c>
      <c r="D2" s="934">
        <v>2014</v>
      </c>
      <c r="E2" s="934">
        <v>2015</v>
      </c>
      <c r="F2" s="934">
        <v>2016</v>
      </c>
      <c r="G2" s="934">
        <v>2017</v>
      </c>
      <c r="H2" s="872">
        <v>2018</v>
      </c>
      <c r="I2" s="934">
        <v>2019</v>
      </c>
      <c r="J2" s="935"/>
    </row>
    <row r="3" spans="1:10" x14ac:dyDescent="0.25">
      <c r="A3" s="431" t="s">
        <v>784</v>
      </c>
      <c r="B3" s="936">
        <v>164.83900000000139</v>
      </c>
      <c r="C3" s="936">
        <v>169.12099999999975</v>
      </c>
      <c r="D3" s="936">
        <v>-55.715999999998139</v>
      </c>
      <c r="E3" s="936">
        <v>-86.838999999998606</v>
      </c>
      <c r="F3" s="936">
        <v>-248.20831399999977</v>
      </c>
      <c r="G3" s="936">
        <v>424.15600000000001</v>
      </c>
      <c r="H3" s="937">
        <v>199.84399999999755</v>
      </c>
      <c r="I3" s="936">
        <v>212.50999999999331</v>
      </c>
      <c r="J3" s="935"/>
    </row>
    <row r="4" spans="1:10" x14ac:dyDescent="0.25">
      <c r="A4" s="33" t="s">
        <v>851</v>
      </c>
      <c r="B4" s="938">
        <v>157.434</v>
      </c>
      <c r="C4" s="938">
        <v>2.5763695200001822</v>
      </c>
      <c r="D4" s="938">
        <v>-125.98825588999992</v>
      </c>
      <c r="E4" s="938">
        <v>-199.97419779999996</v>
      </c>
      <c r="F4" s="938">
        <v>229.98539434999995</v>
      </c>
      <c r="G4" s="938">
        <v>-215.96680051000021</v>
      </c>
      <c r="H4" s="939">
        <v>-72.795716542049078</v>
      </c>
      <c r="I4" s="938">
        <v>74.236050999999975</v>
      </c>
      <c r="J4" s="935"/>
    </row>
    <row r="5" spans="1:10" x14ac:dyDescent="0.25">
      <c r="A5" s="36" t="s">
        <v>852</v>
      </c>
      <c r="B5" s="938">
        <v>163.74100000000001</v>
      </c>
      <c r="C5" s="938">
        <v>41.860999999999997</v>
      </c>
      <c r="D5" s="938">
        <v>-39.585000000000001</v>
      </c>
      <c r="E5" s="938">
        <v>-134.88900000000001</v>
      </c>
      <c r="F5" s="938">
        <v>267.74</v>
      </c>
      <c r="G5" s="938">
        <v>-205.00800000000001</v>
      </c>
      <c r="H5" s="939">
        <v>-71.239000000000004</v>
      </c>
      <c r="I5" s="938">
        <v>90.745000000000005</v>
      </c>
      <c r="J5" s="935"/>
    </row>
    <row r="6" spans="1:10" x14ac:dyDescent="0.25">
      <c r="A6" s="36" t="s">
        <v>853</v>
      </c>
      <c r="B6" s="938">
        <v>-6.3070000000000004</v>
      </c>
      <c r="C6" s="938">
        <v>-3.5859999999999999</v>
      </c>
      <c r="D6" s="938">
        <v>-46.1</v>
      </c>
      <c r="E6" s="938">
        <v>-13.499000000000001</v>
      </c>
      <c r="F6" s="938">
        <v>7.7110000000000003</v>
      </c>
      <c r="G6" s="938">
        <v>5.0380000000000003</v>
      </c>
      <c r="H6" s="939">
        <v>1.7000000000000001E-2</v>
      </c>
      <c r="I6" s="938">
        <v>-1.6379999999999999</v>
      </c>
      <c r="J6" s="935"/>
    </row>
    <row r="7" spans="1:10" x14ac:dyDescent="0.25">
      <c r="A7" s="36" t="s">
        <v>854</v>
      </c>
      <c r="B7" s="938">
        <v>0</v>
      </c>
      <c r="C7" s="938">
        <v>-35.698630479999821</v>
      </c>
      <c r="D7" s="938">
        <v>-40.30325588999991</v>
      </c>
      <c r="E7" s="938">
        <v>-51.586197799999965</v>
      </c>
      <c r="F7" s="938">
        <v>-45.465605650000043</v>
      </c>
      <c r="G7" s="938">
        <v>-15.996800510000204</v>
      </c>
      <c r="H7" s="939">
        <v>-1.5737165420490782</v>
      </c>
      <c r="I7" s="938">
        <v>-14.870949000000023</v>
      </c>
      <c r="J7" s="935"/>
    </row>
    <row r="8" spans="1:10" ht="15.75" thickBot="1" x14ac:dyDescent="0.3">
      <c r="A8" s="940" t="s">
        <v>785</v>
      </c>
      <c r="B8" s="941">
        <v>7.4050000000013974</v>
      </c>
      <c r="C8" s="941">
        <v>166.5446304799996</v>
      </c>
      <c r="D8" s="941">
        <v>70.272255890001773</v>
      </c>
      <c r="E8" s="941">
        <v>113.13519780000136</v>
      </c>
      <c r="F8" s="941">
        <v>-478.19370834999972</v>
      </c>
      <c r="G8" s="941">
        <v>640.12280051000016</v>
      </c>
      <c r="H8" s="942">
        <v>272.63971654204664</v>
      </c>
      <c r="I8" s="941">
        <v>138.27394899999328</v>
      </c>
      <c r="J8" s="935"/>
    </row>
    <row r="9" spans="1:10" x14ac:dyDescent="0.25">
      <c r="A9" s="33" t="s">
        <v>855</v>
      </c>
      <c r="B9" s="938">
        <v>-407.95875330999866</v>
      </c>
      <c r="C9" s="938">
        <v>99.433961134165529</v>
      </c>
      <c r="D9" s="938">
        <v>1191.8973160764911</v>
      </c>
      <c r="E9" s="938">
        <v>1319.2880770260692</v>
      </c>
      <c r="F9" s="938">
        <v>494.851</v>
      </c>
      <c r="G9" s="943">
        <v>249.215</v>
      </c>
      <c r="H9" s="939">
        <v>674.20699999999999</v>
      </c>
      <c r="I9" s="943">
        <v>900.61400000000003</v>
      </c>
      <c r="J9" s="935"/>
    </row>
    <row r="10" spans="1:10" x14ac:dyDescent="0.25">
      <c r="A10" s="33" t="s">
        <v>786</v>
      </c>
      <c r="B10" s="938">
        <v>-126.72207174999988</v>
      </c>
      <c r="C10" s="938">
        <v>256.12065353000003</v>
      </c>
      <c r="D10" s="938">
        <v>-849.32590082000013</v>
      </c>
      <c r="E10" s="938">
        <v>-175.05708049000009</v>
      </c>
      <c r="F10" s="938">
        <v>-101.58149585000007</v>
      </c>
      <c r="G10" s="938">
        <v>-53.017724509999972</v>
      </c>
      <c r="H10" s="939">
        <v>-198.554821</v>
      </c>
      <c r="I10" s="938">
        <v>107.75</v>
      </c>
      <c r="J10" s="935"/>
    </row>
    <row r="11" spans="1:10" x14ac:dyDescent="0.25">
      <c r="A11" s="36" t="s">
        <v>521</v>
      </c>
      <c r="B11" s="938">
        <v>-17.707000000000001</v>
      </c>
      <c r="C11" s="938">
        <v>-357.63499999999999</v>
      </c>
      <c r="D11" s="938">
        <v>-713.64499999999998</v>
      </c>
      <c r="E11" s="938">
        <v>-158.346</v>
      </c>
      <c r="F11" s="938">
        <v>-152.40100000000001</v>
      </c>
      <c r="G11" s="938">
        <v>-65.263000000000005</v>
      </c>
      <c r="H11" s="939">
        <v>-144.708</v>
      </c>
      <c r="I11" s="938">
        <v>1.032</v>
      </c>
      <c r="J11" s="935"/>
    </row>
    <row r="12" spans="1:10" x14ac:dyDescent="0.25">
      <c r="A12" s="36" t="s">
        <v>787</v>
      </c>
      <c r="B12" s="938">
        <v>-63.217339999999979</v>
      </c>
      <c r="C12" s="938">
        <v>687.89814299999989</v>
      </c>
      <c r="D12" s="938">
        <v>-124.649</v>
      </c>
      <c r="E12" s="938">
        <v>-63.235999999999997</v>
      </c>
      <c r="F12" s="938">
        <v>-23.574000000000002</v>
      </c>
      <c r="G12" s="938">
        <v>-39.139000000000003</v>
      </c>
      <c r="H12" s="939">
        <v>1.153</v>
      </c>
      <c r="I12" s="938">
        <v>8.2509999999999994</v>
      </c>
      <c r="J12" s="935"/>
    </row>
    <row r="13" spans="1:10" x14ac:dyDescent="0.25">
      <c r="A13" s="36" t="s">
        <v>788</v>
      </c>
      <c r="B13" s="938">
        <v>-9.9605614499999788</v>
      </c>
      <c r="C13" s="938">
        <v>33.988801430000024</v>
      </c>
      <c r="D13" s="938">
        <v>51.879024579999999</v>
      </c>
      <c r="E13" s="938">
        <v>13.770228710000024</v>
      </c>
      <c r="F13" s="938">
        <v>32.777525649999994</v>
      </c>
      <c r="G13" s="938">
        <v>31.106708180000016</v>
      </c>
      <c r="H13" s="939">
        <v>1.7900000000372528E-4</v>
      </c>
      <c r="I13" s="938">
        <v>66.856999999999999</v>
      </c>
      <c r="J13" s="935"/>
    </row>
    <row r="14" spans="1:10" x14ac:dyDescent="0.25">
      <c r="A14" s="36" t="s">
        <v>789</v>
      </c>
      <c r="B14" s="938">
        <v>4.1628297000000023</v>
      </c>
      <c r="C14" s="938">
        <v>21.868709099999993</v>
      </c>
      <c r="D14" s="938">
        <v>23.189074599999994</v>
      </c>
      <c r="E14" s="938">
        <v>32.754690800000013</v>
      </c>
      <c r="F14" s="938">
        <v>41.615978499999997</v>
      </c>
      <c r="G14" s="938">
        <v>20.277567310000013</v>
      </c>
      <c r="H14" s="939">
        <v>-55</v>
      </c>
      <c r="I14" s="938">
        <v>31.61</v>
      </c>
      <c r="J14" s="935"/>
    </row>
    <row r="15" spans="1:10" x14ac:dyDescent="0.25">
      <c r="A15" s="36" t="s">
        <v>790</v>
      </c>
      <c r="B15" s="938">
        <v>-40</v>
      </c>
      <c r="C15" s="938">
        <v>-130</v>
      </c>
      <c r="D15" s="938">
        <v>-86.1</v>
      </c>
      <c r="E15" s="938">
        <v>0</v>
      </c>
      <c r="F15" s="938">
        <v>0</v>
      </c>
      <c r="G15" s="938">
        <v>0</v>
      </c>
      <c r="H15" s="939">
        <v>0</v>
      </c>
      <c r="I15" s="938">
        <v>0</v>
      </c>
      <c r="J15" s="935"/>
    </row>
    <row r="16" spans="1:10" x14ac:dyDescent="0.25">
      <c r="A16" s="33" t="s">
        <v>791</v>
      </c>
      <c r="B16" s="938">
        <v>0</v>
      </c>
      <c r="C16" s="938">
        <v>-124.399</v>
      </c>
      <c r="D16" s="938">
        <v>-208.75299999999999</v>
      </c>
      <c r="E16" s="938">
        <v>-162.80360874999863</v>
      </c>
      <c r="F16" s="938">
        <v>-169.03428787999999</v>
      </c>
      <c r="G16" s="938">
        <v>-20.11135642</v>
      </c>
      <c r="H16" s="939">
        <v>-13.4</v>
      </c>
      <c r="I16" s="938">
        <v>0</v>
      </c>
      <c r="J16" s="935"/>
    </row>
    <row r="17" spans="1:10" x14ac:dyDescent="0.25">
      <c r="A17" s="33" t="s">
        <v>856</v>
      </c>
      <c r="B17" s="938">
        <v>0</v>
      </c>
      <c r="C17" s="938">
        <v>0</v>
      </c>
      <c r="D17" s="938">
        <v>0</v>
      </c>
      <c r="E17" s="938">
        <v>34.976092999999999</v>
      </c>
      <c r="F17" s="938">
        <v>0</v>
      </c>
      <c r="G17" s="938">
        <v>0</v>
      </c>
      <c r="H17" s="939">
        <v>0</v>
      </c>
      <c r="I17" s="938">
        <v>0</v>
      </c>
      <c r="J17" s="935"/>
    </row>
    <row r="18" spans="1:10" x14ac:dyDescent="0.25">
      <c r="A18" s="33" t="s">
        <v>792</v>
      </c>
      <c r="B18" s="938">
        <v>418.7680095800003</v>
      </c>
      <c r="C18" s="938">
        <v>564.5222405400001</v>
      </c>
      <c r="D18" s="938">
        <v>691.78292011999986</v>
      </c>
      <c r="E18" s="938">
        <v>85.624350270000292</v>
      </c>
      <c r="F18" s="938">
        <v>273.20021103999949</v>
      </c>
      <c r="G18" s="938">
        <v>404.53616524</v>
      </c>
      <c r="H18" s="939">
        <v>32.815423999999652</v>
      </c>
      <c r="I18" s="938">
        <v>248.51343899999978</v>
      </c>
      <c r="J18" s="935"/>
    </row>
    <row r="19" spans="1:10" x14ac:dyDescent="0.25">
      <c r="A19" s="36" t="s">
        <v>793</v>
      </c>
      <c r="B19" s="938">
        <v>220.77527885000001</v>
      </c>
      <c r="C19" s="938">
        <v>260.50172401999998</v>
      </c>
      <c r="D19" s="938">
        <v>257.00794767999997</v>
      </c>
      <c r="E19" s="938">
        <v>-87.165872070000034</v>
      </c>
      <c r="F19" s="938">
        <v>115.95172057000001</v>
      </c>
      <c r="G19" s="938">
        <v>298.38979639999997</v>
      </c>
      <c r="H19" s="939">
        <v>0</v>
      </c>
      <c r="I19" s="938">
        <v>241.15100000000001</v>
      </c>
      <c r="J19" s="935"/>
    </row>
    <row r="20" spans="1:10" x14ac:dyDescent="0.25">
      <c r="A20" s="36" t="s">
        <v>794</v>
      </c>
      <c r="B20" s="938">
        <v>132.19999999999999</v>
      </c>
      <c r="C20" s="938">
        <v>206.567553</v>
      </c>
      <c r="D20" s="938">
        <v>211.00899999999999</v>
      </c>
      <c r="E20" s="938">
        <v>-9.7757521100000009</v>
      </c>
      <c r="F20" s="938">
        <v>96.361787469999996</v>
      </c>
      <c r="G20" s="938">
        <v>26.209673000000009</v>
      </c>
      <c r="H20" s="939">
        <v>20.745424000000014</v>
      </c>
      <c r="I20" s="938">
        <v>0</v>
      </c>
      <c r="J20" s="935"/>
    </row>
    <row r="21" spans="1:10" x14ac:dyDescent="0.25">
      <c r="A21" s="36" t="s">
        <v>795</v>
      </c>
      <c r="B21" s="938">
        <v>23.973841299999972</v>
      </c>
      <c r="C21" s="938">
        <v>15.960384900000063</v>
      </c>
      <c r="D21" s="938">
        <v>188.81821420000006</v>
      </c>
      <c r="E21" s="938">
        <v>151.45245759999997</v>
      </c>
      <c r="F21" s="938">
        <v>42.523447999999973</v>
      </c>
      <c r="G21" s="938">
        <v>71.084843839999991</v>
      </c>
      <c r="H21" s="939">
        <v>3.109</v>
      </c>
      <c r="I21" s="938">
        <v>5.4724390000000129</v>
      </c>
      <c r="J21" s="935"/>
    </row>
    <row r="22" spans="1:10" x14ac:dyDescent="0.25">
      <c r="A22" s="36" t="s">
        <v>796</v>
      </c>
      <c r="B22" s="938">
        <v>41.818889429999984</v>
      </c>
      <c r="C22" s="938">
        <v>81.492578620000046</v>
      </c>
      <c r="D22" s="938">
        <v>34.947758239999878</v>
      </c>
      <c r="E22" s="938">
        <v>31.113516850000014</v>
      </c>
      <c r="F22" s="938">
        <v>18.363254999999889</v>
      </c>
      <c r="G22" s="938">
        <v>8.8518519999999548</v>
      </c>
      <c r="H22" s="939">
        <v>8.9610000000000003</v>
      </c>
      <c r="I22" s="938">
        <v>1.89</v>
      </c>
      <c r="J22" s="935"/>
    </row>
    <row r="23" spans="1:10" x14ac:dyDescent="0.25">
      <c r="A23" s="33" t="s">
        <v>797</v>
      </c>
      <c r="B23" s="938">
        <v>-373.07932821999958</v>
      </c>
      <c r="C23" s="938">
        <v>-172.47794488000031</v>
      </c>
      <c r="D23" s="938">
        <v>-360.6430307300007</v>
      </c>
      <c r="E23" s="938">
        <v>-431.37299910000058</v>
      </c>
      <c r="F23" s="938">
        <v>-139.71767119999976</v>
      </c>
      <c r="G23" s="938">
        <v>436.49776211000045</v>
      </c>
      <c r="H23" s="939">
        <v>216.15488800000026</v>
      </c>
      <c r="I23" s="938">
        <v>-1240.7521830000003</v>
      </c>
      <c r="J23" s="935"/>
    </row>
    <row r="24" spans="1:10" x14ac:dyDescent="0.25">
      <c r="A24" s="36" t="s">
        <v>798</v>
      </c>
      <c r="B24" s="938">
        <v>-96.295884280000109</v>
      </c>
      <c r="C24" s="938">
        <v>-102.12821015000017</v>
      </c>
      <c r="D24" s="938">
        <v>-233.27819123</v>
      </c>
      <c r="E24" s="938">
        <v>-273.98152617</v>
      </c>
      <c r="F24" s="938">
        <v>-166.83352596999939</v>
      </c>
      <c r="G24" s="938">
        <v>-118.40665555000025</v>
      </c>
      <c r="H24" s="939">
        <v>-8.1475359999998478</v>
      </c>
      <c r="I24" s="938">
        <v>-336.26400000000001</v>
      </c>
      <c r="J24" s="935"/>
    </row>
    <row r="25" spans="1:10" x14ac:dyDescent="0.25">
      <c r="A25" s="36" t="s">
        <v>114</v>
      </c>
      <c r="B25" s="938">
        <v>52.696064240000211</v>
      </c>
      <c r="C25" s="938">
        <v>85.709825089999939</v>
      </c>
      <c r="D25" s="938">
        <v>9.7489497500001452</v>
      </c>
      <c r="E25" s="938">
        <v>158.10653655999991</v>
      </c>
      <c r="F25" s="938">
        <v>90.93214093999984</v>
      </c>
      <c r="G25" s="938">
        <v>313.44919571999998</v>
      </c>
      <c r="H25" s="939">
        <v>169.99242400000011</v>
      </c>
      <c r="I25" s="938">
        <v>-458.50799999999998</v>
      </c>
      <c r="J25" s="935"/>
    </row>
    <row r="26" spans="1:10" x14ac:dyDescent="0.25">
      <c r="A26" s="36" t="s">
        <v>661</v>
      </c>
      <c r="B26" s="938">
        <v>-256.33065869000006</v>
      </c>
      <c r="C26" s="938">
        <v>-76.321347100000011</v>
      </c>
      <c r="D26" s="938">
        <v>-3.8963324499999872</v>
      </c>
      <c r="E26" s="938">
        <v>5.6217123399999691</v>
      </c>
      <c r="F26" s="938">
        <v>23.255685750000005</v>
      </c>
      <c r="G26" s="938">
        <v>0.5077304900000017</v>
      </c>
      <c r="H26" s="939">
        <v>0</v>
      </c>
      <c r="I26" s="938">
        <v>-90.757182999999998</v>
      </c>
      <c r="J26" s="935"/>
    </row>
    <row r="27" spans="1:10" x14ac:dyDescent="0.25">
      <c r="A27" s="36" t="s">
        <v>799</v>
      </c>
      <c r="B27" s="938">
        <v>-73.148849489999989</v>
      </c>
      <c r="C27" s="938">
        <v>-79.738212720000007</v>
      </c>
      <c r="D27" s="938">
        <v>-133.21745680000001</v>
      </c>
      <c r="E27" s="938">
        <v>-321.11972183</v>
      </c>
      <c r="F27" s="938">
        <v>-87.071971919999925</v>
      </c>
      <c r="G27" s="938">
        <v>240.94749145000009</v>
      </c>
      <c r="H27" s="939">
        <v>54.31</v>
      </c>
      <c r="I27" s="938">
        <v>-355.22300000000001</v>
      </c>
      <c r="J27" s="935"/>
    </row>
    <row r="28" spans="1:10" x14ac:dyDescent="0.25">
      <c r="A28" s="33" t="s">
        <v>800</v>
      </c>
      <c r="B28" s="938">
        <v>-180.09360000000001</v>
      </c>
      <c r="C28" s="938">
        <v>-92.852500000000006</v>
      </c>
      <c r="D28" s="938">
        <v>-151.1575</v>
      </c>
      <c r="E28" s="938">
        <v>-17.045999999999999</v>
      </c>
      <c r="F28" s="938">
        <v>-39.201000000000001</v>
      </c>
      <c r="G28" s="938">
        <v>-89.441000000000003</v>
      </c>
      <c r="H28" s="939">
        <v>1.4999999999999999E-2</v>
      </c>
      <c r="I28" s="938">
        <v>0</v>
      </c>
      <c r="J28" s="935"/>
    </row>
    <row r="29" spans="1:10" x14ac:dyDescent="0.25">
      <c r="A29" s="33" t="s">
        <v>801</v>
      </c>
      <c r="B29" s="938">
        <v>61.770304999999702</v>
      </c>
      <c r="C29" s="938">
        <v>11.588660000000148</v>
      </c>
      <c r="D29" s="938">
        <v>-172.820233</v>
      </c>
      <c r="E29" s="938">
        <v>-234.71581819000002</v>
      </c>
      <c r="F29" s="938">
        <v>-272.15699999999998</v>
      </c>
      <c r="G29" s="938">
        <v>-126.675</v>
      </c>
      <c r="H29" s="939">
        <v>-218.67400000000001</v>
      </c>
      <c r="I29" s="938">
        <v>-24.718</v>
      </c>
      <c r="J29" s="935"/>
    </row>
    <row r="30" spans="1:10" x14ac:dyDescent="0.25">
      <c r="A30" s="33" t="s">
        <v>802</v>
      </c>
      <c r="B30" s="938">
        <v>-22.367604999999998</v>
      </c>
      <c r="C30" s="938">
        <v>-30.197402999999998</v>
      </c>
      <c r="D30" s="938">
        <v>-61.935000000000002</v>
      </c>
      <c r="E30" s="938">
        <v>-17.731000000000002</v>
      </c>
      <c r="F30" s="938">
        <v>-66.465999999999994</v>
      </c>
      <c r="G30" s="938">
        <v>-34.720999999999997</v>
      </c>
      <c r="H30" s="939">
        <v>58.494999999999997</v>
      </c>
      <c r="I30" s="938">
        <v>0.749</v>
      </c>
      <c r="J30" s="935"/>
    </row>
    <row r="31" spans="1:10" x14ac:dyDescent="0.25">
      <c r="A31" s="33" t="s">
        <v>803</v>
      </c>
      <c r="B31" s="938">
        <v>87.948591000000022</v>
      </c>
      <c r="C31" s="938">
        <v>53.540403999998233</v>
      </c>
      <c r="D31" s="938">
        <v>-14.389500999999232</v>
      </c>
      <c r="E31" s="938">
        <v>47.932102939999659</v>
      </c>
      <c r="F31" s="938">
        <v>79.481037919999096</v>
      </c>
      <c r="G31" s="938">
        <v>-7.2658363499995318</v>
      </c>
      <c r="H31" s="939">
        <v>-62.569433000000195</v>
      </c>
      <c r="I31" s="938">
        <v>-130.21840399999917</v>
      </c>
      <c r="J31" s="935"/>
    </row>
    <row r="32" spans="1:10" x14ac:dyDescent="0.25">
      <c r="A32" s="33" t="s">
        <v>804</v>
      </c>
      <c r="B32" s="938">
        <v>64.805999999999997</v>
      </c>
      <c r="C32" s="938">
        <v>147.16</v>
      </c>
      <c r="D32" s="938">
        <v>3.677</v>
      </c>
      <c r="E32" s="938">
        <v>-20.658999999999999</v>
      </c>
      <c r="F32" s="938">
        <v>62.591000000000001</v>
      </c>
      <c r="G32" s="938">
        <v>-88.125</v>
      </c>
      <c r="H32" s="939">
        <v>-48.777999999999999</v>
      </c>
      <c r="I32" s="938">
        <v>0</v>
      </c>
      <c r="J32" s="935"/>
    </row>
    <row r="33" spans="1:10" x14ac:dyDescent="0.25">
      <c r="A33" s="33" t="s">
        <v>805</v>
      </c>
      <c r="B33" s="938">
        <v>46.6</v>
      </c>
      <c r="C33" s="938">
        <v>58.250999999999998</v>
      </c>
      <c r="D33" s="938">
        <v>36.049999999999997</v>
      </c>
      <c r="E33" s="938">
        <v>-16.044</v>
      </c>
      <c r="F33" s="938">
        <v>47.65</v>
      </c>
      <c r="G33" s="938">
        <v>-94.843999999999994</v>
      </c>
      <c r="H33" s="939">
        <v>9.5259999999999998</v>
      </c>
      <c r="I33" s="938">
        <v>0</v>
      </c>
      <c r="J33" s="935"/>
    </row>
    <row r="34" spans="1:10" x14ac:dyDescent="0.25">
      <c r="A34" s="33" t="s">
        <v>806</v>
      </c>
      <c r="B34" s="938">
        <v>-80.673000000000002</v>
      </c>
      <c r="C34" s="938">
        <v>-37.579000000000001</v>
      </c>
      <c r="D34" s="938">
        <v>-28.85</v>
      </c>
      <c r="E34" s="938">
        <v>22.777000000000001</v>
      </c>
      <c r="F34" s="938">
        <v>-17.018000000000001</v>
      </c>
      <c r="G34" s="938">
        <v>7.3010000000000002</v>
      </c>
      <c r="H34" s="939">
        <v>11.632999999999999</v>
      </c>
      <c r="I34" s="938">
        <v>17.882999999999999</v>
      </c>
      <c r="J34" s="935"/>
    </row>
    <row r="35" spans="1:10" ht="15.75" thickBot="1" x14ac:dyDescent="0.3">
      <c r="A35" s="940" t="s">
        <v>807</v>
      </c>
      <c r="B35" s="941">
        <v>518.40645269999652</v>
      </c>
      <c r="C35" s="941">
        <v>-566.56644084415768</v>
      </c>
      <c r="D35" s="941">
        <v>-5.2608147564921532</v>
      </c>
      <c r="E35" s="941">
        <v>-322.03291890607403</v>
      </c>
      <c r="F35" s="941">
        <v>-630.79150237999488</v>
      </c>
      <c r="G35" s="941">
        <v>56.773790439995004</v>
      </c>
      <c r="H35" s="942">
        <v>-188.23034145795367</v>
      </c>
      <c r="I35" s="941">
        <v>258.45309699999353</v>
      </c>
      <c r="J35" s="935"/>
    </row>
    <row r="36" spans="1:10" x14ac:dyDescent="0.25">
      <c r="A36" s="33" t="s">
        <v>857</v>
      </c>
      <c r="B36" s="938">
        <v>168.2432562700013</v>
      </c>
      <c r="C36" s="938">
        <v>542.13357119416582</v>
      </c>
      <c r="D36" s="938">
        <v>1757.6919803064911</v>
      </c>
      <c r="E36" s="938">
        <v>1239.9143224960692</v>
      </c>
      <c r="F36" s="938">
        <v>998.03660538999975</v>
      </c>
      <c r="G36" s="943">
        <v>437.78436472999965</v>
      </c>
      <c r="H36" s="939">
        <v>634.22670745795108</v>
      </c>
      <c r="I36" s="943">
        <v>1223.3634900000002</v>
      </c>
      <c r="J36" s="935"/>
    </row>
    <row r="37" spans="1:10" ht="15.75" thickBot="1" x14ac:dyDescent="0.3">
      <c r="A37" s="944" t="s">
        <v>858</v>
      </c>
      <c r="B37" s="945">
        <v>-3.4042562699999053</v>
      </c>
      <c r="C37" s="945">
        <v>-373.01257119416607</v>
      </c>
      <c r="D37" s="945">
        <v>-1813.4079803064892</v>
      </c>
      <c r="E37" s="945">
        <v>-1326.7533224960678</v>
      </c>
      <c r="F37" s="945">
        <v>-1246.2449193899995</v>
      </c>
      <c r="G37" s="945">
        <v>-13.628364729999646</v>
      </c>
      <c r="H37" s="946">
        <v>-434.38270745795353</v>
      </c>
      <c r="I37" s="945">
        <v>-1010.8534900000069</v>
      </c>
      <c r="J37" s="935"/>
    </row>
    <row r="38" spans="1:10" x14ac:dyDescent="0.25">
      <c r="A38" s="33" t="s">
        <v>859</v>
      </c>
      <c r="B38" s="938">
        <v>-3323.7240000000002</v>
      </c>
      <c r="C38" s="938">
        <v>-2186.5329999999999</v>
      </c>
      <c r="D38" s="938">
        <v>-2000.4</v>
      </c>
      <c r="E38" s="938">
        <v>-1940.1</v>
      </c>
      <c r="F38" s="938">
        <v>-1556.504686</v>
      </c>
      <c r="G38" s="943">
        <v>-1083.489</v>
      </c>
      <c r="H38" s="939">
        <v>-742.81100000000151</v>
      </c>
      <c r="I38" s="943">
        <v>-309.39999999999998</v>
      </c>
      <c r="J38" s="935"/>
    </row>
    <row r="39" spans="1:10" x14ac:dyDescent="0.25">
      <c r="A39" s="431" t="s">
        <v>860</v>
      </c>
      <c r="B39" s="936">
        <v>-3155.4807437299987</v>
      </c>
      <c r="C39" s="936">
        <v>-1644.3994288058341</v>
      </c>
      <c r="D39" s="936">
        <v>-242.70801969350896</v>
      </c>
      <c r="E39" s="936">
        <v>-700.18567750393072</v>
      </c>
      <c r="F39" s="936">
        <v>-558.46808061000024</v>
      </c>
      <c r="G39" s="936">
        <v>-645.70463527000038</v>
      </c>
      <c r="H39" s="937">
        <v>-108.58429254205043</v>
      </c>
      <c r="I39" s="936">
        <v>913.96349000000021</v>
      </c>
      <c r="J39" s="935"/>
    </row>
    <row r="40" spans="1:10" ht="15.75" thickBot="1" x14ac:dyDescent="0.3">
      <c r="A40" s="944" t="s">
        <v>861</v>
      </c>
      <c r="B40" s="945">
        <v>-3158.8849999999984</v>
      </c>
      <c r="C40" s="945">
        <v>-2017.4120000000003</v>
      </c>
      <c r="D40" s="945">
        <v>-2056.1159999999982</v>
      </c>
      <c r="E40" s="945">
        <v>-2026.9389999999987</v>
      </c>
      <c r="F40" s="945">
        <v>-1804.7129999999997</v>
      </c>
      <c r="G40" s="945">
        <v>-659.33299999999997</v>
      </c>
      <c r="H40" s="946">
        <v>-542.96700000000396</v>
      </c>
      <c r="I40" s="945">
        <v>-96.890000000006694</v>
      </c>
      <c r="J40" s="935"/>
    </row>
    <row r="41" spans="1:10" ht="28.5" customHeight="1" x14ac:dyDescent="0.25">
      <c r="A41" s="1601" t="s">
        <v>862</v>
      </c>
      <c r="B41" s="1601"/>
      <c r="C41" s="1601"/>
      <c r="D41" s="1601"/>
      <c r="E41" s="1601"/>
      <c r="F41" s="1601"/>
      <c r="G41" s="1601"/>
      <c r="H41" s="947"/>
      <c r="I41" s="949" t="s">
        <v>863</v>
      </c>
      <c r="J41" s="948"/>
    </row>
  </sheetData>
  <mergeCells count="1">
    <mergeCell ref="A41:G4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6B01-8853-48D8-B31F-5016C4F1CAAB}">
  <dimension ref="A1:H37"/>
  <sheetViews>
    <sheetView showGridLines="0" workbookViewId="0"/>
  </sheetViews>
  <sheetFormatPr defaultRowHeight="12.75" x14ac:dyDescent="0.2"/>
  <cols>
    <col min="1" max="1" width="30.28515625" style="994" customWidth="1"/>
    <col min="2" max="2" width="11.42578125" style="994" bestFit="1" customWidth="1"/>
    <col min="3" max="16384" width="9.140625" style="994"/>
  </cols>
  <sheetData>
    <row r="1" spans="1:8" ht="16.5" customHeight="1" x14ac:dyDescent="0.2">
      <c r="A1" s="1066" t="s">
        <v>917</v>
      </c>
      <c r="B1" s="1067"/>
      <c r="C1" s="1067"/>
      <c r="D1" s="1067"/>
      <c r="E1" s="1067"/>
      <c r="F1" s="1067"/>
    </row>
    <row r="2" spans="1:8" x14ac:dyDescent="0.2">
      <c r="A2" s="1013"/>
      <c r="B2" s="958">
        <v>2017</v>
      </c>
      <c r="C2" s="958">
        <v>2018</v>
      </c>
      <c r="D2" s="958">
        <v>2019</v>
      </c>
      <c r="E2" s="958">
        <v>2020</v>
      </c>
      <c r="F2" s="958">
        <v>2021</v>
      </c>
    </row>
    <row r="3" spans="1:8" s="997" customFormat="1" ht="13.5" customHeight="1" x14ac:dyDescent="0.2">
      <c r="A3" s="1019" t="s">
        <v>918</v>
      </c>
      <c r="B3" s="1068">
        <v>-6.821379353146086E-3</v>
      </c>
      <c r="C3" s="1068">
        <v>-6.4082835653038834E-3</v>
      </c>
      <c r="D3" s="1068">
        <v>-5.9832193467282699E-3</v>
      </c>
      <c r="E3" s="1068">
        <v>-5.6180247430092931E-3</v>
      </c>
      <c r="F3" s="1068">
        <v>-5.3052166668059175E-3</v>
      </c>
    </row>
    <row r="4" spans="1:8" ht="15" customHeight="1" x14ac:dyDescent="0.2">
      <c r="A4" s="1069" t="s">
        <v>919</v>
      </c>
      <c r="B4" s="1068">
        <v>-8.1498630173209661E-3</v>
      </c>
      <c r="C4" s="1068" t="s">
        <v>175</v>
      </c>
      <c r="D4" s="1068" t="s">
        <v>175</v>
      </c>
      <c r="E4" s="1068" t="s">
        <v>175</v>
      </c>
      <c r="F4" s="1068" t="s">
        <v>175</v>
      </c>
    </row>
    <row r="5" spans="1:8" ht="15.75" customHeight="1" x14ac:dyDescent="0.2">
      <c r="A5" s="1069" t="s">
        <v>920</v>
      </c>
      <c r="B5" s="1068" t="s">
        <v>175</v>
      </c>
      <c r="C5" s="1068" t="s">
        <v>175</v>
      </c>
      <c r="D5" s="1068" t="s">
        <v>175</v>
      </c>
      <c r="E5" s="1068" t="s">
        <v>175</v>
      </c>
      <c r="F5" s="1068" t="s">
        <v>175</v>
      </c>
    </row>
    <row r="6" spans="1:8" ht="15.75" customHeight="1" x14ac:dyDescent="0.2">
      <c r="A6" s="1036" t="s">
        <v>921</v>
      </c>
      <c r="B6" s="1070">
        <f>SUM(B3:B5)</f>
        <v>-1.4971242370467052E-2</v>
      </c>
      <c r="C6" s="1070">
        <f t="shared" ref="C6:F6" si="0">SUM(C3:C5)</f>
        <v>-6.4082835653038834E-3</v>
      </c>
      <c r="D6" s="1070">
        <f t="shared" si="0"/>
        <v>-5.9832193467282699E-3</v>
      </c>
      <c r="E6" s="1070">
        <f t="shared" si="0"/>
        <v>-5.6180247430092931E-3</v>
      </c>
      <c r="F6" s="1070">
        <f t="shared" si="0"/>
        <v>-5.3052166668059175E-3</v>
      </c>
    </row>
    <row r="7" spans="1:8" x14ac:dyDescent="0.2">
      <c r="A7" s="1015"/>
      <c r="B7" s="1071"/>
      <c r="D7" s="1072"/>
      <c r="E7" s="1072" t="s">
        <v>84</v>
      </c>
    </row>
    <row r="9" spans="1:8" x14ac:dyDescent="0.2">
      <c r="G9" s="1073"/>
    </row>
    <row r="10" spans="1:8" x14ac:dyDescent="0.2">
      <c r="G10" s="1074"/>
    </row>
    <row r="11" spans="1:8" x14ac:dyDescent="0.2">
      <c r="A11" s="959"/>
      <c r="B11" s="960"/>
      <c r="C11" s="960"/>
      <c r="D11" s="960"/>
      <c r="E11" s="960"/>
      <c r="F11" s="960"/>
      <c r="G11" s="1074"/>
    </row>
    <row r="12" spans="1:8" x14ac:dyDescent="0.2">
      <c r="A12" s="963"/>
      <c r="B12" s="1075"/>
      <c r="C12" s="1075"/>
      <c r="D12" s="1075"/>
      <c r="E12" s="1075"/>
      <c r="F12" s="1075"/>
      <c r="G12" s="1074"/>
      <c r="H12" s="1076"/>
    </row>
    <row r="13" spans="1:8" x14ac:dyDescent="0.2">
      <c r="A13" s="963"/>
      <c r="B13" s="960"/>
      <c r="C13" s="960"/>
      <c r="D13" s="960"/>
      <c r="E13" s="960"/>
      <c r="F13" s="960"/>
      <c r="G13" s="1074"/>
      <c r="H13" s="1076"/>
    </row>
    <row r="14" spans="1:8" x14ac:dyDescent="0.2">
      <c r="A14" s="1077"/>
      <c r="B14" s="1078"/>
      <c r="C14" s="1079"/>
      <c r="D14" s="1079"/>
      <c r="E14" s="1079"/>
      <c r="F14" s="1079"/>
      <c r="G14" s="1074"/>
      <c r="H14" s="1076"/>
    </row>
    <row r="15" spans="1:8" x14ac:dyDescent="0.2">
      <c r="A15" s="1076"/>
      <c r="B15" s="1080"/>
      <c r="C15" s="1079"/>
      <c r="D15" s="1079"/>
      <c r="E15" s="1079"/>
      <c r="F15" s="1079"/>
      <c r="G15" s="1076"/>
      <c r="H15" s="1076"/>
    </row>
    <row r="16" spans="1:8" x14ac:dyDescent="0.2">
      <c r="A16" s="1081"/>
      <c r="B16" s="1078"/>
      <c r="C16" s="1079"/>
      <c r="D16" s="1079"/>
      <c r="E16" s="1079"/>
      <c r="F16" s="1079"/>
      <c r="G16" s="1076"/>
      <c r="H16" s="1076"/>
    </row>
    <row r="17" spans="1:8" x14ac:dyDescent="0.2">
      <c r="A17" s="1074"/>
      <c r="B17" s="1078"/>
      <c r="C17" s="1079"/>
      <c r="D17" s="1079"/>
      <c r="E17" s="1079"/>
      <c r="F17" s="1079"/>
      <c r="G17" s="1076"/>
      <c r="H17" s="1076"/>
    </row>
    <row r="18" spans="1:8" x14ac:dyDescent="0.2">
      <c r="A18" s="1076"/>
      <c r="B18" s="1079"/>
      <c r="C18" s="1082"/>
      <c r="D18" s="1079"/>
      <c r="E18" s="1079"/>
      <c r="F18" s="1079"/>
      <c r="G18" s="1076"/>
      <c r="H18" s="1076"/>
    </row>
    <row r="19" spans="1:8" x14ac:dyDescent="0.2">
      <c r="A19" s="1083"/>
      <c r="B19" s="1084"/>
      <c r="C19" s="1084"/>
      <c r="D19" s="1084"/>
      <c r="E19" s="1084"/>
      <c r="F19" s="1084"/>
      <c r="G19" s="1076"/>
      <c r="H19" s="1076"/>
    </row>
    <row r="20" spans="1:8" x14ac:dyDescent="0.2">
      <c r="A20" s="1085"/>
      <c r="B20" s="1086"/>
      <c r="C20" s="1086"/>
      <c r="D20" s="1086"/>
      <c r="E20" s="1087"/>
      <c r="F20" s="1076"/>
      <c r="G20" s="1076"/>
      <c r="H20" s="1076"/>
    </row>
    <row r="21" spans="1:8" x14ac:dyDescent="0.2">
      <c r="A21" s="1076"/>
      <c r="B21" s="1076"/>
      <c r="C21" s="1076"/>
      <c r="D21" s="1076"/>
      <c r="E21" s="1076"/>
      <c r="F21" s="1076"/>
      <c r="G21" s="1076"/>
      <c r="H21" s="1076"/>
    </row>
    <row r="22" spans="1:8" x14ac:dyDescent="0.2">
      <c r="A22" s="1088"/>
      <c r="B22" s="1089"/>
      <c r="C22" s="1089"/>
      <c r="D22" s="1089"/>
      <c r="E22" s="1089"/>
      <c r="F22" s="1089"/>
      <c r="G22" s="1076"/>
      <c r="H22" s="1076"/>
    </row>
    <row r="23" spans="1:8" x14ac:dyDescent="0.2">
      <c r="A23" s="1090"/>
      <c r="B23" s="1091"/>
      <c r="C23" s="1092"/>
      <c r="D23" s="1092"/>
      <c r="E23" s="1092"/>
      <c r="F23" s="1092"/>
      <c r="G23" s="1076"/>
      <c r="H23" s="1076"/>
    </row>
    <row r="24" spans="1:8" x14ac:dyDescent="0.2">
      <c r="A24" s="1093"/>
      <c r="B24" s="1094"/>
      <c r="C24" s="1094"/>
      <c r="D24" s="1094"/>
      <c r="E24" s="1094"/>
      <c r="F24" s="1094"/>
      <c r="G24" s="1076"/>
      <c r="H24" s="1076"/>
    </row>
    <row r="25" spans="1:8" x14ac:dyDescent="0.2">
      <c r="A25" s="1095"/>
      <c r="B25" s="1096"/>
      <c r="C25" s="1096"/>
      <c r="D25" s="1096"/>
      <c r="E25" s="1096"/>
      <c r="F25" s="1096"/>
      <c r="G25" s="1076"/>
    </row>
    <row r="26" spans="1:8" x14ac:dyDescent="0.2">
      <c r="A26" s="1076"/>
      <c r="B26" s="1076"/>
      <c r="C26" s="1076"/>
      <c r="D26" s="1076"/>
      <c r="E26" s="1602"/>
      <c r="F26" s="1602"/>
      <c r="G26" s="1076"/>
    </row>
    <row r="27" spans="1:8" x14ac:dyDescent="0.2">
      <c r="A27" s="1076"/>
      <c r="B27" s="1097"/>
      <c r="C27" s="1097"/>
      <c r="D27" s="1097"/>
      <c r="E27" s="1097"/>
      <c r="F27" s="1097"/>
      <c r="G27" s="1076"/>
    </row>
    <row r="28" spans="1:8" x14ac:dyDescent="0.2">
      <c r="A28" s="1076"/>
      <c r="B28" s="1076"/>
      <c r="C28" s="1076"/>
      <c r="D28" s="1076"/>
      <c r="E28" s="1076"/>
      <c r="F28" s="1076"/>
      <c r="G28" s="1076"/>
    </row>
    <row r="29" spans="1:8" x14ac:dyDescent="0.2">
      <c r="A29" s="1603"/>
      <c r="B29" s="1603"/>
      <c r="C29" s="1603"/>
      <c r="D29" s="1603"/>
      <c r="E29" s="1603"/>
      <c r="F29" s="1603"/>
      <c r="G29" s="1076"/>
    </row>
    <row r="30" spans="1:8" x14ac:dyDescent="0.2">
      <c r="A30" s="1098"/>
      <c r="B30" s="960"/>
      <c r="C30" s="960"/>
      <c r="D30" s="960"/>
      <c r="E30" s="960"/>
      <c r="F30" s="960"/>
      <c r="G30" s="1076"/>
    </row>
    <row r="31" spans="1:8" x14ac:dyDescent="0.2">
      <c r="A31" s="1076"/>
      <c r="B31" s="1099"/>
      <c r="C31" s="1099"/>
      <c r="D31" s="1099"/>
      <c r="E31" s="1099"/>
      <c r="F31" s="1099"/>
      <c r="G31" s="1076"/>
    </row>
    <row r="32" spans="1:8" x14ac:dyDescent="0.2">
      <c r="A32" s="1076"/>
      <c r="B32" s="984"/>
      <c r="C32" s="984"/>
      <c r="D32" s="984"/>
      <c r="E32" s="984"/>
      <c r="F32" s="984"/>
      <c r="G32" s="1076"/>
    </row>
    <row r="33" spans="3:6" x14ac:dyDescent="0.2">
      <c r="E33" s="1604"/>
      <c r="F33" s="1604"/>
    </row>
    <row r="37" spans="3:6" x14ac:dyDescent="0.2">
      <c r="C37" s="1100"/>
    </row>
  </sheetData>
  <mergeCells count="3">
    <mergeCell ref="E26:F26"/>
    <mergeCell ref="A29:F29"/>
    <mergeCell ref="E33:F33"/>
  </mergeCells>
  <pageMargins left="0.7" right="0.7" top="0.75" bottom="0.75" header="0.3" footer="0.3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08BB-B8F7-447B-BE4B-AF6B74D8C3A2}">
  <dimension ref="A1:G54"/>
  <sheetViews>
    <sheetView showGridLines="0" workbookViewId="0"/>
  </sheetViews>
  <sheetFormatPr defaultRowHeight="12" x14ac:dyDescent="0.2"/>
  <cols>
    <col min="1" max="1" width="51" style="1074" customWidth="1"/>
    <col min="2" max="2" width="10" style="1074" bestFit="1" customWidth="1"/>
    <col min="3" max="3" width="10.28515625" style="1074" bestFit="1" customWidth="1"/>
    <col min="4" max="4" width="10.140625" style="1074" bestFit="1" customWidth="1"/>
    <col min="5" max="5" width="9.85546875" style="1074" bestFit="1" customWidth="1"/>
    <col min="6" max="6" width="10" style="1074" bestFit="1" customWidth="1"/>
    <col min="7" max="16384" width="9.140625" style="1074"/>
  </cols>
  <sheetData>
    <row r="1" spans="1:6" ht="12.75" customHeight="1" x14ac:dyDescent="0.2">
      <c r="A1" s="1101" t="s">
        <v>744</v>
      </c>
      <c r="B1" s="1101"/>
      <c r="C1" s="1102"/>
      <c r="D1" s="1605"/>
      <c r="E1" s="1605"/>
      <c r="F1" s="1605"/>
    </row>
    <row r="2" spans="1:6" x14ac:dyDescent="0.2">
      <c r="A2" s="1103"/>
      <c r="B2" s="958" t="s">
        <v>922</v>
      </c>
      <c r="C2" s="958" t="s">
        <v>923</v>
      </c>
      <c r="D2" s="958" t="s">
        <v>924</v>
      </c>
      <c r="E2" s="958" t="s">
        <v>925</v>
      </c>
      <c r="F2" s="958" t="s">
        <v>926</v>
      </c>
    </row>
    <row r="3" spans="1:6" x14ac:dyDescent="0.2">
      <c r="A3" s="1093" t="s">
        <v>540</v>
      </c>
      <c r="B3" s="1104">
        <f>B4+B17+B20+B25</f>
        <v>34432.272000000004</v>
      </c>
      <c r="C3" s="1104">
        <f>C4+C17+C20+C25</f>
        <v>35388.049999999996</v>
      </c>
      <c r="D3" s="1104">
        <f>D4+D17+D20+D25</f>
        <v>37161.334999999999</v>
      </c>
      <c r="E3" s="1104">
        <f>E4+E17+E20+E25</f>
        <v>39744.764999999999</v>
      </c>
      <c r="F3" s="1104">
        <f>F4+F17+F20+F25</f>
        <v>41076.82</v>
      </c>
    </row>
    <row r="4" spans="1:6" x14ac:dyDescent="0.2">
      <c r="A4" s="1105" t="s">
        <v>23</v>
      </c>
      <c r="B4" s="1106">
        <f>B5+B10+B16</f>
        <v>16223.173000000001</v>
      </c>
      <c r="C4" s="1106">
        <f>C5+C10+C16</f>
        <v>16615.809000000001</v>
      </c>
      <c r="D4" s="1106">
        <f>D5+D10+D16</f>
        <v>17782.278000000002</v>
      </c>
      <c r="E4" s="1106">
        <f>E5+E10+E16</f>
        <v>18734.001</v>
      </c>
      <c r="F4" s="1106">
        <f>F5+F10+F16</f>
        <v>19411.864999999998</v>
      </c>
    </row>
    <row r="5" spans="1:6" x14ac:dyDescent="0.2">
      <c r="A5" s="1107" t="s">
        <v>927</v>
      </c>
      <c r="B5" s="1108">
        <v>9831.2980000000007</v>
      </c>
      <c r="C5" s="1108">
        <v>10020.389866666668</v>
      </c>
      <c r="D5" s="1108">
        <v>10666.058000000001</v>
      </c>
      <c r="E5" s="1108">
        <v>11208.237999999999</v>
      </c>
      <c r="F5" s="1108">
        <v>11499.567999999999</v>
      </c>
    </row>
    <row r="6" spans="1:6" x14ac:dyDescent="0.2">
      <c r="A6" s="1109" t="s">
        <v>928</v>
      </c>
      <c r="B6" s="1108">
        <v>6104.4170000000004</v>
      </c>
      <c r="C6" s="1108">
        <v>6349.5110000000004</v>
      </c>
      <c r="D6" s="1108">
        <v>6663.6639999999998</v>
      </c>
      <c r="E6" s="1108">
        <v>7016.0870000000004</v>
      </c>
      <c r="F6" s="1108">
        <v>7370.0590000000002</v>
      </c>
    </row>
    <row r="7" spans="1:6" x14ac:dyDescent="0.2">
      <c r="A7" s="1109" t="s">
        <v>929</v>
      </c>
      <c r="B7" s="1108">
        <v>2341.1289999999999</v>
      </c>
      <c r="C7" s="1108">
        <v>2327.3489999999997</v>
      </c>
      <c r="D7" s="1108">
        <v>2426.4250000000002</v>
      </c>
      <c r="E7" s="1108">
        <v>2496.3870000000002</v>
      </c>
      <c r="F7" s="1108">
        <v>2551.4690000000001</v>
      </c>
    </row>
    <row r="8" spans="1:6" x14ac:dyDescent="0.2">
      <c r="A8" s="1109" t="s">
        <v>930</v>
      </c>
      <c r="B8" s="1108">
        <v>0</v>
      </c>
      <c r="C8" s="1108">
        <v>0</v>
      </c>
      <c r="D8" s="1108">
        <v>0</v>
      </c>
      <c r="E8" s="1108">
        <v>0</v>
      </c>
      <c r="F8" s="1108">
        <v>0</v>
      </c>
    </row>
    <row r="9" spans="1:6" x14ac:dyDescent="0.2">
      <c r="A9" s="1109" t="s">
        <v>931</v>
      </c>
      <c r="B9" s="1108">
        <v>261.26</v>
      </c>
      <c r="C9" s="1108">
        <v>252.51866666666666</v>
      </c>
      <c r="D9" s="1108">
        <v>258.37900000000002</v>
      </c>
      <c r="E9" s="1108">
        <v>264.464</v>
      </c>
      <c r="F9" s="1108">
        <v>270.64600000000002</v>
      </c>
    </row>
    <row r="10" spans="1:6" x14ac:dyDescent="0.2">
      <c r="A10" s="1110" t="s">
        <v>932</v>
      </c>
      <c r="B10" s="1108">
        <v>6391.875</v>
      </c>
      <c r="C10" s="1108">
        <v>6595.4191333333338</v>
      </c>
      <c r="D10" s="1108">
        <v>7116.22</v>
      </c>
      <c r="E10" s="1108">
        <v>7525.7629999999999</v>
      </c>
      <c r="F10" s="1108">
        <v>7912.2969999999996</v>
      </c>
    </row>
    <row r="11" spans="1:6" x14ac:dyDescent="0.2">
      <c r="A11" s="1109" t="s">
        <v>933</v>
      </c>
      <c r="B11" s="1108">
        <v>3077.0920000000001</v>
      </c>
      <c r="C11" s="1108">
        <v>3189.6329999999998</v>
      </c>
      <c r="D11" s="1108">
        <v>3426.902</v>
      </c>
      <c r="E11" s="1108">
        <v>3704.1120000000001</v>
      </c>
      <c r="F11" s="1108">
        <v>3958.0649999999996</v>
      </c>
    </row>
    <row r="12" spans="1:6" x14ac:dyDescent="0.2">
      <c r="A12" s="1111" t="s">
        <v>934</v>
      </c>
      <c r="B12" s="1108">
        <v>2794.125</v>
      </c>
      <c r="C12" s="1108">
        <v>2902.819</v>
      </c>
      <c r="D12" s="1108">
        <v>3144.1039999999998</v>
      </c>
      <c r="E12" s="1108">
        <v>3274.6210000000001</v>
      </c>
      <c r="F12" s="1108">
        <v>3410.0729999999999</v>
      </c>
    </row>
    <row r="13" spans="1:6" ht="15" customHeight="1" x14ac:dyDescent="0.2">
      <c r="A13" s="1111" t="s">
        <v>935</v>
      </c>
      <c r="B13" s="1108">
        <v>242.63800000000001</v>
      </c>
      <c r="C13" s="1108">
        <v>229.74799999999999</v>
      </c>
      <c r="D13" s="1108">
        <v>235.63900000000001</v>
      </c>
      <c r="E13" s="1108">
        <v>249.21600000000001</v>
      </c>
      <c r="F13" s="1108">
        <v>249.166</v>
      </c>
    </row>
    <row r="14" spans="1:6" ht="12" customHeight="1" x14ac:dyDescent="0.2">
      <c r="A14" s="1111" t="s">
        <v>936</v>
      </c>
      <c r="B14" s="1108">
        <v>0</v>
      </c>
      <c r="C14" s="1108">
        <v>-1.1000000000000001</v>
      </c>
      <c r="D14" s="1108">
        <v>0</v>
      </c>
      <c r="E14" s="1108">
        <v>0</v>
      </c>
      <c r="F14" s="1108">
        <v>0</v>
      </c>
    </row>
    <row r="15" spans="1:6" x14ac:dyDescent="0.2">
      <c r="A15" s="1111" t="s">
        <v>931</v>
      </c>
      <c r="B15" s="1108">
        <v>120.506</v>
      </c>
      <c r="C15" s="1108">
        <v>116.13533333333334</v>
      </c>
      <c r="D15" s="1108">
        <v>118.465</v>
      </c>
      <c r="E15" s="1108">
        <v>120.92100000000001</v>
      </c>
      <c r="F15" s="1108">
        <v>123.426</v>
      </c>
    </row>
    <row r="16" spans="1:6" x14ac:dyDescent="0.2">
      <c r="A16" s="1107" t="s">
        <v>937</v>
      </c>
      <c r="B16" s="1108">
        <v>0</v>
      </c>
      <c r="C16" s="1108">
        <v>0</v>
      </c>
      <c r="D16" s="1108">
        <v>0</v>
      </c>
      <c r="E16" s="1108">
        <v>0</v>
      </c>
      <c r="F16" s="1108">
        <v>0</v>
      </c>
    </row>
    <row r="17" spans="1:6" x14ac:dyDescent="0.2">
      <c r="A17" s="1105" t="s">
        <v>938</v>
      </c>
      <c r="B17" s="1106">
        <v>13107.877</v>
      </c>
      <c r="C17" s="1106">
        <v>13507.873000000001</v>
      </c>
      <c r="D17" s="1106">
        <v>13998.315000000001</v>
      </c>
      <c r="E17" s="1106">
        <v>14615.514000000001</v>
      </c>
      <c r="F17" s="1106">
        <v>15211.682000000001</v>
      </c>
    </row>
    <row r="18" spans="1:6" x14ac:dyDescent="0.2">
      <c r="A18" s="1107" t="s">
        <v>939</v>
      </c>
      <c r="B18" s="1112">
        <v>12941.491</v>
      </c>
      <c r="C18" s="1112">
        <v>13341.487000000001</v>
      </c>
      <c r="D18" s="1112">
        <v>13824.348</v>
      </c>
      <c r="E18" s="1112">
        <v>14439.025000000001</v>
      </c>
      <c r="F18" s="1112">
        <v>15035.435000000001</v>
      </c>
    </row>
    <row r="19" spans="1:6" x14ac:dyDescent="0.2">
      <c r="A19" s="1107" t="s">
        <v>940</v>
      </c>
      <c r="B19" s="1108">
        <v>166.386</v>
      </c>
      <c r="C19" s="1108">
        <v>166.386</v>
      </c>
      <c r="D19" s="1108">
        <v>173.96700000000001</v>
      </c>
      <c r="E19" s="1108">
        <v>176.489</v>
      </c>
      <c r="F19" s="1108">
        <v>176.24700000000001</v>
      </c>
    </row>
    <row r="20" spans="1:6" x14ac:dyDescent="0.2">
      <c r="A20" s="1105" t="s">
        <v>941</v>
      </c>
      <c r="B20" s="1113">
        <v>4161.8379999999997</v>
      </c>
      <c r="C20" s="1113">
        <v>3941.181</v>
      </c>
      <c r="D20" s="1113">
        <v>4182.0230000000001</v>
      </c>
      <c r="E20" s="1113">
        <v>4330.7740000000003</v>
      </c>
      <c r="F20" s="1113">
        <v>4422.5869999999995</v>
      </c>
    </row>
    <row r="21" spans="1:6" x14ac:dyDescent="0.2">
      <c r="A21" s="1107" t="s">
        <v>394</v>
      </c>
      <c r="B21" s="1108">
        <v>3600.5410000000002</v>
      </c>
      <c r="C21" s="1108">
        <v>3514.8629999999998</v>
      </c>
      <c r="D21" s="1108">
        <v>3596.7959999999998</v>
      </c>
      <c r="E21" s="1108">
        <v>3746.6680000000001</v>
      </c>
      <c r="F21" s="1108">
        <v>3826.0629999999996</v>
      </c>
    </row>
    <row r="22" spans="1:6" x14ac:dyDescent="0.2">
      <c r="A22" s="1107" t="s">
        <v>942</v>
      </c>
      <c r="B22" s="1108">
        <v>561.29700000000003</v>
      </c>
      <c r="C22" s="1108">
        <v>426.3180000000001</v>
      </c>
      <c r="D22" s="1108">
        <v>585.22699999999998</v>
      </c>
      <c r="E22" s="1108">
        <v>584.10599999999999</v>
      </c>
      <c r="F22" s="1108">
        <v>596.524</v>
      </c>
    </row>
    <row r="23" spans="1:6" x14ac:dyDescent="0.2">
      <c r="A23" s="1111" t="s">
        <v>943</v>
      </c>
      <c r="B23" s="1108">
        <v>475.04199999999997</v>
      </c>
      <c r="C23" s="1108">
        <v>330.84699999999998</v>
      </c>
      <c r="D23" s="1108">
        <v>498.49900000000002</v>
      </c>
      <c r="E23" s="1108">
        <v>495.19600000000003</v>
      </c>
      <c r="F23" s="1108">
        <v>494.79199999999997</v>
      </c>
    </row>
    <row r="24" spans="1:6" x14ac:dyDescent="0.2">
      <c r="A24" s="1111" t="s">
        <v>944</v>
      </c>
      <c r="B24" s="1108">
        <v>37.524999999999999</v>
      </c>
      <c r="C24" s="1108">
        <v>37.546999999999997</v>
      </c>
      <c r="D24" s="1108">
        <v>37.276000000000003</v>
      </c>
      <c r="E24" s="1108">
        <v>39.47</v>
      </c>
      <c r="F24" s="1108">
        <v>50.572000000000003</v>
      </c>
    </row>
    <row r="25" spans="1:6" x14ac:dyDescent="0.2">
      <c r="A25" s="1105" t="s">
        <v>945</v>
      </c>
      <c r="B25" s="1113">
        <v>939.38400000000001</v>
      </c>
      <c r="C25" s="1113">
        <v>1323.1869999999999</v>
      </c>
      <c r="D25" s="1113">
        <v>1198.7190000000001</v>
      </c>
      <c r="E25" s="1113">
        <v>2064.4759999999997</v>
      </c>
      <c r="F25" s="1113">
        <v>2030.6860000000001</v>
      </c>
    </row>
    <row r="26" spans="1:6" x14ac:dyDescent="0.2">
      <c r="A26" s="1107" t="s">
        <v>946</v>
      </c>
      <c r="B26" s="1108">
        <v>346.04300000000001</v>
      </c>
      <c r="C26" s="1108">
        <v>671.00599999999997</v>
      </c>
      <c r="D26" s="1108">
        <v>298.27499999999998</v>
      </c>
      <c r="E26" s="1108">
        <v>1269.7180000000001</v>
      </c>
      <c r="F26" s="1108">
        <v>1248.5139999999999</v>
      </c>
    </row>
    <row r="27" spans="1:6" x14ac:dyDescent="0.2">
      <c r="A27" s="1093" t="s">
        <v>580</v>
      </c>
      <c r="B27" s="1104">
        <f>B29+B30+B31+B32+B33+B35+B44+B46</f>
        <v>35175.083000000006</v>
      </c>
      <c r="C27" s="1104">
        <f t="shared" ref="C27:F27" si="0">C29+C30+C31+C32+C33+C35+C44+C46</f>
        <v>35931.017</v>
      </c>
      <c r="D27" s="1104">
        <f t="shared" si="0"/>
        <v>37258.225000000006</v>
      </c>
      <c r="E27" s="1104">
        <f t="shared" si="0"/>
        <v>39744.764999999999</v>
      </c>
      <c r="F27" s="1104">
        <f t="shared" si="0"/>
        <v>40858.274000000005</v>
      </c>
    </row>
    <row r="28" spans="1:6" x14ac:dyDescent="0.2">
      <c r="A28" s="1105" t="s">
        <v>947</v>
      </c>
      <c r="B28" s="1113">
        <f>B29+B30+B31+B32+B33+B35+B44</f>
        <v>32807.440000000002</v>
      </c>
      <c r="C28" s="1113">
        <f t="shared" ref="C28:F28" si="1">C29+C30+C31+C32+C33+C35+C44</f>
        <v>32637.641</v>
      </c>
      <c r="D28" s="1113">
        <f t="shared" si="1"/>
        <v>34768.244000000006</v>
      </c>
      <c r="E28" s="1113">
        <f t="shared" si="1"/>
        <v>36889.207999999999</v>
      </c>
      <c r="F28" s="1113">
        <f t="shared" si="1"/>
        <v>37558.058000000005</v>
      </c>
    </row>
    <row r="29" spans="1:6" x14ac:dyDescent="0.2">
      <c r="A29" s="1107" t="s">
        <v>409</v>
      </c>
      <c r="B29" s="1108">
        <v>8105.2280000000001</v>
      </c>
      <c r="C29" s="1108">
        <v>8225.7379999999994</v>
      </c>
      <c r="D29" s="1108">
        <v>8900.0930000000008</v>
      </c>
      <c r="E29" s="1108">
        <v>9773.3110000000015</v>
      </c>
      <c r="F29" s="1108">
        <v>10093.243</v>
      </c>
    </row>
    <row r="30" spans="1:6" x14ac:dyDescent="0.2">
      <c r="A30" s="1107" t="s">
        <v>134</v>
      </c>
      <c r="B30" s="1108">
        <v>4887.9690000000001</v>
      </c>
      <c r="C30" s="1108">
        <v>4941.1819999999998</v>
      </c>
      <c r="D30" s="1108">
        <v>5434.8950000000004</v>
      </c>
      <c r="E30" s="1108">
        <v>6008.1360000000004</v>
      </c>
      <c r="F30" s="1108">
        <v>6082.9059999999999</v>
      </c>
    </row>
    <row r="31" spans="1:6" x14ac:dyDescent="0.2">
      <c r="A31" s="1107" t="s">
        <v>120</v>
      </c>
      <c r="B31" s="1108">
        <v>90.834000000000003</v>
      </c>
      <c r="C31" s="1108">
        <v>90.834000000000003</v>
      </c>
      <c r="D31" s="1108">
        <v>67.528000000000006</v>
      </c>
      <c r="E31" s="1108">
        <v>78.477999999999994</v>
      </c>
      <c r="F31" s="1108">
        <v>73.766000000000005</v>
      </c>
    </row>
    <row r="32" spans="1:6" x14ac:dyDescent="0.2">
      <c r="A32" s="1107" t="s">
        <v>511</v>
      </c>
      <c r="B32" s="1108">
        <v>394.23599999999999</v>
      </c>
      <c r="C32" s="1108">
        <v>351.74500000000006</v>
      </c>
      <c r="D32" s="1108">
        <v>454.98899999999998</v>
      </c>
      <c r="E32" s="1108">
        <v>456.66399999999999</v>
      </c>
      <c r="F32" s="1108">
        <v>345.49599999999998</v>
      </c>
    </row>
    <row r="33" spans="1:6" x14ac:dyDescent="0.2">
      <c r="A33" s="1107" t="s">
        <v>948</v>
      </c>
      <c r="B33" s="1108">
        <v>1135.847</v>
      </c>
      <c r="C33" s="1108">
        <v>1129.2159999999999</v>
      </c>
      <c r="D33" s="1108">
        <v>1124.79</v>
      </c>
      <c r="E33" s="1108">
        <v>1094.864</v>
      </c>
      <c r="F33" s="1108">
        <v>1111.7349999999999</v>
      </c>
    </row>
    <row r="34" spans="1:6" x14ac:dyDescent="0.2">
      <c r="A34" s="1111" t="s">
        <v>905</v>
      </c>
      <c r="B34" s="1108">
        <v>1135.847</v>
      </c>
      <c r="C34" s="1108">
        <v>1129.2159999999999</v>
      </c>
      <c r="D34" s="1108">
        <v>1124.79</v>
      </c>
      <c r="E34" s="1108">
        <v>1094.864</v>
      </c>
      <c r="F34" s="1108">
        <v>1111.7349999999999</v>
      </c>
    </row>
    <row r="35" spans="1:6" x14ac:dyDescent="0.2">
      <c r="A35" s="1107" t="s">
        <v>949</v>
      </c>
      <c r="B35" s="1108">
        <f>B36+B43</f>
        <v>16402.777999999998</v>
      </c>
      <c r="C35" s="1108">
        <f>C36+C43</f>
        <v>16404.164000000001</v>
      </c>
      <c r="D35" s="1108">
        <f>D36+D43</f>
        <v>16849.148999999998</v>
      </c>
      <c r="E35" s="1108">
        <f>E36+E43</f>
        <v>17124.057000000001</v>
      </c>
      <c r="F35" s="1108">
        <f>F36+F43</f>
        <v>17458.151000000002</v>
      </c>
    </row>
    <row r="36" spans="1:6" x14ac:dyDescent="0.2">
      <c r="A36" s="1111" t="s">
        <v>950</v>
      </c>
      <c r="B36" s="1108">
        <v>11935.897999999999</v>
      </c>
      <c r="C36" s="1108">
        <v>11910.058999999999</v>
      </c>
      <c r="D36" s="1108">
        <v>12145.647999999999</v>
      </c>
      <c r="E36" s="1108">
        <v>12313.731</v>
      </c>
      <c r="F36" s="1108">
        <v>12497.708000000001</v>
      </c>
    </row>
    <row r="37" spans="1:6" x14ac:dyDescent="0.2">
      <c r="A37" s="1114" t="s">
        <v>951</v>
      </c>
      <c r="B37" s="1108">
        <v>58.652999999999999</v>
      </c>
      <c r="C37" s="1108">
        <v>55.222999999999999</v>
      </c>
      <c r="D37" s="1108">
        <v>51.896000000000001</v>
      </c>
      <c r="E37" s="1108">
        <v>72.067999999999998</v>
      </c>
      <c r="F37" s="1108">
        <v>70.350999999999999</v>
      </c>
    </row>
    <row r="38" spans="1:6" x14ac:dyDescent="0.2">
      <c r="A38" s="1114" t="s">
        <v>952</v>
      </c>
      <c r="B38" s="1108">
        <v>613.98400000000004</v>
      </c>
      <c r="C38" s="1108">
        <v>656.43200000000002</v>
      </c>
      <c r="D38" s="1108">
        <v>697.47799999999995</v>
      </c>
      <c r="E38" s="1108">
        <v>734.34100000000001</v>
      </c>
      <c r="F38" s="1108">
        <v>771.70699999999999</v>
      </c>
    </row>
    <row r="39" spans="1:6" x14ac:dyDescent="0.2">
      <c r="A39" s="1114" t="s">
        <v>953</v>
      </c>
      <c r="B39" s="1108">
        <v>7432.8459999999995</v>
      </c>
      <c r="C39" s="1108">
        <v>7442.3099999999995</v>
      </c>
      <c r="D39" s="1108">
        <v>7735.0169999999998</v>
      </c>
      <c r="E39" s="1108">
        <v>8005.9359999999997</v>
      </c>
      <c r="F39" s="1108">
        <v>8268.8979999999992</v>
      </c>
    </row>
    <row r="40" spans="1:6" x14ac:dyDescent="0.2">
      <c r="A40" s="1114" t="s">
        <v>954</v>
      </c>
      <c r="B40" s="1108">
        <v>162.90100000000001</v>
      </c>
      <c r="C40" s="1108">
        <v>170.10000000000002</v>
      </c>
      <c r="D40" s="1108">
        <v>165.24799999999999</v>
      </c>
      <c r="E40" s="1108">
        <v>166.97</v>
      </c>
      <c r="F40" s="1108">
        <v>168.61199999999999</v>
      </c>
    </row>
    <row r="41" spans="1:6" x14ac:dyDescent="0.2">
      <c r="A41" s="1114" t="s">
        <v>955</v>
      </c>
      <c r="B41" s="1108">
        <v>1337.7739999999999</v>
      </c>
      <c r="C41" s="1108">
        <v>1362.337</v>
      </c>
      <c r="D41" s="1108">
        <v>1457.03</v>
      </c>
      <c r="E41" s="1108">
        <v>1480.4639999999999</v>
      </c>
      <c r="F41" s="1108">
        <v>1501.912</v>
      </c>
    </row>
    <row r="42" spans="1:6" x14ac:dyDescent="0.2">
      <c r="A42" s="1114" t="s">
        <v>956</v>
      </c>
      <c r="B42" s="1108">
        <v>1646.7940000000001</v>
      </c>
      <c r="C42" s="1108">
        <v>1549.8700000000001</v>
      </c>
      <c r="D42" s="1108">
        <v>1351.134</v>
      </c>
      <c r="E42" s="1108">
        <v>1165.616</v>
      </c>
      <c r="F42" s="1108">
        <v>1022.52</v>
      </c>
    </row>
    <row r="43" spans="1:6" x14ac:dyDescent="0.2">
      <c r="A43" s="1111" t="s">
        <v>957</v>
      </c>
      <c r="B43" s="1108">
        <v>4466.88</v>
      </c>
      <c r="C43" s="1108">
        <v>4494.1050000000005</v>
      </c>
      <c r="D43" s="1108">
        <v>4703.5010000000002</v>
      </c>
      <c r="E43" s="1108">
        <v>4810.326</v>
      </c>
      <c r="F43" s="1108">
        <v>4960.4430000000002</v>
      </c>
    </row>
    <row r="44" spans="1:6" x14ac:dyDescent="0.2">
      <c r="A44" s="1107" t="s">
        <v>513</v>
      </c>
      <c r="B44" s="1108">
        <v>1790.548</v>
      </c>
      <c r="C44" s="1108">
        <v>1494.7619999999999</v>
      </c>
      <c r="D44" s="1108">
        <v>1936.8000000000002</v>
      </c>
      <c r="E44" s="1108">
        <v>2353.6979999999999</v>
      </c>
      <c r="F44" s="1108">
        <v>2392.761</v>
      </c>
    </row>
    <row r="45" spans="1:6" x14ac:dyDescent="0.2">
      <c r="A45" s="1111" t="s">
        <v>958</v>
      </c>
      <c r="B45" s="1108">
        <v>768.12199999999996</v>
      </c>
      <c r="C45" s="1108">
        <v>765.01299999999992</v>
      </c>
      <c r="D45" s="1108">
        <v>839.66800000000001</v>
      </c>
      <c r="E45" s="1108">
        <v>871.01700000000005</v>
      </c>
      <c r="F45" s="1108">
        <v>871.59900000000005</v>
      </c>
    </row>
    <row r="46" spans="1:6" x14ac:dyDescent="0.2">
      <c r="A46" s="1105" t="s">
        <v>516</v>
      </c>
      <c r="B46" s="1113">
        <f>B47+B48</f>
        <v>2367.6430000000005</v>
      </c>
      <c r="C46" s="1113">
        <f t="shared" ref="C46:F46" si="2">C47+C48</f>
        <v>3293.3760000000002</v>
      </c>
      <c r="D46" s="1113">
        <f t="shared" si="2"/>
        <v>2489.9810000000002</v>
      </c>
      <c r="E46" s="1113">
        <f t="shared" si="2"/>
        <v>2855.5569999999998</v>
      </c>
      <c r="F46" s="1113">
        <f t="shared" si="2"/>
        <v>3300.2159999999994</v>
      </c>
    </row>
    <row r="47" spans="1:6" x14ac:dyDescent="0.2">
      <c r="A47" s="1107" t="s">
        <v>518</v>
      </c>
      <c r="B47" s="1108">
        <v>2138.6780000000003</v>
      </c>
      <c r="C47" s="1108">
        <v>2787.63</v>
      </c>
      <c r="D47" s="1108">
        <v>2295.9010000000003</v>
      </c>
      <c r="E47" s="1108">
        <v>2654.643</v>
      </c>
      <c r="F47" s="1108">
        <v>3144.7659999999996</v>
      </c>
    </row>
    <row r="48" spans="1:6" x14ac:dyDescent="0.2">
      <c r="A48" s="1107" t="s">
        <v>424</v>
      </c>
      <c r="B48" s="1108">
        <v>228.965</v>
      </c>
      <c r="C48" s="1108">
        <v>505.74599999999998</v>
      </c>
      <c r="D48" s="1108">
        <v>194.08</v>
      </c>
      <c r="E48" s="1108">
        <v>200.91399999999999</v>
      </c>
      <c r="F48" s="1108">
        <v>155.44999999999999</v>
      </c>
    </row>
    <row r="49" spans="1:7" x14ac:dyDescent="0.2">
      <c r="A49" s="1115" t="s">
        <v>641</v>
      </c>
      <c r="B49" s="1116">
        <f>B3-B27</f>
        <v>-742.81100000000151</v>
      </c>
      <c r="C49" s="1116">
        <f>C3-C27</f>
        <v>-542.96700000000419</v>
      </c>
      <c r="D49" s="1116">
        <f>D3-D27</f>
        <v>-96.890000000006694</v>
      </c>
      <c r="E49" s="1116">
        <f>E3-E27</f>
        <v>0</v>
      </c>
      <c r="F49" s="1116">
        <f>F3-F27</f>
        <v>218.54599999999482</v>
      </c>
    </row>
    <row r="50" spans="1:7" x14ac:dyDescent="0.2">
      <c r="A50" s="1117" t="s">
        <v>959</v>
      </c>
      <c r="B50" s="1118"/>
      <c r="C50" s="1118"/>
      <c r="D50" s="1118"/>
      <c r="E50" s="1118"/>
      <c r="F50" s="1119" t="s">
        <v>37</v>
      </c>
    </row>
    <row r="51" spans="1:7" x14ac:dyDescent="0.2">
      <c r="A51" s="1093"/>
      <c r="B51" s="1104"/>
      <c r="C51" s="1104"/>
      <c r="D51" s="1104"/>
      <c r="E51" s="1104"/>
      <c r="F51" s="1104"/>
    </row>
    <row r="53" spans="1:7" x14ac:dyDescent="0.2">
      <c r="A53" s="1120"/>
      <c r="B53" s="1108"/>
      <c r="C53" s="1108"/>
      <c r="D53" s="1108"/>
      <c r="E53" s="1108"/>
      <c r="F53" s="1108"/>
    </row>
    <row r="54" spans="1:7" x14ac:dyDescent="0.2">
      <c r="B54" s="1121"/>
      <c r="C54" s="1121"/>
      <c r="D54" s="1121"/>
      <c r="E54" s="1121"/>
      <c r="F54" s="1121"/>
      <c r="G54" s="1121"/>
    </row>
  </sheetData>
  <mergeCells count="1">
    <mergeCell ref="D1:F1"/>
  </mergeCells>
  <pageMargins left="0.7" right="0.7" top="0.75" bottom="0.75" header="0.3" footer="0.3"/>
  <pageSetup paperSize="9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608E-7A6E-4141-AE42-07263BFA4593}">
  <dimension ref="A1:F53"/>
  <sheetViews>
    <sheetView showGridLines="0" workbookViewId="0"/>
  </sheetViews>
  <sheetFormatPr defaultRowHeight="12" x14ac:dyDescent="0.2"/>
  <cols>
    <col min="1" max="1" width="53.42578125" style="1074" bestFit="1" customWidth="1"/>
    <col min="2" max="16384" width="9.140625" style="1074"/>
  </cols>
  <sheetData>
    <row r="1" spans="1:6" ht="12.75" customHeight="1" x14ac:dyDescent="0.2">
      <c r="A1" s="1122" t="s">
        <v>745</v>
      </c>
    </row>
    <row r="2" spans="1:6" x14ac:dyDescent="0.2">
      <c r="A2" s="1103"/>
      <c r="B2" s="958" t="s">
        <v>922</v>
      </c>
      <c r="C2" s="958" t="s">
        <v>923</v>
      </c>
      <c r="D2" s="958" t="s">
        <v>924</v>
      </c>
      <c r="E2" s="958" t="s">
        <v>925</v>
      </c>
      <c r="F2" s="958" t="s">
        <v>926</v>
      </c>
    </row>
    <row r="3" spans="1:6" x14ac:dyDescent="0.2">
      <c r="A3" s="1093" t="s">
        <v>540</v>
      </c>
      <c r="B3" s="1123">
        <f>'T43'!B3/'T44'!B$52*100</f>
        <v>38.473818087544096</v>
      </c>
      <c r="C3" s="1123">
        <f>'T43'!C3/'T44'!C$52*100</f>
        <v>39.118562793019876</v>
      </c>
      <c r="D3" s="1123">
        <f>'T43'!D3/'T44'!D$52*100</f>
        <v>38.354009299563593</v>
      </c>
      <c r="E3" s="1123">
        <f>'T43'!E3/'T44'!E$52*100</f>
        <v>38.516615717573977</v>
      </c>
      <c r="F3" s="1123">
        <f>'T43'!F3/'T44'!F$52*100</f>
        <v>37.591051765851446</v>
      </c>
    </row>
    <row r="4" spans="1:6" x14ac:dyDescent="0.2">
      <c r="A4" s="1105" t="s">
        <v>23</v>
      </c>
      <c r="B4" s="1124">
        <f>'T43'!B4/'T44'!B$52*100</f>
        <v>18.127395334375755</v>
      </c>
      <c r="C4" s="1124">
        <f>'T43'!C4/'T44'!C$52*100</f>
        <v>18.367402773629088</v>
      </c>
      <c r="D4" s="1124">
        <f>'T43'!D4/'T44'!D$52*100</f>
        <v>18.352991241553223</v>
      </c>
      <c r="E4" s="1124">
        <f>'T43'!E4/'T44'!E$52*100</f>
        <v>18.155103379517946</v>
      </c>
      <c r="F4" s="1124">
        <f>'T43'!F4/'T44'!F$52*100</f>
        <v>17.76457919787169</v>
      </c>
    </row>
    <row r="5" spans="1:6" x14ac:dyDescent="0.2">
      <c r="A5" s="1107" t="s">
        <v>927</v>
      </c>
      <c r="B5" s="1125">
        <f>'T43'!B5/'T44'!B$52*100</f>
        <v>10.985263209364636</v>
      </c>
      <c r="C5" s="1125">
        <f>'T43'!C5/'T44'!C$52*100</f>
        <v>11.07671234243594</v>
      </c>
      <c r="D5" s="1125">
        <f>'T43'!D5/'T44'!D$52*100</f>
        <v>11.008379750665167</v>
      </c>
      <c r="E5" s="1125">
        <f>'T43'!E5/'T44'!E$52*100</f>
        <v>10.861893281218544</v>
      </c>
      <c r="F5" s="1125">
        <f>'T43'!F5/'T44'!F$52*100</f>
        <v>10.523717658108119</v>
      </c>
    </row>
    <row r="6" spans="1:6" x14ac:dyDescent="0.2">
      <c r="A6" s="1109" t="s">
        <v>928</v>
      </c>
      <c r="B6" s="1125">
        <f>'T43'!B6/'T44'!B$52*100</f>
        <v>6.8209332566991705</v>
      </c>
      <c r="C6" s="1125">
        <f>'T43'!C6/'T44'!C$52*100</f>
        <v>7.0188593256331009</v>
      </c>
      <c r="D6" s="1125">
        <f>'T43'!D6/'T44'!D$52*100</f>
        <v>6.8775309343748594</v>
      </c>
      <c r="E6" s="1125">
        <f>'T43'!E6/'T44'!E$52*100</f>
        <v>6.7992835489168568</v>
      </c>
      <c r="F6" s="1125">
        <f>'T43'!F6/'T44'!F$52*100</f>
        <v>6.7446377150514412</v>
      </c>
    </row>
    <row r="7" spans="1:6" x14ac:dyDescent="0.2">
      <c r="A7" s="1109" t="s">
        <v>929</v>
      </c>
      <c r="B7" s="1125">
        <f>'T43'!B7/'T44'!B$52*100</f>
        <v>2.6159229709115337</v>
      </c>
      <c r="C7" s="1125">
        <f>'T43'!C7/'T44'!C$52*100</f>
        <v>2.5726918549558961</v>
      </c>
      <c r="D7" s="1125">
        <f>'T43'!D7/'T44'!D$52*100</f>
        <v>2.5042998862848607</v>
      </c>
      <c r="E7" s="1125">
        <f>'T43'!E7/'T44'!E$52*100</f>
        <v>2.4192463777644013</v>
      </c>
      <c r="F7" s="1125">
        <f>'T43'!F7/'T44'!F$52*100</f>
        <v>2.3349520059723519</v>
      </c>
    </row>
    <row r="8" spans="1:6" x14ac:dyDescent="0.2">
      <c r="A8" s="1109" t="s">
        <v>930</v>
      </c>
      <c r="B8" s="1125">
        <f>'T43'!B8/'T44'!B$52*100</f>
        <v>0</v>
      </c>
      <c r="C8" s="1125">
        <f>'T43'!C8/'T44'!C$52*100</f>
        <v>0</v>
      </c>
      <c r="D8" s="1125">
        <f>'T43'!D8/'T44'!D$52*100</f>
        <v>0</v>
      </c>
      <c r="E8" s="1125">
        <f>'T43'!E8/'T44'!E$52*100</f>
        <v>0</v>
      </c>
      <c r="F8" s="1125">
        <f>'T43'!F8/'T44'!F$52*100</f>
        <v>0</v>
      </c>
    </row>
    <row r="9" spans="1:6" x14ac:dyDescent="0.2">
      <c r="A9" s="1109" t="s">
        <v>931</v>
      </c>
      <c r="B9" s="1125">
        <f>'T43'!B9/'T44'!B$52*100</f>
        <v>0.29192583380939169</v>
      </c>
      <c r="C9" s="1125">
        <f>'T43'!C9/'T44'!C$52*100</f>
        <v>0.27913850348944502</v>
      </c>
      <c r="D9" s="1125">
        <f>'T43'!D9/'T44'!D$52*100</f>
        <v>0.26667154365718948</v>
      </c>
      <c r="E9" s="1125">
        <f>'T43'!E9/'T44'!E$52*100</f>
        <v>0.25629182256159982</v>
      </c>
      <c r="F9" s="1125">
        <f>'T43'!F9/'T44'!F$52*100</f>
        <v>0.24767905101272764</v>
      </c>
    </row>
    <row r="10" spans="1:6" x14ac:dyDescent="0.2">
      <c r="A10" s="1110" t="s">
        <v>932</v>
      </c>
      <c r="B10" s="1125">
        <f>'T43'!B10/'T44'!B$52*100</f>
        <v>7.1421321250111207</v>
      </c>
      <c r="C10" s="1125">
        <f>'T43'!C10/'T44'!C$52*100</f>
        <v>7.2906904311931502</v>
      </c>
      <c r="D10" s="1125">
        <f>'T43'!D10/'T44'!D$52*100</f>
        <v>7.344611490888056</v>
      </c>
      <c r="E10" s="1125">
        <f>'T43'!E10/'T44'!E$52*100</f>
        <v>7.2932100982994035</v>
      </c>
      <c r="F10" s="1125">
        <f>'T43'!F10/'T44'!F$52*100</f>
        <v>7.2408615397635714</v>
      </c>
    </row>
    <row r="11" spans="1:6" x14ac:dyDescent="0.2">
      <c r="A11" s="1109" t="s">
        <v>933</v>
      </c>
      <c r="B11" s="1125">
        <f>'T43'!B11/'T44'!B$52*100</f>
        <v>3.4382708711942453</v>
      </c>
      <c r="C11" s="1125">
        <f>'T43'!C11/'T44'!C$52*100</f>
        <v>3.5258755087434417</v>
      </c>
      <c r="D11" s="1125">
        <f>'T43'!D11/'T44'!D$52*100</f>
        <v>3.5368866908762322</v>
      </c>
      <c r="E11" s="1125">
        <f>'T43'!E11/'T44'!E$52*100</f>
        <v>3.5896515799968718</v>
      </c>
      <c r="F11" s="1125">
        <f>'T43'!F11/'T44'!F$52*100</f>
        <v>3.6221846361915255</v>
      </c>
    </row>
    <row r="12" spans="1:6" x14ac:dyDescent="0.2">
      <c r="A12" s="1111" t="s">
        <v>934</v>
      </c>
      <c r="B12" s="1125">
        <f>'T43'!B12/'T44'!B$52*100</f>
        <v>3.1220901415933038</v>
      </c>
      <c r="C12" s="1125">
        <f>'T43'!C12/'T44'!C$52*100</f>
        <v>3.2088263503716976</v>
      </c>
      <c r="D12" s="1125">
        <f>'T43'!D12/'T44'!D$52*100</f>
        <v>3.2450124317330125</v>
      </c>
      <c r="E12" s="1125">
        <f>'T43'!E12/'T44'!E$52*100</f>
        <v>3.1734322413957612</v>
      </c>
      <c r="F12" s="1125">
        <f>'T43'!F12/'T44'!F$52*100</f>
        <v>3.1206950944190015</v>
      </c>
    </row>
    <row r="13" spans="1:6" ht="15" customHeight="1" x14ac:dyDescent="0.2">
      <c r="A13" s="1111" t="s">
        <v>935</v>
      </c>
      <c r="B13" s="1125">
        <f>'T43'!B13/'T44'!B$52*100</f>
        <v>0.27111804510389331</v>
      </c>
      <c r="C13" s="1125">
        <f>'T43'!C13/'T44'!C$52*100</f>
        <v>0.25396741455295591</v>
      </c>
      <c r="D13" s="1125">
        <f>'T43'!D13/'T44'!D$52*100</f>
        <v>0.24320171482913269</v>
      </c>
      <c r="E13" s="1125">
        <f>'T43'!E13/'T44'!E$52*100</f>
        <v>0.24151499958978034</v>
      </c>
      <c r="F13" s="1125">
        <f>'T43'!F13/'T44'!F$52*100</f>
        <v>0.2280218382116761</v>
      </c>
    </row>
    <row r="14" spans="1:6" ht="12" customHeight="1" x14ac:dyDescent="0.2">
      <c r="A14" s="1111" t="s">
        <v>936</v>
      </c>
      <c r="B14" s="1125">
        <f>'T43'!B14/'T44'!B$52*100</f>
        <v>0</v>
      </c>
      <c r="C14" s="1125">
        <f>'T43'!C14/'T44'!C$52*100</f>
        <v>-1.2159590334116139E-3</v>
      </c>
      <c r="D14" s="1125">
        <f>'T43'!D14/'T44'!D$52*100</f>
        <v>0</v>
      </c>
      <c r="E14" s="1125">
        <f>'T43'!E14/'T44'!E$52*100</f>
        <v>0</v>
      </c>
      <c r="F14" s="1125">
        <f>'T43'!F14/'T44'!F$52*100</f>
        <v>0</v>
      </c>
    </row>
    <row r="15" spans="1:6" x14ac:dyDescent="0.2">
      <c r="A15" s="1111" t="s">
        <v>931</v>
      </c>
      <c r="B15" s="1125">
        <f>'T43'!B15/'T44'!B$52*100</f>
        <v>0.1346505953036613</v>
      </c>
      <c r="C15" s="1125">
        <f>'T43'!C15/'T44'!C$52*100</f>
        <v>0.12837800696812326</v>
      </c>
      <c r="D15" s="1125">
        <f>'T43'!D15/'T44'!D$52*100</f>
        <v>0.12226707441142257</v>
      </c>
      <c r="E15" s="1125">
        <f>'T43'!E15/'T44'!E$52*100</f>
        <v>0.11718443143857468</v>
      </c>
      <c r="F15" s="1125">
        <f>'T43'!F15/'T44'!F$52*100</f>
        <v>0.11295210182414268</v>
      </c>
    </row>
    <row r="16" spans="1:6" x14ac:dyDescent="0.2">
      <c r="A16" s="1107" t="s">
        <v>937</v>
      </c>
      <c r="B16" s="1125">
        <f>'T43'!B16/'T44'!B$52*100</f>
        <v>0</v>
      </c>
      <c r="C16" s="1125">
        <f>'T43'!C16/'T44'!C$52*100</f>
        <v>0</v>
      </c>
      <c r="D16" s="1125">
        <f>'T43'!D16/'T44'!D$52*100</f>
        <v>0</v>
      </c>
      <c r="E16" s="1125">
        <f>'T43'!E16/'T44'!E$52*100</f>
        <v>0</v>
      </c>
      <c r="F16" s="1125">
        <f>'T43'!F16/'T44'!F$52*100</f>
        <v>0</v>
      </c>
    </row>
    <row r="17" spans="1:6" x14ac:dyDescent="0.2">
      <c r="A17" s="1105" t="s">
        <v>938</v>
      </c>
      <c r="B17" s="1124">
        <f>'T43'!B17/'T44'!B$52*100</f>
        <v>14.646436204148921</v>
      </c>
      <c r="C17" s="1124">
        <f>'T43'!C17/'T44'!C$52*100</f>
        <v>14.931836542297127</v>
      </c>
      <c r="D17" s="1124">
        <f>'T43'!D17/'T44'!D$52*100</f>
        <v>14.447583858013191</v>
      </c>
      <c r="E17" s="1124">
        <f>'T43'!E17/'T44'!E$52*100</f>
        <v>14.163881362811493</v>
      </c>
      <c r="F17" s="1124">
        <f>'T43'!F17/'T44'!F$52*100</f>
        <v>13.920822632026303</v>
      </c>
    </row>
    <row r="18" spans="1:6" x14ac:dyDescent="0.2">
      <c r="A18" s="1107" t="s">
        <v>939</v>
      </c>
      <c r="B18" s="1126">
        <f>'T43'!B18/'T44'!B$52*100</f>
        <v>14.460520366346696</v>
      </c>
      <c r="C18" s="1126">
        <f>'T43'!C18/'T44'!C$52*100</f>
        <v>14.747910578903287</v>
      </c>
      <c r="D18" s="1126">
        <f>'T43'!D18/'T44'!D$52*100</f>
        <v>14.268033474911585</v>
      </c>
      <c r="E18" s="1126">
        <f>'T43'!E18/'T44'!E$52*100</f>
        <v>13.992846032966696</v>
      </c>
      <c r="F18" s="1126">
        <f>'T43'!F18/'T44'!F$52*100</f>
        <v>13.759531906488737</v>
      </c>
    </row>
    <row r="19" spans="1:6" x14ac:dyDescent="0.2">
      <c r="A19" s="1107" t="s">
        <v>940</v>
      </c>
      <c r="B19" s="1125">
        <f>'T43'!B19/'T44'!B$52*100</f>
        <v>0.18591583780222554</v>
      </c>
      <c r="C19" s="1125">
        <f>'T43'!C19/'T44'!C$52*100</f>
        <v>0.18392596339384071</v>
      </c>
      <c r="D19" s="1125">
        <f>'T43'!D19/'T44'!D$52*100</f>
        <v>0.17955038310160767</v>
      </c>
      <c r="E19" s="1125">
        <f>'T43'!E19/'T44'!E$52*100</f>
        <v>0.17103532984479627</v>
      </c>
      <c r="F19" s="1125">
        <f>'T43'!F19/'T44'!F$52*100</f>
        <v>0.16129072553756643</v>
      </c>
    </row>
    <row r="20" spans="1:6" x14ac:dyDescent="0.2">
      <c r="A20" s="1105" t="s">
        <v>941</v>
      </c>
      <c r="B20" s="1127">
        <f>'T43'!B20/'T44'!B$52*100</f>
        <v>4.6503407652515154</v>
      </c>
      <c r="C20" s="1127">
        <f>'T43'!C20/'T44'!C$52*100</f>
        <v>4.3566496720547434</v>
      </c>
      <c r="D20" s="1127">
        <f>'T43'!D20/'T44'!D$52*100</f>
        <v>4.316242918425532</v>
      </c>
      <c r="E20" s="1127">
        <f>'T43'!E20/'T44'!E$52*100</f>
        <v>4.1969491558865863</v>
      </c>
      <c r="F20" s="1127">
        <f>'T43'!F20/'T44'!F$52*100</f>
        <v>4.047287420398697</v>
      </c>
    </row>
    <row r="21" spans="1:6" x14ac:dyDescent="0.2">
      <c r="A21" s="1107" t="s">
        <v>394</v>
      </c>
      <c r="B21" s="1125">
        <f>'T43'!B21/'T44'!B$52*100</f>
        <v>4.0231605817572564</v>
      </c>
      <c r="C21" s="1125">
        <f>'T43'!C21/'T44'!C$52*100</f>
        <v>3.8853903782311323</v>
      </c>
      <c r="D21" s="1125">
        <f>'T43'!D21/'T44'!D$52*100</f>
        <v>3.7122333530975986</v>
      </c>
      <c r="E21" s="1125">
        <f>'T43'!E21/'T44'!E$52*100</f>
        <v>3.6308925610034799</v>
      </c>
      <c r="F21" s="1125">
        <f>'T43'!F21/'T44'!F$52*100</f>
        <v>3.5013842914911346</v>
      </c>
    </row>
    <row r="22" spans="1:6" x14ac:dyDescent="0.2">
      <c r="A22" s="1107" t="s">
        <v>942</v>
      </c>
      <c r="B22" s="1125">
        <f>'T43'!B22/'T44'!B$52*100</f>
        <v>0.62718018349425908</v>
      </c>
      <c r="C22" s="1125">
        <f>'T43'!C22/'T44'!C$52*100</f>
        <v>0.47125929382361137</v>
      </c>
      <c r="D22" s="1125">
        <f>'T43'!D22/'T44'!D$52*100</f>
        <v>0.60400956532793304</v>
      </c>
      <c r="E22" s="1125">
        <f>'T43'!E22/'T44'!E$52*100</f>
        <v>0.56605659488310633</v>
      </c>
      <c r="F22" s="1125">
        <f>'T43'!F22/'T44'!F$52*100</f>
        <v>0.5459031289075631</v>
      </c>
    </row>
    <row r="23" spans="1:6" x14ac:dyDescent="0.2">
      <c r="A23" s="1111" t="s">
        <v>943</v>
      </c>
      <c r="B23" s="1125">
        <f>'T43'!B23/'T44'!B$52*100</f>
        <v>0.53080085717094472</v>
      </c>
      <c r="C23" s="1125">
        <f>'T43'!C23/'T44'!C$52*100</f>
        <v>0.36572399847921105</v>
      </c>
      <c r="D23" s="1125">
        <f>'T43'!D23/'T44'!D$52*100</f>
        <v>0.51449807392073388</v>
      </c>
      <c r="E23" s="1125">
        <f>'T43'!E23/'T44'!E$52*100</f>
        <v>0.47989399451424014</v>
      </c>
      <c r="F23" s="1125">
        <f>'T43'!F23/'T44'!F$52*100</f>
        <v>0.45280407990027388</v>
      </c>
    </row>
    <row r="24" spans="1:6" x14ac:dyDescent="0.2">
      <c r="A24" s="1111" t="s">
        <v>944</v>
      </c>
      <c r="B24" s="1125">
        <f>'T43'!B24/'T44'!B$52*100</f>
        <v>4.1929560260650013E-2</v>
      </c>
      <c r="C24" s="1125">
        <f>'T43'!C24/'T44'!C$52*100</f>
        <v>4.1505103479550783E-2</v>
      </c>
      <c r="D24" s="1125">
        <f>'T43'!D24/'T44'!D$52*100</f>
        <v>3.8472354414892058E-2</v>
      </c>
      <c r="E24" s="1125">
        <f>'T43'!E24/'T44'!E$52*100</f>
        <v>3.8250341205254196E-2</v>
      </c>
      <c r="F24" s="1125">
        <f>'T43'!F24/'T44'!F$52*100</f>
        <v>4.6280473266982189E-2</v>
      </c>
    </row>
    <row r="25" spans="1:6" x14ac:dyDescent="0.2">
      <c r="A25" s="1105" t="s">
        <v>945</v>
      </c>
      <c r="B25" s="1127">
        <f>'T43'!B25/'T44'!B$52*100</f>
        <v>1.0496457837679001</v>
      </c>
      <c r="C25" s="1127">
        <f>'T43'!C25/'T44'!C$52*100</f>
        <v>1.462673805038921</v>
      </c>
      <c r="D25" s="1127">
        <f>'T43'!D25/'T44'!D$52*100</f>
        <v>1.2371912815716546</v>
      </c>
      <c r="E25" s="1127">
        <f>'T43'!E25/'T44'!E$52*100</f>
        <v>2.0006818193579514</v>
      </c>
      <c r="F25" s="1127">
        <f>'T43'!F25/'T44'!F$52*100</f>
        <v>1.8583625155547536</v>
      </c>
    </row>
    <row r="26" spans="1:6" x14ac:dyDescent="0.2">
      <c r="A26" s="1107" t="s">
        <v>946</v>
      </c>
      <c r="B26" s="1125">
        <f>'T43'!B26/'T44'!B$52*100</f>
        <v>0.38666038164626548</v>
      </c>
      <c r="C26" s="1125">
        <f>'T43'!C26/'T44'!C$52*100</f>
        <v>0.74174164288490307</v>
      </c>
      <c r="D26" s="1125">
        <f>'T43'!D26/'T44'!D$52*100</f>
        <v>0.30784798565033605</v>
      </c>
      <c r="E26" s="1125">
        <f>'T43'!E26/'T44'!E$52*100</f>
        <v>1.2304825623119573</v>
      </c>
      <c r="F26" s="1125">
        <f>'T43'!F26/'T44'!F$52*100</f>
        <v>1.1425654275182511</v>
      </c>
    </row>
    <row r="27" spans="1:6" x14ac:dyDescent="0.2">
      <c r="A27" s="1093" t="s">
        <v>580</v>
      </c>
      <c r="B27" s="1123">
        <f>'T43'!B27/'T44'!B$52*100</f>
        <v>39.303817783394166</v>
      </c>
      <c r="C27" s="1123">
        <f>'T43'!C27/'T44'!C$52*100</f>
        <v>39.71876790983297</v>
      </c>
      <c r="D27" s="1123">
        <f>'T43'!D27/'T44'!D$52*100</f>
        <v>38.454008935234249</v>
      </c>
      <c r="E27" s="1123">
        <f>'T43'!E27/'T44'!E$52*100</f>
        <v>38.516615717573977</v>
      </c>
      <c r="F27" s="1123">
        <f>'T43'!F27/'T44'!F$52*100</f>
        <v>37.391051522424142</v>
      </c>
    </row>
    <row r="28" spans="1:6" x14ac:dyDescent="0.2">
      <c r="A28" s="1105" t="s">
        <v>947</v>
      </c>
      <c r="B28" s="1127">
        <f>'T43'!B28/'T44'!B$52*100</f>
        <v>36.658268686946293</v>
      </c>
      <c r="C28" s="1127">
        <f>'T43'!C28/'T44'!C$52*100</f>
        <v>36.078213093813872</v>
      </c>
      <c r="D28" s="1127">
        <f>'T43'!D28/'T44'!D$52*100</f>
        <v>35.884113251192304</v>
      </c>
      <c r="E28" s="1127">
        <f>'T43'!E28/'T44'!E$52*100</f>
        <v>35.749298018535413</v>
      </c>
      <c r="F28" s="1127">
        <f>'T43'!F28/'T44'!F$52*100</f>
        <v>34.370890991631079</v>
      </c>
    </row>
    <row r="29" spans="1:6" x14ac:dyDescent="0.2">
      <c r="A29" s="1107" t="s">
        <v>409</v>
      </c>
      <c r="B29" s="1125">
        <f>'T43'!B29/'T44'!B$52*100</f>
        <v>9.056592827509867</v>
      </c>
      <c r="C29" s="1125">
        <f>'T43'!C29/'T44'!C$52*100</f>
        <v>9.0928731159792555</v>
      </c>
      <c r="D29" s="1125">
        <f>'T43'!D29/'T44'!D$52*100</f>
        <v>9.1857369948894707</v>
      </c>
      <c r="E29" s="1125">
        <f>'T43'!E29/'T44'!E$52*100</f>
        <v>9.4713068268321301</v>
      </c>
      <c r="F29" s="1125">
        <f>'T43'!F29/'T44'!F$52*100</f>
        <v>9.236733030899611</v>
      </c>
    </row>
    <row r="30" spans="1:6" x14ac:dyDescent="0.2">
      <c r="A30" s="1107" t="s">
        <v>134</v>
      </c>
      <c r="B30" s="1125">
        <f>'T43'!B30/'T44'!B$52*100</f>
        <v>5.4617026179264272</v>
      </c>
      <c r="C30" s="1125">
        <f>'T43'!C30/'T44'!C$52*100</f>
        <v>5.4620680805735136</v>
      </c>
      <c r="D30" s="1125">
        <f>'T43'!D30/'T44'!D$52*100</f>
        <v>5.6093252132129194</v>
      </c>
      <c r="E30" s="1125">
        <f>'T43'!E30/'T44'!E$52*100</f>
        <v>5.8224791489123673</v>
      </c>
      <c r="F30" s="1125">
        <f>'T43'!F30/'T44'!F$52*100</f>
        <v>5.5667121829978159</v>
      </c>
    </row>
    <row r="31" spans="1:6" x14ac:dyDescent="0.2">
      <c r="A31" s="1107" t="s">
        <v>120</v>
      </c>
      <c r="B31" s="1125">
        <f>'T43'!B31/'T44'!B$52*100</f>
        <v>0.10149579418296825</v>
      </c>
      <c r="C31" s="1125">
        <f>'T43'!C31/'T44'!C$52*100</f>
        <v>0.10040947530991869</v>
      </c>
      <c r="D31" s="1125">
        <f>'T43'!D31/'T44'!D$52*100</f>
        <v>6.969527709327264E-2</v>
      </c>
      <c r="E31" s="1125">
        <f>'T43'!E31/'T44'!E$52*100</f>
        <v>7.6052958629489201E-2</v>
      </c>
      <c r="F31" s="1125">
        <f>'T43'!F31/'T44'!F$52*100</f>
        <v>6.7506236474970505E-2</v>
      </c>
    </row>
    <row r="32" spans="1:6" x14ac:dyDescent="0.2">
      <c r="A32" s="1107" t="s">
        <v>511</v>
      </c>
      <c r="B32" s="1125">
        <f>'T43'!B32/'T44'!B$52*100</f>
        <v>0.44051011642685189</v>
      </c>
      <c r="C32" s="1125">
        <f>'T43'!C32/'T44'!C$52*100</f>
        <v>0.38882500927942565</v>
      </c>
      <c r="D32" s="1125">
        <f>'T43'!D32/'T44'!D$52*100</f>
        <v>0.46959164242078871</v>
      </c>
      <c r="E32" s="1125">
        <f>'T43'!E32/'T44'!E$52*100</f>
        <v>0.4425526682583279</v>
      </c>
      <c r="F32" s="1125">
        <f>'T43'!F32/'T44'!F$52*100</f>
        <v>0.31617729953035822</v>
      </c>
    </row>
    <row r="33" spans="1:6" x14ac:dyDescent="0.2">
      <c r="A33" s="1107" t="s">
        <v>948</v>
      </c>
      <c r="B33" s="1125">
        <f>'T43'!B33/'T44'!B$52*100</f>
        <v>1.2691689602499274</v>
      </c>
      <c r="C33" s="1125">
        <f>'T43'!C33/'T44'!C$52*100</f>
        <v>1.2482549053390264</v>
      </c>
      <c r="D33" s="1125">
        <f>'T43'!D33/'T44'!D$52*100</f>
        <v>1.1608895676125774</v>
      </c>
      <c r="E33" s="1125">
        <f>'T43'!E33/'T44'!E$52*100</f>
        <v>1.0610317094844042</v>
      </c>
      <c r="F33" s="1125">
        <f>'T43'!F33/'T44'!F$52*100</f>
        <v>1.0173934577922257</v>
      </c>
    </row>
    <row r="34" spans="1:6" x14ac:dyDescent="0.2">
      <c r="A34" s="1111" t="s">
        <v>905</v>
      </c>
      <c r="B34" s="1125">
        <f>'T43'!B34/'T44'!B$52*100</f>
        <v>1.2691689602499274</v>
      </c>
      <c r="C34" s="1125">
        <f>'T43'!C34/'T44'!C$52*100</f>
        <v>1.2482549053390264</v>
      </c>
      <c r="D34" s="1125">
        <f>'T43'!D34/'T44'!D$52*100</f>
        <v>1.1608895676125774</v>
      </c>
      <c r="E34" s="1125">
        <f>'T43'!E34/'T44'!E$52*100</f>
        <v>1.0610317094844042</v>
      </c>
      <c r="F34" s="1125">
        <f>'T43'!F34/'T44'!F$52*100</f>
        <v>1.0173934577922257</v>
      </c>
    </row>
    <row r="35" spans="1:6" x14ac:dyDescent="0.2">
      <c r="A35" s="1107" t="s">
        <v>949</v>
      </c>
      <c r="B35" s="1125">
        <f>'T43'!B35/'T44'!B$52*100</f>
        <v>18.328081774631958</v>
      </c>
      <c r="C35" s="1125">
        <f>'T43'!C35/'T44'!C$52*100</f>
        <v>18.133446728514176</v>
      </c>
      <c r="D35" s="1125">
        <f>'T43'!D35/'T44'!D$52*100</f>
        <v>17.389913937045929</v>
      </c>
      <c r="E35" s="1125">
        <f>'T43'!E35/'T44'!E$52*100</f>
        <v>16.594908109151802</v>
      </c>
      <c r="F35" s="1125">
        <f>'T43'!F35/'T44'!F$52*100</f>
        <v>15.976656858467898</v>
      </c>
    </row>
    <row r="36" spans="1:6" x14ac:dyDescent="0.2">
      <c r="A36" s="1111" t="s">
        <v>950</v>
      </c>
      <c r="B36" s="1125">
        <f>'T43'!B36/'T44'!B$52*100</f>
        <v>13.33689418936634</v>
      </c>
      <c r="C36" s="1125">
        <f>'T43'!C36/'T44'!C$52*100</f>
        <v>13.165585299559357</v>
      </c>
      <c r="D36" s="1125">
        <f>'T43'!D36/'T44'!D$52*100</f>
        <v>12.535456445287178</v>
      </c>
      <c r="E36" s="1125">
        <f>'T43'!E36/'T44'!E$52*100</f>
        <v>11.933225544963667</v>
      </c>
      <c r="F36" s="1125">
        <f>'T43'!F36/'T44'!F$52*100</f>
        <v>11.437155757979701</v>
      </c>
    </row>
    <row r="37" spans="1:6" x14ac:dyDescent="0.2">
      <c r="A37" s="1114" t="s">
        <v>951</v>
      </c>
      <c r="B37" s="1125">
        <f>'T43'!B37/'T44'!B$52*100</f>
        <v>6.5537494949178016E-2</v>
      </c>
      <c r="C37" s="1125">
        <f>'T43'!C37/'T44'!C$52*100</f>
        <v>6.1044459729172329E-2</v>
      </c>
      <c r="D37" s="1125">
        <f>'T43'!D37/'T44'!D$52*100</f>
        <v>5.3561575939350743E-2</v>
      </c>
      <c r="E37" s="1125">
        <f>'T43'!E37/'T44'!E$52*100</f>
        <v>6.9841033442621214E-2</v>
      </c>
      <c r="F37" s="1125">
        <f>'T43'!F37/'T44'!F$52*100</f>
        <v>6.4381032484486747E-2</v>
      </c>
    </row>
    <row r="38" spans="1:6" x14ac:dyDescent="0.2">
      <c r="A38" s="1114" t="s">
        <v>952</v>
      </c>
      <c r="B38" s="1125">
        <f>'T43'!B38/'T44'!B$52*100</f>
        <v>0.68605140911592111</v>
      </c>
      <c r="C38" s="1125">
        <f>'T43'!C38/'T44'!C$52*100</f>
        <v>0.72563129110950231</v>
      </c>
      <c r="D38" s="1125">
        <f>'T43'!D38/'T44'!D$52*100</f>
        <v>0.71986320454421293</v>
      </c>
      <c r="E38" s="1125">
        <f>'T43'!E38/'T44'!E$52*100</f>
        <v>0.71164919713725805</v>
      </c>
      <c r="F38" s="1125">
        <f>'T43'!F38/'T44'!F$52*100</f>
        <v>0.7062201452076845</v>
      </c>
    </row>
    <row r="39" spans="1:6" x14ac:dyDescent="0.2">
      <c r="A39" s="1114" t="s">
        <v>953</v>
      </c>
      <c r="B39" s="1125">
        <f>'T43'!B39/'T44'!B$52*100</f>
        <v>8.3052888545005032</v>
      </c>
      <c r="C39" s="1125">
        <f>'T43'!C39/'T44'!C$52*100</f>
        <v>8.2268582490450797</v>
      </c>
      <c r="D39" s="1125">
        <f>'T43'!D39/'T44'!D$52*100</f>
        <v>7.9832684684304951</v>
      </c>
      <c r="E39" s="1125">
        <f>'T43'!E39/'T44'!E$52*100</f>
        <v>7.7585453171377745</v>
      </c>
      <c r="F39" s="1125">
        <f>'T43'!F39/'T44'!F$52*100</f>
        <v>7.5672014718896312</v>
      </c>
    </row>
    <row r="40" spans="1:6" x14ac:dyDescent="0.2">
      <c r="A40" s="1114" t="s">
        <v>954</v>
      </c>
      <c r="B40" s="1125">
        <f>'T43'!B40/'T44'!B$52*100</f>
        <v>0.18202178004051028</v>
      </c>
      <c r="C40" s="1125">
        <f>'T43'!C40/'T44'!C$52*100</f>
        <v>0.18803148325755961</v>
      </c>
      <c r="D40" s="1125">
        <f>'T43'!D40/'T44'!D$52*100</f>
        <v>0.17055155119519483</v>
      </c>
      <c r="E40" s="1125">
        <f>'T43'!E40/'T44'!E$52*100</f>
        <v>0.16181047557743333</v>
      </c>
      <c r="F40" s="1125">
        <f>'T43'!F40/'T44'!F$52*100</f>
        <v>0.15430362964668987</v>
      </c>
    </row>
    <row r="41" spans="1:6" x14ac:dyDescent="0.2">
      <c r="A41" s="1114" t="s">
        <v>955</v>
      </c>
      <c r="B41" s="1125">
        <f>'T43'!B41/'T44'!B$52*100</f>
        <v>1.4947974829615138</v>
      </c>
      <c r="C41" s="1125">
        <f>'T43'!C41/'T44'!C$52*100</f>
        <v>1.5059508924553435</v>
      </c>
      <c r="D41" s="1125">
        <f>'T43'!D41/'T44'!D$52*100</f>
        <v>1.5037926428031487</v>
      </c>
      <c r="E41" s="1125">
        <f>'T43'!E41/'T44'!E$52*100</f>
        <v>1.4347163197895985</v>
      </c>
      <c r="F41" s="1125">
        <f>'T43'!F41/'T44'!F$52*100</f>
        <v>1.3744601393134492</v>
      </c>
    </row>
    <row r="42" spans="1:6" x14ac:dyDescent="0.2">
      <c r="A42" s="1114" t="s">
        <v>956</v>
      </c>
      <c r="B42" s="1125">
        <f>'T43'!B42/'T44'!B$52*100</f>
        <v>1.8400892274450866</v>
      </c>
      <c r="C42" s="1125">
        <f>'T43'!C42/'T44'!C$52*100</f>
        <v>1.7132531155578712</v>
      </c>
      <c r="D42" s="1125">
        <f>'T43'!D42/'T44'!D$52*100</f>
        <v>1.3944979641058797</v>
      </c>
      <c r="E42" s="1125">
        <f>'T43'!E42/'T44'!E$52*100</f>
        <v>1.1295974085204858</v>
      </c>
      <c r="F42" s="1125">
        <f>'T43'!F42/'T44'!F$52*100</f>
        <v>0.93574921942882683</v>
      </c>
    </row>
    <row r="43" spans="1:6" x14ac:dyDescent="0.2">
      <c r="A43" s="1111" t="s">
        <v>957</v>
      </c>
      <c r="B43" s="1125">
        <f>'T43'!B43/'T44'!B$52*100</f>
        <v>4.9911875852656182</v>
      </c>
      <c r="C43" s="1125">
        <f>'T43'!C43/'T44'!C$52*100</f>
        <v>4.9678614289548202</v>
      </c>
      <c r="D43" s="1125">
        <f>'T43'!D43/'T44'!D$52*100</f>
        <v>4.8544574917587511</v>
      </c>
      <c r="E43" s="1125">
        <f>'T43'!E43/'T44'!E$52*100</f>
        <v>4.6616825641881325</v>
      </c>
      <c r="F43" s="1125">
        <f>'T43'!F43/'T44'!F$52*100</f>
        <v>4.5395011004881933</v>
      </c>
    </row>
    <row r="44" spans="1:6" x14ac:dyDescent="0.2">
      <c r="A44" s="1107" t="s">
        <v>513</v>
      </c>
      <c r="B44" s="1125">
        <f>'T43'!B44/'T44'!B$52*100</f>
        <v>2.0007165960182904</v>
      </c>
      <c r="C44" s="1125">
        <f>'T43'!C44/'T44'!C$52*100</f>
        <v>1.6523357788185553</v>
      </c>
      <c r="D44" s="1125">
        <f>'T43'!D44/'T44'!D$52*100</f>
        <v>1.9989606189173448</v>
      </c>
      <c r="E44" s="1125">
        <f>'T43'!E44/'T44'!E$52*100</f>
        <v>2.2809665972668962</v>
      </c>
      <c r="F44" s="1125">
        <f>'T43'!F44/'T44'!F$52*100</f>
        <v>2.1897119254681954</v>
      </c>
    </row>
    <row r="45" spans="1:6" x14ac:dyDescent="0.2">
      <c r="A45" s="1111" t="s">
        <v>958</v>
      </c>
      <c r="B45" s="1125">
        <f>'T43'!B45/'T44'!B$52*100</f>
        <v>0.85828161722934071</v>
      </c>
      <c r="C45" s="1125">
        <f>'T43'!C45/'T44'!C$52*100</f>
        <v>0.84565860729756259</v>
      </c>
      <c r="D45" s="1125">
        <f>'T43'!D45/'T44'!D$52*100</f>
        <v>0.86661672086177666</v>
      </c>
      <c r="E45" s="1125">
        <f>'T43'!E45/'T44'!E$52*100</f>
        <v>0.84410178478786169</v>
      </c>
      <c r="F45" s="1125">
        <f>'T43'!F45/'T44'!F$52*100</f>
        <v>0.79763533613518167</v>
      </c>
    </row>
    <row r="46" spans="1:6" x14ac:dyDescent="0.2">
      <c r="A46" s="1105" t="s">
        <v>516</v>
      </c>
      <c r="B46" s="1127">
        <f>'T43'!B46/'T44'!B$52*100</f>
        <v>2.6455490964478665</v>
      </c>
      <c r="C46" s="1127">
        <f>'T43'!C46/'T44'!C$52*100</f>
        <v>3.6405548160190984</v>
      </c>
      <c r="D46" s="1127">
        <f>'T43'!D46/'T44'!D$52*100</f>
        <v>2.5698956840419398</v>
      </c>
      <c r="E46" s="1127">
        <f>'T43'!E46/'T44'!E$52*100</f>
        <v>2.767317699038562</v>
      </c>
      <c r="F46" s="1127">
        <f>'T43'!F46/'T44'!F$52*100</f>
        <v>3.0201605307930643</v>
      </c>
    </row>
    <row r="47" spans="1:6" x14ac:dyDescent="0.2">
      <c r="A47" s="1107" t="s">
        <v>518</v>
      </c>
      <c r="B47" s="1125">
        <f>'T43'!B47/'T44'!B$52*100</f>
        <v>2.389708942814829</v>
      </c>
      <c r="C47" s="1125">
        <f>'T43'!C47/'T44'!C$52*100</f>
        <v>3.0814944366447432</v>
      </c>
      <c r="D47" s="1125">
        <f>'T43'!D47/'T44'!D$52*100</f>
        <v>2.3695867843519984</v>
      </c>
      <c r="E47" s="1125">
        <f>'T43'!E47/'T44'!E$52*100</f>
        <v>2.5726121238444293</v>
      </c>
      <c r="F47" s="1125">
        <f>'T43'!F47/'T44'!F$52*100</f>
        <v>2.8779019772584529</v>
      </c>
    </row>
    <row r="48" spans="1:6" x14ac:dyDescent="0.2">
      <c r="A48" s="1107" t="s">
        <v>424</v>
      </c>
      <c r="B48" s="1125">
        <f>'T43'!B48/'T44'!B$52*100</f>
        <v>0.25584015363303741</v>
      </c>
      <c r="C48" s="1125">
        <f>'T43'!C48/'T44'!C$52*100</f>
        <v>0.5590603793743546</v>
      </c>
      <c r="D48" s="1125">
        <f>'T43'!D48/'T44'!D$52*100</f>
        <v>0.20030889968994128</v>
      </c>
      <c r="E48" s="1125">
        <f>'T43'!E48/'T44'!E$52*100</f>
        <v>0.19470557519413331</v>
      </c>
      <c r="F48" s="1125">
        <f>'T43'!F48/'T44'!F$52*100</f>
        <v>0.14225855353461164</v>
      </c>
    </row>
    <row r="49" spans="1:6" x14ac:dyDescent="0.2">
      <c r="A49" s="1115" t="s">
        <v>641</v>
      </c>
      <c r="B49" s="1128">
        <f>'T43'!B49/'T44'!B$52*100</f>
        <v>-0.82999969585006683</v>
      </c>
      <c r="C49" s="1128">
        <f>'T43'!C49/'T44'!C$52*100</f>
        <v>-0.60020511681309896</v>
      </c>
      <c r="D49" s="1128">
        <f>'T43'!D49/'T44'!D$52*100</f>
        <v>-9.9999635670649983E-2</v>
      </c>
      <c r="E49" s="1128">
        <f>'T43'!E49/'T44'!E$52*100</f>
        <v>0</v>
      </c>
      <c r="F49" s="1128">
        <f>'T43'!F49/'T44'!F$52*100</f>
        <v>0.20000024342730463</v>
      </c>
    </row>
    <row r="50" spans="1:6" x14ac:dyDescent="0.2">
      <c r="A50" s="1117" t="s">
        <v>959</v>
      </c>
      <c r="B50" s="1118"/>
      <c r="C50" s="1118"/>
      <c r="D50" s="1118"/>
      <c r="E50" s="1118"/>
      <c r="F50" s="1119" t="s">
        <v>37</v>
      </c>
    </row>
    <row r="51" spans="1:6" x14ac:dyDescent="0.2">
      <c r="A51" s="1093"/>
      <c r="B51" s="1104"/>
      <c r="C51" s="1104"/>
      <c r="D51" s="1104"/>
      <c r="E51" s="1104"/>
      <c r="F51" s="1104"/>
    </row>
    <row r="52" spans="1:6" x14ac:dyDescent="0.2">
      <c r="A52" s="1120" t="s">
        <v>26</v>
      </c>
      <c r="B52" s="1108">
        <v>89495.334000000003</v>
      </c>
      <c r="C52" s="1108">
        <v>90463.573999999993</v>
      </c>
      <c r="D52" s="1108">
        <v>96890.353000000003</v>
      </c>
      <c r="E52" s="1108">
        <v>103188.622</v>
      </c>
      <c r="F52" s="1108">
        <v>109272.867</v>
      </c>
    </row>
    <row r="53" spans="1:6" x14ac:dyDescent="0.2">
      <c r="A53" s="1120"/>
    </row>
  </sheetData>
  <pageMargins left="0.7" right="0.7" top="0.75" bottom="0.75" header="0.3" footer="0.3"/>
  <pageSetup paperSize="9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38BC2-E91D-480E-8614-F8DA058BE2AC}">
  <dimension ref="A1:J86"/>
  <sheetViews>
    <sheetView showGridLines="0" zoomScaleNormal="100" workbookViewId="0"/>
  </sheetViews>
  <sheetFormatPr defaultRowHeight="12.75" x14ac:dyDescent="0.2"/>
  <cols>
    <col min="1" max="1" width="36.85546875" style="994" customWidth="1"/>
    <col min="2" max="5" width="9.140625" style="994"/>
    <col min="6" max="6" width="11" style="994" customWidth="1"/>
    <col min="7" max="7" width="4.7109375" style="997" customWidth="1"/>
    <col min="8" max="8" width="4" style="994" customWidth="1"/>
    <col min="9" max="9" width="3.7109375" style="994" customWidth="1"/>
    <col min="10" max="10" width="9.140625" style="1130"/>
    <col min="11" max="16384" width="9.140625" style="994"/>
  </cols>
  <sheetData>
    <row r="1" spans="1:10" x14ac:dyDescent="0.2">
      <c r="A1" s="1129" t="s">
        <v>960</v>
      </c>
      <c r="B1" s="997"/>
      <c r="C1" s="997"/>
      <c r="D1" s="997"/>
      <c r="E1" s="997"/>
      <c r="F1" s="997"/>
    </row>
    <row r="2" spans="1:10" x14ac:dyDescent="0.2">
      <c r="A2" s="1131"/>
      <c r="B2" s="958" t="s">
        <v>922</v>
      </c>
      <c r="C2" s="958" t="s">
        <v>961</v>
      </c>
      <c r="D2" s="958" t="s">
        <v>924</v>
      </c>
      <c r="E2" s="958" t="s">
        <v>925</v>
      </c>
      <c r="F2" s="958" t="s">
        <v>926</v>
      </c>
      <c r="J2" s="1132"/>
    </row>
    <row r="3" spans="1:10" x14ac:dyDescent="0.2">
      <c r="A3" s="1133" t="s">
        <v>962</v>
      </c>
      <c r="B3" s="1134">
        <v>-1555727</v>
      </c>
      <c r="C3" s="1134">
        <v>-1353326</v>
      </c>
      <c r="D3" s="1134">
        <v>-1085292</v>
      </c>
      <c r="E3" s="1134">
        <v>-1239664</v>
      </c>
      <c r="F3" s="1134">
        <v>-1151806</v>
      </c>
      <c r="J3" s="1132"/>
    </row>
    <row r="4" spans="1:10" x14ac:dyDescent="0.2">
      <c r="A4" s="1133" t="s">
        <v>963</v>
      </c>
      <c r="B4" s="1134">
        <f>SUM(B5:B40)</f>
        <v>812916</v>
      </c>
      <c r="C4" s="1134">
        <f>SUM(C5:C40)</f>
        <v>810359</v>
      </c>
      <c r="D4" s="1134">
        <f>SUM(D5:D40)</f>
        <v>988402</v>
      </c>
      <c r="E4" s="1134">
        <f>SUM(E5:E40)</f>
        <v>1239664</v>
      </c>
      <c r="F4" s="1134">
        <f>SUM(F5:F40)</f>
        <v>1370352</v>
      </c>
      <c r="J4" s="1135"/>
    </row>
    <row r="5" spans="1:10" x14ac:dyDescent="0.2">
      <c r="A5" s="1136" t="s">
        <v>964</v>
      </c>
      <c r="B5" s="1137">
        <v>170135</v>
      </c>
      <c r="C5" s="1137">
        <v>106283</v>
      </c>
      <c r="D5" s="1137">
        <v>234484</v>
      </c>
      <c r="E5" s="1137">
        <v>228281</v>
      </c>
      <c r="F5" s="1137">
        <v>197428</v>
      </c>
      <c r="J5" s="1081"/>
    </row>
    <row r="6" spans="1:10" x14ac:dyDescent="0.2">
      <c r="A6" s="1136" t="s">
        <v>965</v>
      </c>
      <c r="B6" s="1137">
        <v>9270</v>
      </c>
      <c r="C6" s="1137">
        <v>9270</v>
      </c>
      <c r="D6" s="1137">
        <v>11833</v>
      </c>
      <c r="E6" s="1137">
        <v>14552</v>
      </c>
      <c r="F6" s="1137">
        <v>14624</v>
      </c>
      <c r="J6" s="1135"/>
    </row>
    <row r="7" spans="1:10" x14ac:dyDescent="0.2">
      <c r="A7" s="1136" t="s">
        <v>966</v>
      </c>
      <c r="B7" s="1137">
        <v>90093</v>
      </c>
      <c r="C7" s="1137">
        <v>82706</v>
      </c>
      <c r="D7" s="1137">
        <v>122093</v>
      </c>
      <c r="E7" s="1137">
        <v>147502</v>
      </c>
      <c r="F7" s="1137">
        <v>141452</v>
      </c>
      <c r="J7" s="1135"/>
    </row>
    <row r="8" spans="1:10" x14ac:dyDescent="0.2">
      <c r="A8" s="1136" t="s">
        <v>967</v>
      </c>
      <c r="B8" s="1137">
        <v>40872</v>
      </c>
      <c r="C8" s="1137">
        <v>111081</v>
      </c>
      <c r="D8" s="1137">
        <v>64878</v>
      </c>
      <c r="E8" s="1137">
        <v>288636</v>
      </c>
      <c r="F8" s="1137">
        <v>481385</v>
      </c>
      <c r="J8" s="1135"/>
    </row>
    <row r="9" spans="1:10" x14ac:dyDescent="0.2">
      <c r="A9" s="1136" t="s">
        <v>968</v>
      </c>
      <c r="B9" s="1137">
        <v>130031</v>
      </c>
      <c r="C9" s="1137">
        <v>190209</v>
      </c>
      <c r="D9" s="1137">
        <v>135048</v>
      </c>
      <c r="E9" s="1137">
        <v>98917</v>
      </c>
      <c r="F9" s="1137">
        <v>40138</v>
      </c>
      <c r="J9" s="1135"/>
    </row>
    <row r="10" spans="1:10" x14ac:dyDescent="0.2">
      <c r="A10" s="1138" t="s">
        <v>969</v>
      </c>
      <c r="B10" s="1137">
        <v>-16640</v>
      </c>
      <c r="C10" s="1137">
        <v>41855</v>
      </c>
      <c r="D10" s="1137">
        <v>-702</v>
      </c>
      <c r="E10" s="1137">
        <v>27991</v>
      </c>
      <c r="F10" s="1137">
        <v>28637</v>
      </c>
      <c r="J10" s="1135"/>
    </row>
    <row r="11" spans="1:10" x14ac:dyDescent="0.2">
      <c r="A11" s="1136" t="s">
        <v>970</v>
      </c>
      <c r="B11" s="1137">
        <v>-4022</v>
      </c>
      <c r="C11" s="1137">
        <v>-9407</v>
      </c>
      <c r="D11" s="1137">
        <v>-2025</v>
      </c>
      <c r="E11" s="1137">
        <v>-1987</v>
      </c>
      <c r="F11" s="1137">
        <v>-1987</v>
      </c>
      <c r="J11" s="1135"/>
    </row>
    <row r="12" spans="1:10" x14ac:dyDescent="0.2">
      <c r="A12" s="1136" t="s">
        <v>971</v>
      </c>
      <c r="B12" s="1137">
        <v>8464</v>
      </c>
      <c r="C12" s="1137">
        <v>7356</v>
      </c>
      <c r="D12" s="1137">
        <v>8486</v>
      </c>
      <c r="E12" s="1137">
        <v>8405</v>
      </c>
      <c r="F12" s="1137">
        <v>8404</v>
      </c>
      <c r="J12" s="1135"/>
    </row>
    <row r="13" spans="1:10" x14ac:dyDescent="0.2">
      <c r="A13" s="1136" t="s">
        <v>972</v>
      </c>
      <c r="B13" s="1137">
        <v>122464</v>
      </c>
      <c r="C13" s="1137">
        <v>86741</v>
      </c>
      <c r="D13" s="1137">
        <v>145633</v>
      </c>
      <c r="E13" s="1137">
        <v>142923</v>
      </c>
      <c r="F13" s="1137">
        <v>135424</v>
      </c>
      <c r="J13" s="1135"/>
    </row>
    <row r="14" spans="1:10" x14ac:dyDescent="0.2">
      <c r="A14" s="1136" t="s">
        <v>973</v>
      </c>
      <c r="B14" s="1137">
        <v>130012</v>
      </c>
      <c r="C14" s="1137">
        <v>140498</v>
      </c>
      <c r="D14" s="1137">
        <v>123416</v>
      </c>
      <c r="E14" s="1137">
        <v>146911</v>
      </c>
      <c r="F14" s="1137">
        <v>152835</v>
      </c>
      <c r="J14" s="1135"/>
    </row>
    <row r="15" spans="1:10" x14ac:dyDescent="0.2">
      <c r="A15" s="1136" t="s">
        <v>974</v>
      </c>
      <c r="B15" s="1137">
        <v>45254</v>
      </c>
      <c r="C15" s="1137">
        <v>46537</v>
      </c>
      <c r="D15" s="1137">
        <v>45770</v>
      </c>
      <c r="E15" s="1137">
        <v>45618</v>
      </c>
      <c r="F15" s="1137">
        <v>45600</v>
      </c>
      <c r="J15" s="1135"/>
    </row>
    <row r="16" spans="1:10" x14ac:dyDescent="0.2">
      <c r="A16" s="1136" t="s">
        <v>975</v>
      </c>
      <c r="B16" s="1137">
        <v>0</v>
      </c>
      <c r="C16" s="1137">
        <v>0</v>
      </c>
      <c r="D16" s="1137">
        <v>0</v>
      </c>
      <c r="E16" s="1137">
        <v>0</v>
      </c>
      <c r="F16" s="1137">
        <v>0</v>
      </c>
      <c r="J16" s="1135"/>
    </row>
    <row r="17" spans="1:10" x14ac:dyDescent="0.2">
      <c r="A17" s="1139" t="s">
        <v>976</v>
      </c>
      <c r="B17" s="1137">
        <v>37</v>
      </c>
      <c r="C17" s="1137">
        <v>143</v>
      </c>
      <c r="D17" s="1137">
        <v>-1306</v>
      </c>
      <c r="E17" s="1137">
        <v>-394</v>
      </c>
      <c r="F17" s="1137">
        <v>-492</v>
      </c>
      <c r="J17" s="1135"/>
    </row>
    <row r="18" spans="1:10" x14ac:dyDescent="0.2">
      <c r="A18" s="1136" t="s">
        <v>977</v>
      </c>
      <c r="B18" s="1137">
        <v>203</v>
      </c>
      <c r="C18" s="1137">
        <v>-3400</v>
      </c>
      <c r="D18" s="1137">
        <v>203</v>
      </c>
      <c r="E18" s="1137">
        <v>203</v>
      </c>
      <c r="F18" s="1137">
        <v>203</v>
      </c>
      <c r="J18" s="1135"/>
    </row>
    <row r="19" spans="1:10" x14ac:dyDescent="0.2">
      <c r="A19" s="1136" t="s">
        <v>978</v>
      </c>
      <c r="B19" s="1137">
        <v>156</v>
      </c>
      <c r="C19" s="1137">
        <v>295</v>
      </c>
      <c r="D19" s="1137">
        <v>180</v>
      </c>
      <c r="E19" s="1137">
        <v>490</v>
      </c>
      <c r="F19" s="1137">
        <v>490</v>
      </c>
      <c r="J19" s="1135"/>
    </row>
    <row r="20" spans="1:10" x14ac:dyDescent="0.2">
      <c r="A20" s="1136" t="s">
        <v>979</v>
      </c>
      <c r="B20" s="1137">
        <v>-110</v>
      </c>
      <c r="C20" s="1137">
        <v>-113</v>
      </c>
      <c r="D20" s="1137">
        <v>-84</v>
      </c>
      <c r="E20" s="1137">
        <v>-84</v>
      </c>
      <c r="F20" s="1137">
        <v>-84</v>
      </c>
      <c r="J20" s="1135"/>
    </row>
    <row r="21" spans="1:10" x14ac:dyDescent="0.2">
      <c r="A21" s="1140" t="s">
        <v>980</v>
      </c>
      <c r="B21" s="1137">
        <v>0</v>
      </c>
      <c r="C21" s="1137">
        <v>0</v>
      </c>
      <c r="D21" s="1137">
        <v>0</v>
      </c>
      <c r="E21" s="1137">
        <v>0</v>
      </c>
      <c r="F21" s="1137">
        <v>0</v>
      </c>
      <c r="J21" s="1135"/>
    </row>
    <row r="22" spans="1:10" x14ac:dyDescent="0.2">
      <c r="A22" s="1140" t="s">
        <v>981</v>
      </c>
      <c r="B22" s="1137">
        <v>0</v>
      </c>
      <c r="C22" s="1137">
        <v>0</v>
      </c>
      <c r="D22" s="1137">
        <v>0</v>
      </c>
      <c r="E22" s="1137">
        <v>0</v>
      </c>
      <c r="F22" s="1137">
        <v>0</v>
      </c>
      <c r="J22" s="1135"/>
    </row>
    <row r="23" spans="1:10" x14ac:dyDescent="0.2">
      <c r="A23" s="1140" t="s">
        <v>982</v>
      </c>
      <c r="B23" s="1137">
        <v>0</v>
      </c>
      <c r="C23" s="1137">
        <v>0</v>
      </c>
      <c r="D23" s="1137">
        <v>0</v>
      </c>
      <c r="E23" s="1137">
        <v>0</v>
      </c>
      <c r="F23" s="1137">
        <v>0</v>
      </c>
      <c r="J23" s="1081"/>
    </row>
    <row r="24" spans="1:10" x14ac:dyDescent="0.2">
      <c r="A24" s="1136" t="s">
        <v>983</v>
      </c>
      <c r="B24" s="1137">
        <v>140</v>
      </c>
      <c r="C24" s="1137">
        <v>-5128</v>
      </c>
      <c r="D24" s="1137">
        <v>140</v>
      </c>
      <c r="E24" s="1137">
        <v>140</v>
      </c>
      <c r="F24" s="1137">
        <v>140</v>
      </c>
      <c r="J24" s="1081"/>
    </row>
    <row r="25" spans="1:10" x14ac:dyDescent="0.2">
      <c r="A25" s="1138" t="s">
        <v>984</v>
      </c>
      <c r="B25" s="1137">
        <v>-102</v>
      </c>
      <c r="C25" s="1137">
        <v>45</v>
      </c>
      <c r="D25" s="1137">
        <v>-102</v>
      </c>
      <c r="E25" s="1137">
        <v>-102</v>
      </c>
      <c r="F25" s="1137">
        <v>-102</v>
      </c>
      <c r="J25" s="1081"/>
    </row>
    <row r="26" spans="1:10" x14ac:dyDescent="0.2">
      <c r="A26" s="1136" t="s">
        <v>985</v>
      </c>
      <c r="B26" s="1137">
        <v>46</v>
      </c>
      <c r="C26" s="1137">
        <v>-369</v>
      </c>
      <c r="D26" s="1137">
        <v>33</v>
      </c>
      <c r="E26" s="1137">
        <v>41</v>
      </c>
      <c r="F26" s="1137">
        <v>41</v>
      </c>
      <c r="J26" s="1081"/>
    </row>
    <row r="27" spans="1:10" x14ac:dyDescent="0.2">
      <c r="A27" s="1138" t="s">
        <v>986</v>
      </c>
      <c r="B27" s="1137">
        <v>36965</v>
      </c>
      <c r="C27" s="1137">
        <v>-11813</v>
      </c>
      <c r="D27" s="1137">
        <v>36965</v>
      </c>
      <c r="E27" s="1137">
        <v>35795</v>
      </c>
      <c r="F27" s="1137">
        <v>35795</v>
      </c>
      <c r="J27" s="1081"/>
    </row>
    <row r="28" spans="1:10" x14ac:dyDescent="0.2">
      <c r="A28" s="1138" t="s">
        <v>987</v>
      </c>
      <c r="B28" s="1137">
        <v>71132</v>
      </c>
      <c r="C28" s="1137">
        <v>49172</v>
      </c>
      <c r="D28" s="1137">
        <v>64652</v>
      </c>
      <c r="E28" s="1137">
        <v>59087</v>
      </c>
      <c r="F28" s="1137">
        <v>53315</v>
      </c>
      <c r="J28" s="1135"/>
    </row>
    <row r="29" spans="1:10" x14ac:dyDescent="0.2">
      <c r="A29" s="1138" t="s">
        <v>988</v>
      </c>
      <c r="B29" s="1137">
        <v>249</v>
      </c>
      <c r="C29" s="1137">
        <v>268</v>
      </c>
      <c r="D29" s="1137">
        <v>228</v>
      </c>
      <c r="E29" s="1137">
        <v>206</v>
      </c>
      <c r="F29" s="1137">
        <v>196</v>
      </c>
      <c r="J29" s="1135"/>
    </row>
    <row r="30" spans="1:10" x14ac:dyDescent="0.2">
      <c r="A30" s="1138" t="s">
        <v>989</v>
      </c>
      <c r="B30" s="1137">
        <v>0</v>
      </c>
      <c r="C30" s="1137">
        <v>0</v>
      </c>
      <c r="D30" s="1137">
        <v>0</v>
      </c>
      <c r="E30" s="1137">
        <v>0</v>
      </c>
      <c r="F30" s="1137">
        <v>0</v>
      </c>
      <c r="J30" s="1053"/>
    </row>
    <row r="31" spans="1:10" x14ac:dyDescent="0.2">
      <c r="A31" s="1138" t="s">
        <v>990</v>
      </c>
      <c r="B31" s="1137">
        <v>0</v>
      </c>
      <c r="C31" s="1137">
        <v>-167</v>
      </c>
      <c r="D31" s="1137">
        <v>0</v>
      </c>
      <c r="E31" s="1137">
        <v>0</v>
      </c>
      <c r="F31" s="1137">
        <v>0</v>
      </c>
      <c r="J31" s="1141"/>
    </row>
    <row r="32" spans="1:10" x14ac:dyDescent="0.2">
      <c r="A32" s="1142" t="s">
        <v>991</v>
      </c>
      <c r="B32" s="994">
        <v>0</v>
      </c>
      <c r="C32" s="994">
        <v>-50</v>
      </c>
      <c r="D32" s="994">
        <v>0</v>
      </c>
      <c r="E32" s="994">
        <v>0</v>
      </c>
      <c r="F32" s="994">
        <v>0</v>
      </c>
    </row>
    <row r="33" spans="1:7" x14ac:dyDescent="0.2">
      <c r="A33" s="1138" t="s">
        <v>992</v>
      </c>
      <c r="B33" s="1137">
        <v>120</v>
      </c>
      <c r="C33" s="1137">
        <v>7520</v>
      </c>
      <c r="D33" s="1137">
        <v>750</v>
      </c>
      <c r="E33" s="1137">
        <v>690</v>
      </c>
      <c r="F33" s="1137">
        <v>690</v>
      </c>
    </row>
    <row r="34" spans="1:7" x14ac:dyDescent="0.2">
      <c r="A34" s="1140" t="s">
        <v>993</v>
      </c>
      <c r="B34" s="1137">
        <v>0</v>
      </c>
      <c r="C34" s="1137">
        <v>0</v>
      </c>
      <c r="D34" s="1137">
        <v>0</v>
      </c>
      <c r="E34" s="1137">
        <v>0</v>
      </c>
      <c r="F34" s="1137">
        <v>0</v>
      </c>
    </row>
    <row r="35" spans="1:7" x14ac:dyDescent="0.2">
      <c r="A35" s="1143" t="s">
        <v>994</v>
      </c>
      <c r="B35" s="1137">
        <v>-5037</v>
      </c>
      <c r="C35" s="1137">
        <v>-5475</v>
      </c>
      <c r="D35" s="1137">
        <v>876</v>
      </c>
      <c r="E35" s="1137">
        <v>-7285</v>
      </c>
      <c r="F35" s="1137">
        <v>10126</v>
      </c>
    </row>
    <row r="36" spans="1:7" x14ac:dyDescent="0.2">
      <c r="A36" s="1140" t="s">
        <v>995</v>
      </c>
      <c r="B36" s="1137">
        <v>-204</v>
      </c>
      <c r="C36" s="1137">
        <v>-28917</v>
      </c>
      <c r="D36" s="1137">
        <v>61</v>
      </c>
      <c r="E36" s="1137">
        <v>1064</v>
      </c>
      <c r="F36" s="1137">
        <v>1064</v>
      </c>
    </row>
    <row r="37" spans="1:7" x14ac:dyDescent="0.2">
      <c r="A37" s="1143" t="s">
        <v>996</v>
      </c>
      <c r="B37" s="1137">
        <v>-655</v>
      </c>
      <c r="C37" s="1137">
        <v>-9984</v>
      </c>
      <c r="D37" s="1137">
        <v>-569</v>
      </c>
      <c r="E37" s="1137">
        <v>-439</v>
      </c>
      <c r="F37" s="1137">
        <v>-415</v>
      </c>
    </row>
    <row r="38" spans="1:7" x14ac:dyDescent="0.2">
      <c r="A38" s="1138" t="s">
        <v>997</v>
      </c>
      <c r="B38" s="1137">
        <v>0</v>
      </c>
      <c r="C38" s="1137">
        <v>9526</v>
      </c>
      <c r="D38" s="1137">
        <v>0</v>
      </c>
      <c r="E38" s="1137">
        <v>0</v>
      </c>
      <c r="F38" s="1137">
        <v>0</v>
      </c>
    </row>
    <row r="39" spans="1:7" x14ac:dyDescent="0.2">
      <c r="A39" s="1144" t="s">
        <v>998</v>
      </c>
      <c r="B39" s="1137">
        <v>-6719</v>
      </c>
      <c r="C39" s="1137">
        <v>4915</v>
      </c>
      <c r="D39" s="1137">
        <v>434</v>
      </c>
      <c r="E39" s="1137">
        <v>1722</v>
      </c>
      <c r="F39" s="1137">
        <v>26801</v>
      </c>
    </row>
    <row r="40" spans="1:7" x14ac:dyDescent="0.2">
      <c r="A40" s="1143" t="s">
        <v>999</v>
      </c>
      <c r="B40" s="1137">
        <v>-9238</v>
      </c>
      <c r="C40" s="1137">
        <v>-9238</v>
      </c>
      <c r="D40" s="1137">
        <v>-2973</v>
      </c>
      <c r="E40" s="1137">
        <v>781</v>
      </c>
      <c r="F40" s="1137">
        <v>-1356</v>
      </c>
    </row>
    <row r="41" spans="1:7" ht="18" x14ac:dyDescent="0.2">
      <c r="A41" s="1145" t="s">
        <v>1000</v>
      </c>
      <c r="B41" s="1146">
        <f>B3+B4</f>
        <v>-742811</v>
      </c>
      <c r="C41" s="1146">
        <f>C3+C4</f>
        <v>-542967</v>
      </c>
      <c r="D41" s="1146">
        <f>D3+D4</f>
        <v>-96890</v>
      </c>
      <c r="E41" s="1146">
        <f>E3+E4</f>
        <v>0</v>
      </c>
      <c r="F41" s="1146">
        <f>F3+F4</f>
        <v>218546</v>
      </c>
      <c r="G41" s="1147"/>
    </row>
    <row r="42" spans="1:7" x14ac:dyDescent="0.2">
      <c r="A42" s="1148" t="s">
        <v>1001</v>
      </c>
      <c r="B42" s="1149" t="e">
        <f>B41/1000/B45*100</f>
        <v>#DIV/0!</v>
      </c>
      <c r="C42" s="1149" t="e">
        <f t="shared" ref="C42:F42" si="0">C41/1000/C45*100</f>
        <v>#DIV/0!</v>
      </c>
      <c r="D42" s="1149" t="e">
        <f t="shared" si="0"/>
        <v>#DIV/0!</v>
      </c>
      <c r="E42" s="1149" t="e">
        <f t="shared" si="0"/>
        <v>#DIV/0!</v>
      </c>
      <c r="F42" s="1149" t="e">
        <f t="shared" si="0"/>
        <v>#DIV/0!</v>
      </c>
      <c r="G42" s="1150"/>
    </row>
    <row r="43" spans="1:7" x14ac:dyDescent="0.2">
      <c r="A43" s="1117" t="s">
        <v>959</v>
      </c>
      <c r="F43" s="1151" t="s">
        <v>37</v>
      </c>
      <c r="G43" s="1150"/>
    </row>
    <row r="44" spans="1:7" ht="12.75" customHeight="1" x14ac:dyDescent="0.2">
      <c r="B44" s="1152"/>
      <c r="C44" s="1152"/>
      <c r="D44" s="1152"/>
      <c r="E44" s="1152"/>
      <c r="F44" s="1152"/>
      <c r="G44" s="1153"/>
    </row>
    <row r="45" spans="1:7" x14ac:dyDescent="0.2">
      <c r="A45" s="1154" t="s">
        <v>1002</v>
      </c>
      <c r="B45" s="1155">
        <f>'T43'!B53</f>
        <v>0</v>
      </c>
      <c r="C45" s="1155">
        <f>'T43'!C53</f>
        <v>0</v>
      </c>
      <c r="D45" s="1155">
        <f>'T43'!D53</f>
        <v>0</v>
      </c>
      <c r="E45" s="1155">
        <f>'T43'!E53</f>
        <v>0</v>
      </c>
      <c r="F45" s="1155">
        <f>'T43'!F53</f>
        <v>0</v>
      </c>
      <c r="G45" s="1156"/>
    </row>
    <row r="46" spans="1:7" ht="12.75" customHeight="1" x14ac:dyDescent="0.2">
      <c r="A46" s="1157"/>
      <c r="B46" s="1158"/>
      <c r="C46" s="1156"/>
      <c r="D46" s="1156"/>
      <c r="E46" s="1156"/>
      <c r="F46" s="1156"/>
      <c r="G46" s="1156"/>
    </row>
    <row r="47" spans="1:7" x14ac:dyDescent="0.2">
      <c r="A47" s="1130"/>
      <c r="B47" s="1159"/>
      <c r="C47" s="1159"/>
      <c r="D47" s="1159"/>
      <c r="E47" s="1159"/>
      <c r="F47" s="1159"/>
      <c r="G47" s="1156"/>
    </row>
    <row r="48" spans="1:7" x14ac:dyDescent="0.2">
      <c r="B48" s="1160"/>
      <c r="C48" s="1160"/>
      <c r="D48" s="1160"/>
      <c r="E48" s="1160"/>
      <c r="F48" s="1160"/>
      <c r="G48" s="1160"/>
    </row>
    <row r="49" spans="1:7" x14ac:dyDescent="0.2">
      <c r="A49" s="1161"/>
      <c r="B49" s="1160"/>
      <c r="C49" s="1160"/>
      <c r="D49" s="1160"/>
      <c r="E49" s="1160"/>
      <c r="F49" s="1160"/>
      <c r="G49" s="1160"/>
    </row>
    <row r="50" spans="1:7" x14ac:dyDescent="0.2">
      <c r="A50" s="1162"/>
      <c r="B50" s="1163"/>
      <c r="C50" s="1163"/>
      <c r="D50" s="1163"/>
      <c r="E50" s="1163"/>
      <c r="F50" s="1163"/>
      <c r="G50" s="1163"/>
    </row>
    <row r="51" spans="1:7" x14ac:dyDescent="0.2">
      <c r="A51" s="1162"/>
      <c r="B51" s="1163"/>
      <c r="C51" s="1163"/>
      <c r="D51" s="1163"/>
      <c r="E51" s="1163"/>
      <c r="F51" s="1163"/>
      <c r="G51" s="1163"/>
    </row>
    <row r="52" spans="1:7" x14ac:dyDescent="0.2">
      <c r="A52" s="1162"/>
      <c r="B52" s="1163"/>
      <c r="C52" s="1163"/>
      <c r="D52" s="1163"/>
      <c r="E52" s="1163"/>
      <c r="F52" s="1163"/>
      <c r="G52" s="1163"/>
    </row>
    <row r="53" spans="1:7" x14ac:dyDescent="0.2">
      <c r="A53" s="1162"/>
      <c r="B53" s="1163"/>
      <c r="C53" s="1163"/>
      <c r="D53" s="1163"/>
      <c r="E53" s="1163"/>
      <c r="F53" s="1163"/>
      <c r="G53" s="1163"/>
    </row>
    <row r="54" spans="1:7" x14ac:dyDescent="0.2">
      <c r="A54" s="1162"/>
      <c r="B54" s="1163"/>
      <c r="C54" s="1163"/>
      <c r="D54" s="1163"/>
      <c r="E54" s="1163"/>
      <c r="F54" s="1163"/>
      <c r="G54" s="1163"/>
    </row>
    <row r="55" spans="1:7" x14ac:dyDescent="0.2">
      <c r="A55" s="1162"/>
      <c r="B55" s="1163"/>
      <c r="C55" s="1163"/>
      <c r="D55" s="1163"/>
      <c r="E55" s="1163"/>
      <c r="F55" s="1163"/>
      <c r="G55" s="1163"/>
    </row>
    <row r="56" spans="1:7" x14ac:dyDescent="0.2">
      <c r="A56" s="1162"/>
      <c r="B56" s="1163"/>
      <c r="C56" s="1163"/>
      <c r="D56" s="1163"/>
      <c r="E56" s="1163"/>
      <c r="F56" s="1163"/>
      <c r="G56" s="1163"/>
    </row>
    <row r="57" spans="1:7" x14ac:dyDescent="0.2">
      <c r="A57" s="1162"/>
      <c r="B57" s="1163"/>
      <c r="C57" s="1163"/>
      <c r="D57" s="1163"/>
      <c r="E57" s="1163"/>
      <c r="F57" s="1163"/>
      <c r="G57" s="1163"/>
    </row>
    <row r="58" spans="1:7" x14ac:dyDescent="0.2">
      <c r="A58" s="1162"/>
      <c r="B58" s="1163"/>
      <c r="C58" s="1163"/>
      <c r="D58" s="1163"/>
      <c r="E58" s="1163"/>
      <c r="F58" s="1163"/>
      <c r="G58" s="1163"/>
    </row>
    <row r="59" spans="1:7" x14ac:dyDescent="0.2">
      <c r="A59" s="1162"/>
      <c r="B59" s="1163"/>
      <c r="C59" s="1163"/>
      <c r="D59" s="1163"/>
      <c r="E59" s="1163"/>
      <c r="F59" s="1163"/>
      <c r="G59" s="1163"/>
    </row>
    <row r="60" spans="1:7" x14ac:dyDescent="0.2">
      <c r="A60" s="1162"/>
      <c r="B60" s="1163"/>
      <c r="C60" s="1163"/>
      <c r="D60" s="1163"/>
      <c r="E60" s="1163"/>
      <c r="F60" s="1163"/>
      <c r="G60" s="1163"/>
    </row>
    <row r="61" spans="1:7" x14ac:dyDescent="0.2">
      <c r="A61" s="1164"/>
      <c r="B61" s="1163"/>
      <c r="C61" s="1163"/>
      <c r="D61" s="1163"/>
      <c r="E61" s="1163"/>
      <c r="F61" s="1163"/>
      <c r="G61" s="1163"/>
    </row>
    <row r="62" spans="1:7" x14ac:dyDescent="0.2">
      <c r="A62" s="1162"/>
      <c r="B62" s="1163"/>
      <c r="C62" s="1163"/>
      <c r="D62" s="1163"/>
      <c r="E62" s="1163"/>
      <c r="F62" s="1163"/>
      <c r="G62" s="1163"/>
    </row>
    <row r="63" spans="1:7" x14ac:dyDescent="0.2">
      <c r="A63" s="1162"/>
      <c r="B63" s="1163"/>
      <c r="C63" s="1163"/>
      <c r="D63" s="1163"/>
      <c r="E63" s="1163"/>
      <c r="F63" s="1163"/>
      <c r="G63" s="1163"/>
    </row>
    <row r="64" spans="1:7" x14ac:dyDescent="0.2">
      <c r="A64" s="1162"/>
      <c r="B64" s="1163"/>
      <c r="C64" s="1163"/>
      <c r="D64" s="1163"/>
      <c r="E64" s="1163"/>
      <c r="F64" s="1163"/>
      <c r="G64" s="1163"/>
    </row>
    <row r="65" spans="1:7" x14ac:dyDescent="0.2">
      <c r="A65" s="1162"/>
      <c r="B65" s="1163"/>
      <c r="C65" s="1163"/>
      <c r="D65" s="1163"/>
      <c r="E65" s="1163"/>
      <c r="F65" s="1163"/>
      <c r="G65" s="1163"/>
    </row>
    <row r="66" spans="1:7" x14ac:dyDescent="0.2">
      <c r="A66" s="1162"/>
      <c r="B66" s="1163"/>
      <c r="C66" s="1163"/>
      <c r="D66" s="1163"/>
      <c r="E66" s="1163"/>
      <c r="F66" s="1163"/>
      <c r="G66" s="1163"/>
    </row>
    <row r="67" spans="1:7" x14ac:dyDescent="0.2">
      <c r="A67" s="1165"/>
      <c r="B67" s="1163"/>
      <c r="C67" s="1163"/>
      <c r="D67" s="1163"/>
      <c r="E67" s="1163"/>
      <c r="F67" s="1163"/>
      <c r="G67" s="1163"/>
    </row>
    <row r="68" spans="1:7" x14ac:dyDescent="0.2">
      <c r="A68" s="1165"/>
      <c r="B68" s="1163"/>
      <c r="C68" s="1163"/>
      <c r="D68" s="1163"/>
      <c r="E68" s="1163"/>
      <c r="F68" s="1163"/>
      <c r="G68" s="1163"/>
    </row>
    <row r="69" spans="1:7" x14ac:dyDescent="0.2">
      <c r="A69" s="1162"/>
      <c r="B69" s="1163"/>
      <c r="C69" s="1163"/>
      <c r="D69" s="1163"/>
      <c r="E69" s="1163"/>
      <c r="F69" s="1163"/>
      <c r="G69" s="1163"/>
    </row>
    <row r="70" spans="1:7" x14ac:dyDescent="0.2">
      <c r="A70" s="1165"/>
      <c r="B70" s="1163"/>
      <c r="C70" s="1163"/>
      <c r="D70" s="1163"/>
      <c r="E70" s="1163"/>
      <c r="F70" s="1163"/>
      <c r="G70" s="1163"/>
    </row>
    <row r="71" spans="1:7" x14ac:dyDescent="0.2">
      <c r="A71" s="1165"/>
      <c r="B71" s="1163"/>
      <c r="C71" s="1163"/>
      <c r="D71" s="1163"/>
      <c r="E71" s="1163"/>
      <c r="F71" s="1163"/>
      <c r="G71" s="1163"/>
    </row>
    <row r="72" spans="1:7" x14ac:dyDescent="0.2">
      <c r="A72" s="1165"/>
      <c r="B72" s="1163"/>
      <c r="C72" s="1163"/>
      <c r="D72" s="1163"/>
      <c r="E72" s="1163"/>
      <c r="F72" s="1163"/>
      <c r="G72" s="1163"/>
    </row>
    <row r="73" spans="1:7" x14ac:dyDescent="0.2">
      <c r="A73" s="1165"/>
      <c r="B73" s="1163"/>
      <c r="C73" s="1163"/>
      <c r="D73" s="1163"/>
      <c r="E73" s="1163"/>
      <c r="F73" s="1163"/>
      <c r="G73" s="1163"/>
    </row>
    <row r="74" spans="1:7" x14ac:dyDescent="0.2">
      <c r="A74" s="1165"/>
      <c r="B74" s="1163"/>
      <c r="C74" s="1163"/>
      <c r="D74" s="1163"/>
      <c r="E74" s="1163"/>
      <c r="F74" s="1163"/>
      <c r="G74" s="1163"/>
    </row>
    <row r="75" spans="1:7" x14ac:dyDescent="0.2">
      <c r="A75" s="1165"/>
      <c r="B75" s="1163"/>
      <c r="C75" s="1163"/>
      <c r="D75" s="1163"/>
      <c r="E75" s="1163"/>
      <c r="F75" s="1163"/>
      <c r="G75" s="1163"/>
    </row>
    <row r="76" spans="1:7" x14ac:dyDescent="0.2">
      <c r="A76" s="1165"/>
      <c r="B76" s="1163"/>
      <c r="C76" s="1163"/>
      <c r="D76" s="1163"/>
      <c r="E76" s="1163"/>
      <c r="F76" s="1163"/>
      <c r="G76" s="1163"/>
    </row>
    <row r="77" spans="1:7" x14ac:dyDescent="0.2">
      <c r="A77" s="1165"/>
      <c r="B77" s="1166"/>
      <c r="C77" s="1163"/>
      <c r="D77" s="1163"/>
      <c r="E77" s="1163"/>
      <c r="F77" s="1163"/>
      <c r="G77" s="1163"/>
    </row>
    <row r="78" spans="1:7" x14ac:dyDescent="0.2">
      <c r="A78" s="1165"/>
      <c r="B78" s="1163"/>
      <c r="C78" s="1163"/>
      <c r="D78" s="1163"/>
      <c r="E78" s="1163"/>
      <c r="F78" s="1163"/>
      <c r="G78" s="1163"/>
    </row>
    <row r="79" spans="1:7" x14ac:dyDescent="0.2">
      <c r="A79" s="1165"/>
      <c r="B79" s="1163"/>
      <c r="C79" s="1163"/>
      <c r="D79" s="1163"/>
      <c r="E79" s="1163"/>
      <c r="F79" s="1163"/>
      <c r="G79" s="1163"/>
    </row>
    <row r="80" spans="1:7" x14ac:dyDescent="0.2">
      <c r="A80" s="1165"/>
      <c r="B80" s="1163"/>
      <c r="C80" s="1163"/>
      <c r="D80" s="1163"/>
      <c r="E80" s="1163"/>
      <c r="F80" s="1163"/>
      <c r="G80" s="1163"/>
    </row>
    <row r="81" spans="1:7" x14ac:dyDescent="0.2">
      <c r="A81" s="1162"/>
      <c r="B81" s="1163"/>
      <c r="C81" s="1163"/>
      <c r="D81" s="1163"/>
      <c r="E81" s="1163"/>
      <c r="F81" s="1163"/>
      <c r="G81" s="1163"/>
    </row>
    <row r="82" spans="1:7" x14ac:dyDescent="0.2">
      <c r="A82" s="1167"/>
      <c r="B82" s="1160"/>
      <c r="C82" s="1160"/>
      <c r="D82" s="1160"/>
      <c r="E82" s="1160"/>
      <c r="F82" s="1160"/>
      <c r="G82" s="1160"/>
    </row>
    <row r="83" spans="1:7" x14ac:dyDescent="0.2">
      <c r="A83" s="1168"/>
      <c r="B83" s="1169"/>
      <c r="C83" s="1169"/>
      <c r="D83" s="1169"/>
      <c r="E83" s="1169"/>
      <c r="F83" s="1169"/>
      <c r="G83" s="1169"/>
    </row>
    <row r="84" spans="1:7" x14ac:dyDescent="0.2">
      <c r="A84" s="1161"/>
      <c r="B84" s="1170"/>
      <c r="C84" s="1171"/>
      <c r="D84" s="1171"/>
      <c r="E84" s="1171"/>
      <c r="F84" s="1171"/>
      <c r="G84" s="1171"/>
    </row>
    <row r="85" spans="1:7" x14ac:dyDescent="0.2">
      <c r="A85" s="1076"/>
      <c r="B85" s="1076"/>
      <c r="C85" s="1076"/>
      <c r="D85" s="1076"/>
      <c r="E85" s="1076"/>
      <c r="F85" s="1076"/>
    </row>
    <row r="86" spans="1:7" x14ac:dyDescent="0.2">
      <c r="A86" s="1076"/>
      <c r="B86" s="1076"/>
      <c r="C86" s="1076"/>
      <c r="D86" s="1076"/>
      <c r="E86" s="1076"/>
      <c r="F86" s="1076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42E8-4C5E-4863-A23A-3522CF61D174}">
  <sheetPr codeName="Sheet28"/>
  <dimension ref="A1:O50"/>
  <sheetViews>
    <sheetView showGridLines="0" workbookViewId="0"/>
  </sheetViews>
  <sheetFormatPr defaultRowHeight="15" x14ac:dyDescent="0.25"/>
  <cols>
    <col min="1" max="1" width="47" customWidth="1"/>
    <col min="9" max="9" width="41.85546875" customWidth="1"/>
  </cols>
  <sheetData>
    <row r="1" spans="1:15" x14ac:dyDescent="0.25">
      <c r="A1" s="327" t="s">
        <v>464</v>
      </c>
      <c r="B1" s="550"/>
      <c r="C1" s="550"/>
      <c r="D1" s="550"/>
      <c r="E1" s="550"/>
      <c r="F1" s="550"/>
      <c r="G1" s="550"/>
      <c r="I1" s="327" t="s">
        <v>465</v>
      </c>
      <c r="J1" s="550"/>
      <c r="K1" s="551"/>
      <c r="L1" s="551"/>
      <c r="M1" s="551"/>
      <c r="N1" s="551"/>
      <c r="O1" s="551"/>
    </row>
    <row r="2" spans="1:15" x14ac:dyDescent="0.25">
      <c r="A2" s="552"/>
      <c r="B2" s="553" t="s">
        <v>241</v>
      </c>
      <c r="C2" s="553" t="s">
        <v>242</v>
      </c>
      <c r="D2" s="553" t="s">
        <v>166</v>
      </c>
      <c r="E2" s="553" t="s">
        <v>167</v>
      </c>
      <c r="F2" s="553" t="s">
        <v>168</v>
      </c>
      <c r="G2" s="553" t="s">
        <v>169</v>
      </c>
      <c r="I2" s="31"/>
      <c r="J2" s="553" t="str">
        <f t="shared" ref="J2:O2" si="0">B2</f>
        <v>2016 S</v>
      </c>
      <c r="K2" s="553" t="str">
        <f t="shared" si="0"/>
        <v>2017 S</v>
      </c>
      <c r="L2" s="553" t="str">
        <f t="shared" si="0"/>
        <v>2018 O</v>
      </c>
      <c r="M2" s="553" t="str">
        <f t="shared" si="0"/>
        <v>2019 O</v>
      </c>
      <c r="N2" s="553" t="str">
        <f t="shared" si="0"/>
        <v>2020 O</v>
      </c>
      <c r="O2" s="553" t="str">
        <f t="shared" si="0"/>
        <v>2021 O</v>
      </c>
    </row>
    <row r="3" spans="1:15" x14ac:dyDescent="0.25">
      <c r="A3" s="554" t="s">
        <v>466</v>
      </c>
      <c r="B3" s="555">
        <v>31863.9</v>
      </c>
      <c r="C3" s="556">
        <v>33443.9</v>
      </c>
      <c r="D3" s="556">
        <v>35778.374582634984</v>
      </c>
      <c r="E3" s="556">
        <v>37787.569586593796</v>
      </c>
      <c r="F3" s="556">
        <v>39602.6538322376</v>
      </c>
      <c r="G3" s="556">
        <v>41204.280219749184</v>
      </c>
      <c r="I3" s="554" t="s">
        <v>467</v>
      </c>
      <c r="J3" s="555">
        <v>33668.6</v>
      </c>
      <c r="K3" s="556">
        <v>34103.160000000003</v>
      </c>
      <c r="L3" s="556">
        <v>36608.475598026962</v>
      </c>
      <c r="M3" s="556">
        <v>38461.045725626434</v>
      </c>
      <c r="N3" s="556">
        <v>40183.831537163293</v>
      </c>
      <c r="O3" s="556">
        <v>41398.32496441777</v>
      </c>
    </row>
    <row r="4" spans="1:15" x14ac:dyDescent="0.25">
      <c r="A4" s="36" t="s">
        <v>468</v>
      </c>
      <c r="B4" s="557">
        <v>796.34500000000003</v>
      </c>
      <c r="C4" s="558">
        <v>631.81297972000004</v>
      </c>
      <c r="D4" s="558">
        <v>892.1837238244168</v>
      </c>
      <c r="E4" s="558">
        <v>1087.7635804616332</v>
      </c>
      <c r="F4" s="558">
        <v>1040.4836211136615</v>
      </c>
      <c r="G4" s="558">
        <v>1091.7917684052074</v>
      </c>
      <c r="I4" s="36" t="s">
        <v>469</v>
      </c>
      <c r="J4" s="557">
        <v>796.34491658999957</v>
      </c>
      <c r="K4" s="558">
        <f>C4</f>
        <v>631.81297972000004</v>
      </c>
      <c r="L4" s="558">
        <f>D4</f>
        <v>892.1837238244168</v>
      </c>
      <c r="M4" s="558">
        <f>E4</f>
        <v>1087.7635804616332</v>
      </c>
      <c r="N4" s="558">
        <f>F4</f>
        <v>1040.4836211136615</v>
      </c>
      <c r="O4" s="558">
        <f>G4</f>
        <v>1091.7917684052074</v>
      </c>
    </row>
    <row r="5" spans="1:15" x14ac:dyDescent="0.25">
      <c r="A5" s="36" t="s">
        <v>470</v>
      </c>
      <c r="B5" s="557">
        <v>1606.3344069999998</v>
      </c>
      <c r="C5" s="558">
        <v>1524.0680002199999</v>
      </c>
      <c r="D5" s="558">
        <v>1453.6489999999999</v>
      </c>
      <c r="E5" s="558">
        <v>1296.7271021281806</v>
      </c>
      <c r="F5" s="558">
        <v>1232.5400326065553</v>
      </c>
      <c r="G5" s="558">
        <v>1115.6200547251049</v>
      </c>
      <c r="I5" s="36" t="s">
        <v>471</v>
      </c>
      <c r="J5" s="557">
        <v>272.75879075</v>
      </c>
      <c r="K5" s="558">
        <v>227.03399999999996</v>
      </c>
      <c r="L5" s="558">
        <v>312.5722955059959</v>
      </c>
      <c r="M5" s="558">
        <v>440.78944455237189</v>
      </c>
      <c r="N5" s="558">
        <v>477.14019154765617</v>
      </c>
      <c r="O5" s="558">
        <v>509.96426366688911</v>
      </c>
    </row>
    <row r="6" spans="1:15" x14ac:dyDescent="0.25">
      <c r="A6" s="36" t="s">
        <v>472</v>
      </c>
      <c r="B6" s="557">
        <v>180.63499999999999</v>
      </c>
      <c r="C6" s="558">
        <v>189.23599999999999</v>
      </c>
      <c r="D6" s="558">
        <v>202.07084245327502</v>
      </c>
      <c r="E6" s="558">
        <v>206.92787616573162</v>
      </c>
      <c r="F6" s="558">
        <v>212.03602888097771</v>
      </c>
      <c r="G6" s="558">
        <v>217.46031702083741</v>
      </c>
      <c r="I6" s="36" t="s">
        <v>473</v>
      </c>
      <c r="J6" s="557">
        <v>1392.9379999999999</v>
      </c>
      <c r="K6" s="558">
        <v>1179.4000000000001</v>
      </c>
      <c r="L6" s="558">
        <v>1212.3929330000001</v>
      </c>
      <c r="M6" s="558">
        <v>1198.335008595521</v>
      </c>
      <c r="N6" s="558">
        <v>1173.4202301902808</v>
      </c>
      <c r="O6" s="558">
        <v>1190.8370949657249</v>
      </c>
    </row>
    <row r="7" spans="1:15" x14ac:dyDescent="0.25">
      <c r="A7" s="559" t="s">
        <v>474</v>
      </c>
      <c r="B7" s="560">
        <f>B3-SUM(B4:B6)</f>
        <v>29280.585593000003</v>
      </c>
      <c r="C7" s="560">
        <f>C3-SUM(C4:C6)</f>
        <v>31098.78302006</v>
      </c>
      <c r="D7" s="560">
        <f t="shared" ref="D7:G7" si="1">D3-SUM(D4:D6)</f>
        <v>33230.471016357289</v>
      </c>
      <c r="E7" s="560">
        <f t="shared" si="1"/>
        <v>35196.151027838248</v>
      </c>
      <c r="F7" s="560">
        <f t="shared" si="1"/>
        <v>37117.594149636403</v>
      </c>
      <c r="G7" s="560">
        <f t="shared" si="1"/>
        <v>38779.408079598034</v>
      </c>
      <c r="I7" s="36" t="s">
        <v>470</v>
      </c>
      <c r="J7" s="557">
        <v>1623.596</v>
      </c>
      <c r="K7" s="558">
        <v>1545.2822662199999</v>
      </c>
      <c r="L7" s="558">
        <v>1476.8519999999999</v>
      </c>
      <c r="M7" s="558">
        <v>1324.6868831281806</v>
      </c>
      <c r="N7" s="558">
        <v>1264.0861176065555</v>
      </c>
      <c r="O7" s="558">
        <v>1151.1269367251048</v>
      </c>
    </row>
    <row r="8" spans="1:15" x14ac:dyDescent="0.25">
      <c r="A8" s="431" t="s">
        <v>396</v>
      </c>
      <c r="B8" s="561">
        <v>8630.2999999999993</v>
      </c>
      <c r="C8" s="562">
        <v>9250.9</v>
      </c>
      <c r="D8" s="562">
        <v>9769.4598618318814</v>
      </c>
      <c r="E8" s="562">
        <v>10409.748947003805</v>
      </c>
      <c r="F8" s="562">
        <v>10857.354693230503</v>
      </c>
      <c r="G8" s="562">
        <v>11113.519332998851</v>
      </c>
      <c r="I8" s="36" t="s">
        <v>475</v>
      </c>
      <c r="J8" s="557">
        <v>180.63499999999999</v>
      </c>
      <c r="K8" s="558">
        <v>189.23599999999999</v>
      </c>
      <c r="L8" s="558">
        <v>202.07084245327502</v>
      </c>
      <c r="M8" s="558">
        <v>206.92787616573162</v>
      </c>
      <c r="N8" s="558">
        <v>212.03602888097771</v>
      </c>
      <c r="O8" s="558">
        <v>217.46031702083741</v>
      </c>
    </row>
    <row r="9" spans="1:15" x14ac:dyDescent="0.25">
      <c r="A9" s="33" t="s">
        <v>476</v>
      </c>
      <c r="B9" s="563">
        <v>5419.65</v>
      </c>
      <c r="C9" s="558">
        <v>5916.5889999999999</v>
      </c>
      <c r="D9" s="558">
        <v>6297.8999198922029</v>
      </c>
      <c r="E9" s="558">
        <v>6648.0531763109248</v>
      </c>
      <c r="F9" s="558">
        <v>6992.2785852701572</v>
      </c>
      <c r="G9" s="558">
        <v>7322.265085605557</v>
      </c>
      <c r="I9" s="36" t="s">
        <v>477</v>
      </c>
      <c r="J9" s="557">
        <v>684.19600000000003</v>
      </c>
      <c r="K9" s="558">
        <v>601.95915600000001</v>
      </c>
      <c r="L9" s="558">
        <v>738.59499999999991</v>
      </c>
      <c r="M9" s="558">
        <v>839.66800000000001</v>
      </c>
      <c r="N9" s="558">
        <v>871.01700000000005</v>
      </c>
      <c r="O9" s="558">
        <v>871.59900000000005</v>
      </c>
    </row>
    <row r="10" spans="1:15" x14ac:dyDescent="0.25">
      <c r="A10" s="33" t="s">
        <v>478</v>
      </c>
      <c r="B10" s="563">
        <v>2173.884</v>
      </c>
      <c r="C10" s="558">
        <v>2250.8883662799999</v>
      </c>
      <c r="D10" s="558">
        <v>2332.0101192845641</v>
      </c>
      <c r="E10" s="558">
        <v>2420.150638115219</v>
      </c>
      <c r="F10" s="558">
        <v>2473.7853898749308</v>
      </c>
      <c r="G10" s="558">
        <v>2520.8500459037928</v>
      </c>
      <c r="I10" s="559" t="s">
        <v>479</v>
      </c>
      <c r="J10" s="560">
        <f>J3-SUM(J4:J9)</f>
        <v>28718.13129266</v>
      </c>
      <c r="K10" s="560">
        <f>K3-SUM(K4:K9)</f>
        <v>29728.435598060005</v>
      </c>
      <c r="L10" s="560">
        <f t="shared" ref="L10:O10" si="2">L3-SUM(L4:L9)</f>
        <v>31773.808803243275</v>
      </c>
      <c r="M10" s="560">
        <f t="shared" si="2"/>
        <v>33362.874932722996</v>
      </c>
      <c r="N10" s="560">
        <f t="shared" si="2"/>
        <v>35145.648347824157</v>
      </c>
      <c r="O10" s="560">
        <f t="shared" si="2"/>
        <v>36365.545583634004</v>
      </c>
    </row>
    <row r="11" spans="1:15" x14ac:dyDescent="0.25">
      <c r="A11" s="33" t="s">
        <v>480</v>
      </c>
      <c r="B11" s="563">
        <v>225.36099999999999</v>
      </c>
      <c r="C11" s="558">
        <v>233.09220960770003</v>
      </c>
      <c r="D11" s="558">
        <v>235.85005739753367</v>
      </c>
      <c r="E11" s="558">
        <v>240.49809501246608</v>
      </c>
      <c r="F11" s="558">
        <v>245.48378194390563</v>
      </c>
      <c r="G11" s="558">
        <v>250.56928980423262</v>
      </c>
      <c r="I11" s="564" t="s">
        <v>481</v>
      </c>
      <c r="J11" s="562">
        <f>SUM(J12:J14)</f>
        <v>11367.928222710001</v>
      </c>
      <c r="K11" s="562">
        <f>SUM(K12:K14)</f>
        <v>12262.3810561714</v>
      </c>
      <c r="L11" s="562">
        <f t="shared" ref="L11:O11" si="3">SUM(L12:L14)</f>
        <v>12737.172533492499</v>
      </c>
      <c r="M11" s="562">
        <f t="shared" si="3"/>
        <v>13717.160340174398</v>
      </c>
      <c r="N11" s="562">
        <f t="shared" si="3"/>
        <v>15092.387824473184</v>
      </c>
      <c r="O11" s="562">
        <f t="shared" si="3"/>
        <v>15721.679195279459</v>
      </c>
    </row>
    <row r="12" spans="1:15" x14ac:dyDescent="0.25">
      <c r="A12" s="33" t="s">
        <v>482</v>
      </c>
      <c r="B12" s="563">
        <v>145.05000000000001</v>
      </c>
      <c r="C12" s="558">
        <v>149.904</v>
      </c>
      <c r="D12" s="558">
        <v>153.97694965165601</v>
      </c>
      <c r="E12" s="558">
        <v>163.08433759058556</v>
      </c>
      <c r="F12" s="558">
        <v>173.68511058049103</v>
      </c>
      <c r="G12" s="558">
        <v>183.92613098985871</v>
      </c>
      <c r="I12" s="36" t="s">
        <v>409</v>
      </c>
      <c r="J12" s="563">
        <v>7117.3589004583573</v>
      </c>
      <c r="K12" s="558">
        <v>7491.982471475425</v>
      </c>
      <c r="L12" s="558">
        <v>7952.8658665539006</v>
      </c>
      <c r="M12" s="558">
        <v>8858.7726629943681</v>
      </c>
      <c r="N12" s="558">
        <v>9724.6671917113254</v>
      </c>
      <c r="O12" s="558">
        <v>10109.474554933262</v>
      </c>
    </row>
    <row r="13" spans="1:15" x14ac:dyDescent="0.25">
      <c r="A13" s="33" t="s">
        <v>483</v>
      </c>
      <c r="B13" s="563">
        <v>11.741399999999999</v>
      </c>
      <c r="C13" s="558">
        <v>12.147330519</v>
      </c>
      <c r="D13" s="558">
        <v>12.4301809059234</v>
      </c>
      <c r="E13" s="558">
        <v>12.4301809059234</v>
      </c>
      <c r="F13" s="558">
        <v>12.4301809059234</v>
      </c>
      <c r="G13" s="558">
        <v>12.4301809059234</v>
      </c>
      <c r="I13" s="36" t="s">
        <v>134</v>
      </c>
      <c r="J13" s="563">
        <v>4181.8903222516428</v>
      </c>
      <c r="K13" s="558">
        <v>4679.7275846959756</v>
      </c>
      <c r="L13" s="558">
        <v>4685.833666938599</v>
      </c>
      <c r="M13" s="558">
        <v>4790.8596771800285</v>
      </c>
      <c r="N13" s="558">
        <v>5289.2426327618596</v>
      </c>
      <c r="O13" s="558">
        <v>5538.4386403461976</v>
      </c>
    </row>
    <row r="14" spans="1:15" x14ac:dyDescent="0.25">
      <c r="A14" s="33" t="s">
        <v>484</v>
      </c>
      <c r="B14" s="563">
        <v>119.77200000000001</v>
      </c>
      <c r="C14" s="558">
        <v>127.28389512</v>
      </c>
      <c r="D14" s="558">
        <v>134.45207470000005</v>
      </c>
      <c r="E14" s="558">
        <v>142.9662825645099</v>
      </c>
      <c r="F14" s="558">
        <v>152.19965943527808</v>
      </c>
      <c r="G14" s="558">
        <v>0</v>
      </c>
      <c r="I14" s="565" t="s">
        <v>120</v>
      </c>
      <c r="J14" s="566">
        <v>68.679000000000002</v>
      </c>
      <c r="K14" s="567">
        <v>90.670999999999992</v>
      </c>
      <c r="L14" s="567">
        <v>98.472999999999999</v>
      </c>
      <c r="M14" s="567">
        <v>67.528000000000006</v>
      </c>
      <c r="N14" s="567">
        <v>78.477999999999994</v>
      </c>
      <c r="O14" s="567">
        <v>73.766000000000005</v>
      </c>
    </row>
    <row r="15" spans="1:15" x14ac:dyDescent="0.25">
      <c r="A15" s="33" t="s">
        <v>485</v>
      </c>
      <c r="B15" s="563">
        <v>186.61600000000001</v>
      </c>
      <c r="C15" s="558">
        <v>208.17756731</v>
      </c>
      <c r="D15" s="558">
        <v>225.35900000000001</v>
      </c>
      <c r="E15" s="558">
        <v>241.75043260752454</v>
      </c>
      <c r="F15" s="558">
        <v>259.33409211935299</v>
      </c>
      <c r="G15" s="558">
        <v>278.19669487232909</v>
      </c>
      <c r="I15" s="564" t="s">
        <v>486</v>
      </c>
      <c r="J15" s="561">
        <f>J16+J25+J26</f>
        <v>9435.5974482099991</v>
      </c>
      <c r="K15" s="562">
        <f>K16+K26+K25</f>
        <v>9755.61603702914</v>
      </c>
      <c r="L15" s="562">
        <f t="shared" ref="L15:O15" si="4">L16+L26+L25</f>
        <v>10265.152142453275</v>
      </c>
      <c r="M15" s="562">
        <f t="shared" si="4"/>
        <v>10786.78915516573</v>
      </c>
      <c r="N15" s="562">
        <f t="shared" si="4"/>
        <v>11167.857167880973</v>
      </c>
      <c r="O15" s="562">
        <f t="shared" si="4"/>
        <v>11515.822456020838</v>
      </c>
    </row>
    <row r="16" spans="1:15" x14ac:dyDescent="0.25">
      <c r="A16" s="33" t="s">
        <v>487</v>
      </c>
      <c r="B16" s="563">
        <v>32.077536000000002</v>
      </c>
      <c r="C16" s="558">
        <v>37.827974874200002</v>
      </c>
      <c r="D16" s="558">
        <v>25.983999999999998</v>
      </c>
      <c r="E16" s="558">
        <v>41.359018956650694</v>
      </c>
      <c r="F16" s="558">
        <v>40.4815861004708</v>
      </c>
      <c r="G16" s="558">
        <v>40.672541207159597</v>
      </c>
      <c r="I16" s="36" t="s">
        <v>488</v>
      </c>
      <c r="J16" s="563">
        <v>9352.36044821</v>
      </c>
      <c r="K16" s="558">
        <f>SUM(K17:K24)</f>
        <v>9674.6523010091405</v>
      </c>
      <c r="L16" s="558">
        <f t="shared" ref="L16:O16" si="5">SUM(L17:L24)</f>
        <v>10179.308142453276</v>
      </c>
      <c r="M16" s="558">
        <f t="shared" si="5"/>
        <v>10697.293155165731</v>
      </c>
      <c r="N16" s="558">
        <f t="shared" si="5"/>
        <v>11072.787167880973</v>
      </c>
      <c r="O16" s="558">
        <f t="shared" si="5"/>
        <v>11414.909456020838</v>
      </c>
    </row>
    <row r="17" spans="1:15" x14ac:dyDescent="0.25">
      <c r="A17" s="33" t="s">
        <v>489</v>
      </c>
      <c r="B17" s="563">
        <v>64.472999999999999</v>
      </c>
      <c r="C17" s="558">
        <v>55.344000000000001</v>
      </c>
      <c r="D17" s="558">
        <v>60.608999999999995</v>
      </c>
      <c r="E17" s="558">
        <v>118.76910649999999</v>
      </c>
      <c r="F17" s="558">
        <v>120.43856683</v>
      </c>
      <c r="G17" s="558">
        <v>116.659244</v>
      </c>
      <c r="I17" s="568" t="s">
        <v>490</v>
      </c>
      <c r="J17" s="563">
        <v>51.750448210000002</v>
      </c>
      <c r="K17" s="569">
        <v>52</v>
      </c>
      <c r="L17" s="570">
        <v>30.573999999999998</v>
      </c>
      <c r="M17" s="570">
        <v>41.951999999999998</v>
      </c>
      <c r="N17" s="570">
        <v>45.882999999999996</v>
      </c>
      <c r="O17" s="570">
        <v>44.123999999999995</v>
      </c>
    </row>
    <row r="18" spans="1:15" x14ac:dyDescent="0.25">
      <c r="A18" s="33" t="s">
        <v>491</v>
      </c>
      <c r="B18" s="571">
        <v>21.606877999999998</v>
      </c>
      <c r="C18" s="558">
        <v>17.535</v>
      </c>
      <c r="D18" s="558">
        <v>17.535</v>
      </c>
      <c r="E18" s="558">
        <v>17.535</v>
      </c>
      <c r="F18" s="558">
        <v>17.535</v>
      </c>
      <c r="G18" s="558">
        <v>17.535</v>
      </c>
      <c r="I18" s="568" t="s">
        <v>492</v>
      </c>
      <c r="J18" s="563">
        <v>473.88600000000002</v>
      </c>
      <c r="K18" s="558">
        <v>565.37697658000002</v>
      </c>
      <c r="L18" s="558">
        <v>671.47199999999998</v>
      </c>
      <c r="M18" s="558">
        <v>690.37400000000002</v>
      </c>
      <c r="N18" s="558">
        <v>727.20399999999995</v>
      </c>
      <c r="O18" s="558">
        <v>764.54</v>
      </c>
    </row>
    <row r="19" spans="1:15" x14ac:dyDescent="0.25">
      <c r="A19" s="33" t="s">
        <v>493</v>
      </c>
      <c r="B19" s="572">
        <v>0</v>
      </c>
      <c r="C19" s="558">
        <v>16.259273279999999</v>
      </c>
      <c r="D19" s="558">
        <v>34.332999999999998</v>
      </c>
      <c r="E19" s="558">
        <v>73.599999999999994</v>
      </c>
      <c r="F19" s="558">
        <v>75.8</v>
      </c>
      <c r="G19" s="558">
        <v>78.099999999999994</v>
      </c>
      <c r="I19" s="568" t="s">
        <v>494</v>
      </c>
      <c r="J19" s="563">
        <v>6543.9780000000001</v>
      </c>
      <c r="K19" s="558">
        <v>6766.1823673299996</v>
      </c>
      <c r="L19" s="558">
        <v>7072.3993</v>
      </c>
      <c r="M19" s="558">
        <v>7327.0410000000002</v>
      </c>
      <c r="N19" s="558">
        <v>7594.1769999999997</v>
      </c>
      <c r="O19" s="558">
        <v>7856.0879999999997</v>
      </c>
    </row>
    <row r="20" spans="1:15" x14ac:dyDescent="0.25">
      <c r="A20" s="33" t="s">
        <v>495</v>
      </c>
      <c r="B20" s="563">
        <f>C20</f>
        <v>23.316983</v>
      </c>
      <c r="C20" s="558">
        <v>23.316983</v>
      </c>
      <c r="D20" s="558">
        <v>23</v>
      </c>
      <c r="E20" s="558">
        <v>27.837</v>
      </c>
      <c r="F20" s="558">
        <v>28.914000000000001</v>
      </c>
      <c r="G20" s="558">
        <v>29.864999999999998</v>
      </c>
      <c r="I20" s="568" t="s">
        <v>496</v>
      </c>
      <c r="J20" s="563">
        <v>171.63</v>
      </c>
      <c r="K20" s="558">
        <v>167.65545218</v>
      </c>
      <c r="L20" s="558">
        <v>183.69499999999999</v>
      </c>
      <c r="M20" s="558">
        <v>165.24799999999999</v>
      </c>
      <c r="N20" s="558">
        <v>166.97</v>
      </c>
      <c r="O20" s="558">
        <v>168.61199999999999</v>
      </c>
    </row>
    <row r="21" spans="1:15" x14ac:dyDescent="0.25">
      <c r="A21" s="33" t="s">
        <v>497</v>
      </c>
      <c r="B21" s="563">
        <f>B8-SUM(B9:B20)</f>
        <v>206.75120299999799</v>
      </c>
      <c r="C21" s="558">
        <f>C8-SUM(C9:C20)</f>
        <v>202.53440000910086</v>
      </c>
      <c r="D21" s="558">
        <f t="shared" ref="D21:G21" si="6">D8-SUM(D9:D20)</f>
        <v>216.0205599999972</v>
      </c>
      <c r="E21" s="558">
        <f t="shared" si="6"/>
        <v>261.71567843999946</v>
      </c>
      <c r="F21" s="558">
        <f t="shared" si="6"/>
        <v>264.98874016999616</v>
      </c>
      <c r="G21" s="558">
        <f t="shared" si="6"/>
        <v>262.45011970999622</v>
      </c>
      <c r="I21" s="568" t="s">
        <v>498</v>
      </c>
      <c r="J21" s="563">
        <v>1320.384</v>
      </c>
      <c r="K21" s="558">
        <v>1302.6273388699999</v>
      </c>
      <c r="L21" s="558">
        <v>1343.3689999999999</v>
      </c>
      <c r="M21" s="558">
        <v>1518.33</v>
      </c>
      <c r="N21" s="558">
        <v>1541.7639999999999</v>
      </c>
      <c r="O21" s="558">
        <v>1563.212</v>
      </c>
    </row>
    <row r="22" spans="1:15" x14ac:dyDescent="0.25">
      <c r="A22" s="431" t="s">
        <v>400</v>
      </c>
      <c r="B22" s="573">
        <f>5956.85-13.048-2.603+1.559</f>
        <v>5942.7580000000007</v>
      </c>
      <c r="C22" s="574">
        <v>6238.5</v>
      </c>
      <c r="D22" s="574">
        <v>6644.2701907871815</v>
      </c>
      <c r="E22" s="574">
        <v>7074.050933836299</v>
      </c>
      <c r="F22" s="574">
        <v>7575.1260472730128</v>
      </c>
      <c r="G22" s="574">
        <v>8026.4403293285995</v>
      </c>
      <c r="I22" s="568" t="s">
        <v>499</v>
      </c>
      <c r="J22" s="563">
        <v>346.726</v>
      </c>
      <c r="K22" s="558">
        <v>365.26259283000002</v>
      </c>
      <c r="L22" s="558">
        <v>406.61899999999997</v>
      </c>
      <c r="M22" s="558">
        <v>409.58927899999998</v>
      </c>
      <c r="N22" s="558">
        <v>413.37313899999998</v>
      </c>
      <c r="O22" s="558">
        <v>414.42313899999999</v>
      </c>
    </row>
    <row r="23" spans="1:15" x14ac:dyDescent="0.25">
      <c r="A23" s="33" t="s">
        <v>500</v>
      </c>
      <c r="B23" s="563">
        <f>2681.601-2.603</f>
        <v>2678.998</v>
      </c>
      <c r="C23" s="558">
        <v>2855.9097583900002</v>
      </c>
      <c r="D23" s="558">
        <v>3209.9608537066929</v>
      </c>
      <c r="E23" s="558">
        <v>3470.7646337075316</v>
      </c>
      <c r="F23" s="558">
        <v>3781.7045445147414</v>
      </c>
      <c r="G23" s="558">
        <v>4063.0894175772219</v>
      </c>
      <c r="I23" s="568" t="s">
        <v>501</v>
      </c>
      <c r="J23" s="563">
        <v>263.37099999999998</v>
      </c>
      <c r="K23" s="558">
        <v>266.31157321913997</v>
      </c>
      <c r="L23" s="558">
        <v>269.10899999999998</v>
      </c>
      <c r="M23" s="558">
        <v>337.83100000000002</v>
      </c>
      <c r="N23" s="558">
        <v>371.38</v>
      </c>
      <c r="O23" s="558">
        <v>386.45</v>
      </c>
    </row>
    <row r="24" spans="1:15" x14ac:dyDescent="0.25">
      <c r="A24" s="33" t="s">
        <v>502</v>
      </c>
      <c r="B24" s="563">
        <f>2719.118-13.048</f>
        <v>2706.07</v>
      </c>
      <c r="C24" s="558">
        <v>2775.5519999999997</v>
      </c>
      <c r="D24" s="558">
        <v>2773.8784961796</v>
      </c>
      <c r="E24" s="558">
        <v>2955.9093010908496</v>
      </c>
      <c r="F24" s="558">
        <v>3129.6697995683512</v>
      </c>
      <c r="G24" s="558">
        <v>3331.4591593925229</v>
      </c>
      <c r="I24" s="568" t="s">
        <v>503</v>
      </c>
      <c r="J24" s="563">
        <v>180.63499999999999</v>
      </c>
      <c r="K24" s="558">
        <f>K8</f>
        <v>189.23599999999999</v>
      </c>
      <c r="L24" s="558">
        <f t="shared" ref="L24:O24" si="7">L8</f>
        <v>202.07084245327502</v>
      </c>
      <c r="M24" s="558">
        <f t="shared" si="7"/>
        <v>206.92787616573162</v>
      </c>
      <c r="N24" s="558">
        <f t="shared" si="7"/>
        <v>212.03602888097771</v>
      </c>
      <c r="O24" s="558">
        <f t="shared" si="7"/>
        <v>217.46031702083741</v>
      </c>
    </row>
    <row r="25" spans="1:15" x14ac:dyDescent="0.25">
      <c r="A25" s="33" t="s">
        <v>504</v>
      </c>
      <c r="B25" s="563">
        <v>179.21100000000001</v>
      </c>
      <c r="C25" s="558">
        <v>178.43143959</v>
      </c>
      <c r="D25" s="558">
        <v>219.77089031071677</v>
      </c>
      <c r="E25" s="558">
        <v>219.1175989516527</v>
      </c>
      <c r="F25" s="558">
        <v>224.18330222930348</v>
      </c>
      <c r="G25" s="558">
        <v>231.98782348109111</v>
      </c>
      <c r="I25" s="36" t="s">
        <v>505</v>
      </c>
      <c r="J25" s="563">
        <v>61.631</v>
      </c>
      <c r="K25" s="558">
        <v>63.428736020000002</v>
      </c>
      <c r="L25" s="558">
        <v>68.308999999999997</v>
      </c>
      <c r="M25" s="558">
        <v>71.960999999999999</v>
      </c>
      <c r="N25" s="558">
        <v>77.534999999999997</v>
      </c>
      <c r="O25" s="558">
        <v>83.378</v>
      </c>
    </row>
    <row r="26" spans="1:15" x14ac:dyDescent="0.25">
      <c r="A26" s="33" t="s">
        <v>506</v>
      </c>
      <c r="B26" s="563">
        <v>110.99799999999999</v>
      </c>
      <c r="C26" s="558">
        <v>114.80661070230001</v>
      </c>
      <c r="D26" s="558">
        <v>116.16495364356135</v>
      </c>
      <c r="E26" s="558">
        <v>118.45428560315493</v>
      </c>
      <c r="F26" s="558">
        <v>120.90992244998337</v>
      </c>
      <c r="G26" s="558">
        <v>123.41472482895038</v>
      </c>
      <c r="I26" s="565" t="s">
        <v>507</v>
      </c>
      <c r="J26" s="566">
        <v>21.606000000000002</v>
      </c>
      <c r="K26" s="567">
        <v>17.535</v>
      </c>
      <c r="L26" s="567">
        <v>17.535</v>
      </c>
      <c r="M26" s="567">
        <v>17.535</v>
      </c>
      <c r="N26" s="567">
        <v>17.535</v>
      </c>
      <c r="O26" s="567">
        <v>17.535</v>
      </c>
    </row>
    <row r="27" spans="1:15" x14ac:dyDescent="0.25">
      <c r="A27" s="33" t="s">
        <v>508</v>
      </c>
      <c r="B27" s="563">
        <v>66.534599999999998</v>
      </c>
      <c r="C27" s="558">
        <v>68.834872941</v>
      </c>
      <c r="D27" s="558">
        <v>70.437691800232599</v>
      </c>
      <c r="E27" s="558">
        <v>70.437691800232599</v>
      </c>
      <c r="F27" s="558">
        <v>70.437691800232599</v>
      </c>
      <c r="G27" s="558">
        <v>70.437691800232599</v>
      </c>
      <c r="I27" s="564" t="s">
        <v>509</v>
      </c>
      <c r="J27" s="562">
        <f>SUM(J28:J31)</f>
        <v>5530.1289447099998</v>
      </c>
      <c r="K27" s="562">
        <f>SUM(K28:K31)</f>
        <v>5386.0031548808583</v>
      </c>
      <c r="L27" s="562">
        <f t="shared" ref="L27:O27" si="8">SUM(L28:L31)</f>
        <v>5837.4485601899978</v>
      </c>
      <c r="M27" s="562">
        <f t="shared" si="8"/>
        <v>6132.9656303156053</v>
      </c>
      <c r="N27" s="562">
        <f t="shared" si="8"/>
        <v>6340.3350772940676</v>
      </c>
      <c r="O27" s="562">
        <f t="shared" si="8"/>
        <v>6472.4561385845382</v>
      </c>
    </row>
    <row r="28" spans="1:15" x14ac:dyDescent="0.25">
      <c r="A28" s="33" t="s">
        <v>510</v>
      </c>
      <c r="B28" s="563">
        <f>92.706+1.559</f>
        <v>94.265000000000001</v>
      </c>
      <c r="C28" s="558">
        <v>165.29400000000001</v>
      </c>
      <c r="D28" s="558">
        <v>172.16186514637664</v>
      </c>
      <c r="E28" s="558">
        <v>134.5488226828783</v>
      </c>
      <c r="F28" s="558">
        <v>142.90104671040072</v>
      </c>
      <c r="G28" s="558">
        <v>100.77780224858073</v>
      </c>
      <c r="I28" s="36" t="s">
        <v>511</v>
      </c>
      <c r="J28" s="557">
        <v>328.86189177</v>
      </c>
      <c r="K28" s="558">
        <v>314.67274647000005</v>
      </c>
      <c r="L28" s="558">
        <v>309.09799999999996</v>
      </c>
      <c r="M28" s="558">
        <v>349.31948900000003</v>
      </c>
      <c r="N28" s="558">
        <v>343.96807799999999</v>
      </c>
      <c r="O28" s="558">
        <v>340.50908499999991</v>
      </c>
    </row>
    <row r="29" spans="1:15" x14ac:dyDescent="0.25">
      <c r="A29" s="33" t="s">
        <v>497</v>
      </c>
      <c r="B29" s="558">
        <f>B22-SUM(B23:B28)</f>
        <v>106.68140000000039</v>
      </c>
      <c r="C29" s="558">
        <f>C22-SUM(C23:C28)</f>
        <v>79.671318376700583</v>
      </c>
      <c r="D29" s="558">
        <f t="shared" ref="D29:G29" si="9">D22-SUM(D23:D28)</f>
        <v>81.895440000000235</v>
      </c>
      <c r="E29" s="558">
        <f t="shared" si="9"/>
        <v>104.81859999999961</v>
      </c>
      <c r="F29" s="558">
        <f t="shared" si="9"/>
        <v>105.31973999999991</v>
      </c>
      <c r="G29" s="558">
        <f t="shared" si="9"/>
        <v>105.27371000000039</v>
      </c>
      <c r="I29" s="36" t="s">
        <v>512</v>
      </c>
      <c r="J29" s="557">
        <v>286.87705294000034</v>
      </c>
      <c r="K29" s="558">
        <v>227.00651629085769</v>
      </c>
      <c r="L29" s="558">
        <v>211.29169999999795</v>
      </c>
      <c r="M29" s="558">
        <v>208.04524283427054</v>
      </c>
      <c r="N29" s="558">
        <v>188.98042511903077</v>
      </c>
      <c r="O29" s="558">
        <v>176.05945297916332</v>
      </c>
    </row>
    <row r="30" spans="1:15" x14ac:dyDescent="0.25">
      <c r="A30" s="431" t="s">
        <v>404</v>
      </c>
      <c r="B30" s="575">
        <v>0</v>
      </c>
      <c r="C30" s="574">
        <v>0</v>
      </c>
      <c r="D30" s="574">
        <v>7.2099999999999996E-4</v>
      </c>
      <c r="E30" s="574">
        <v>0</v>
      </c>
      <c r="F30" s="574">
        <v>0</v>
      </c>
      <c r="G30" s="574">
        <v>0</v>
      </c>
      <c r="I30" s="36" t="s">
        <v>513</v>
      </c>
      <c r="J30" s="571">
        <f>692-16.041</f>
        <v>675.95899999999995</v>
      </c>
      <c r="K30" s="558">
        <v>597.78189211999972</v>
      </c>
      <c r="L30" s="558">
        <v>860.58986018999997</v>
      </c>
      <c r="M30" s="558">
        <v>884.99873448133462</v>
      </c>
      <c r="N30" s="558">
        <v>873.61350750794202</v>
      </c>
      <c r="O30" s="558">
        <v>830.17957569433997</v>
      </c>
    </row>
    <row r="31" spans="1:15" x14ac:dyDescent="0.25">
      <c r="A31" s="431" t="s">
        <v>407</v>
      </c>
      <c r="B31" s="573">
        <f>11617.1-B5-B6</f>
        <v>9830.1305929999999</v>
      </c>
      <c r="C31" s="574">
        <v>10811.295999779999</v>
      </c>
      <c r="D31" s="574">
        <v>11834.810418928226</v>
      </c>
      <c r="E31" s="574">
        <v>12417.450639005105</v>
      </c>
      <c r="F31" s="574">
        <v>13240.799653415075</v>
      </c>
      <c r="G31" s="574">
        <v>14026.102122027163</v>
      </c>
      <c r="I31" s="565" t="s">
        <v>514</v>
      </c>
      <c r="J31" s="576">
        <v>4238.4309999999996</v>
      </c>
      <c r="K31" s="567">
        <v>4246.5420000000004</v>
      </c>
      <c r="L31" s="567">
        <v>4456.4690000000001</v>
      </c>
      <c r="M31" s="567">
        <v>4690.6021639999999</v>
      </c>
      <c r="N31" s="567">
        <v>4933.773066667095</v>
      </c>
      <c r="O31" s="567">
        <v>5125.708024911035</v>
      </c>
    </row>
    <row r="32" spans="1:15" x14ac:dyDescent="0.25">
      <c r="A32" s="33" t="s">
        <v>515</v>
      </c>
      <c r="B32" s="563">
        <v>6584.2392235000007</v>
      </c>
      <c r="C32" s="558">
        <v>7095.013353724341</v>
      </c>
      <c r="D32" s="558">
        <v>7857.2935911589584</v>
      </c>
      <c r="E32" s="558">
        <v>8116.3372690051056</v>
      </c>
      <c r="F32" s="558">
        <v>8646.9750303545297</v>
      </c>
      <c r="G32" s="558">
        <v>9164.04056284123</v>
      </c>
      <c r="I32" s="564" t="s">
        <v>516</v>
      </c>
      <c r="J32" s="561">
        <f>J33+J34</f>
        <v>2383.8374036199998</v>
      </c>
      <c r="K32" s="562">
        <f>SUM(K33:K34)</f>
        <v>2324.4353499786002</v>
      </c>
      <c r="L32" s="562">
        <f t="shared" ref="L32:O32" si="10">SUM(L33:L34)</f>
        <v>2933.9495671074997</v>
      </c>
      <c r="M32" s="562">
        <f t="shared" si="10"/>
        <v>2725.9598070672673</v>
      </c>
      <c r="N32" s="562">
        <f t="shared" si="10"/>
        <v>2545.068278175931</v>
      </c>
      <c r="O32" s="562">
        <f t="shared" si="10"/>
        <v>2655.5877937491696</v>
      </c>
    </row>
    <row r="33" spans="1:15" x14ac:dyDescent="0.25">
      <c r="A33" s="33" t="s">
        <v>517</v>
      </c>
      <c r="B33" s="563">
        <v>2981.2429999999999</v>
      </c>
      <c r="C33" s="558">
        <v>3329.0783611100001</v>
      </c>
      <c r="D33" s="558">
        <v>3665.5818277692688</v>
      </c>
      <c r="E33" s="558">
        <v>3971.7529999999997</v>
      </c>
      <c r="F33" s="558">
        <v>4262.2369490605433</v>
      </c>
      <c r="G33" s="558">
        <v>4530.6740881859305</v>
      </c>
      <c r="I33" s="36" t="s">
        <v>518</v>
      </c>
      <c r="J33" s="563">
        <v>2003.62212282</v>
      </c>
      <c r="K33" s="558">
        <v>2180.0632932486001</v>
      </c>
      <c r="L33" s="558">
        <v>2373.7555671074997</v>
      </c>
      <c r="M33" s="558">
        <v>2235.4808350672674</v>
      </c>
      <c r="N33" s="558">
        <v>2215.3028471759312</v>
      </c>
      <c r="O33" s="558">
        <v>2249.1374997491698</v>
      </c>
    </row>
    <row r="34" spans="1:15" x14ac:dyDescent="0.25">
      <c r="A34" s="33" t="s">
        <v>519</v>
      </c>
      <c r="B34" s="563">
        <f>B31-B32-B33</f>
        <v>264.64836949999926</v>
      </c>
      <c r="C34" s="558">
        <v>387.11220944000002</v>
      </c>
      <c r="D34" s="558">
        <v>311.93499999999995</v>
      </c>
      <c r="E34" s="558">
        <v>329.36061100000001</v>
      </c>
      <c r="F34" s="558">
        <v>331.58833499999997</v>
      </c>
      <c r="G34" s="558">
        <v>331.38720899999998</v>
      </c>
      <c r="I34" s="565" t="s">
        <v>520</v>
      </c>
      <c r="J34" s="566">
        <f>401.8212808-J26</f>
        <v>380.21528080000002</v>
      </c>
      <c r="K34" s="567">
        <v>144.37205673000003</v>
      </c>
      <c r="L34" s="567">
        <v>560.19400000000007</v>
      </c>
      <c r="M34" s="567">
        <v>490.47897199999994</v>
      </c>
      <c r="N34" s="567">
        <v>329.76543099999998</v>
      </c>
      <c r="O34" s="567">
        <v>406.45029399999999</v>
      </c>
    </row>
    <row r="35" spans="1:15" x14ac:dyDescent="0.25">
      <c r="A35" s="431" t="s">
        <v>398</v>
      </c>
      <c r="B35" s="577">
        <v>605.79999999999995</v>
      </c>
      <c r="C35" s="574">
        <v>641.29999999999995</v>
      </c>
      <c r="D35" s="574">
        <v>619.4962298800001</v>
      </c>
      <c r="E35" s="574">
        <v>609.6555252220179</v>
      </c>
      <c r="F35" s="574">
        <v>609.97963252431487</v>
      </c>
      <c r="G35" s="574">
        <v>624.14203551229332</v>
      </c>
      <c r="I35" s="578" t="s">
        <v>113</v>
      </c>
      <c r="J35" s="579">
        <f t="shared" ref="J35:O35" si="11">B3-J3</f>
        <v>-1804.6999999999971</v>
      </c>
      <c r="K35" s="580">
        <f t="shared" si="11"/>
        <v>-659.26000000000204</v>
      </c>
      <c r="L35" s="580">
        <f t="shared" si="11"/>
        <v>-830.10101539197785</v>
      </c>
      <c r="M35" s="580">
        <f t="shared" si="11"/>
        <v>-673.47613903263846</v>
      </c>
      <c r="N35" s="580">
        <f t="shared" si="11"/>
        <v>-581.17770492569252</v>
      </c>
      <c r="O35" s="580">
        <f t="shared" si="11"/>
        <v>-194.04474466858665</v>
      </c>
    </row>
    <row r="36" spans="1:15" x14ac:dyDescent="0.25">
      <c r="A36" s="33" t="s">
        <v>521</v>
      </c>
      <c r="B36" s="572">
        <v>335</v>
      </c>
      <c r="C36" s="558">
        <v>382.67296700999998</v>
      </c>
      <c r="D36" s="558">
        <v>375.11922987999992</v>
      </c>
      <c r="E36" s="558">
        <v>387.68177301000003</v>
      </c>
      <c r="F36" s="558">
        <v>386.88205001000006</v>
      </c>
      <c r="G36" s="558">
        <v>387.48543600999994</v>
      </c>
      <c r="I36" s="37"/>
      <c r="J36" s="37"/>
      <c r="K36" s="37"/>
      <c r="L36" s="1530" t="s">
        <v>522</v>
      </c>
      <c r="M36" s="1530"/>
      <c r="N36" s="1530"/>
      <c r="O36" s="1530"/>
    </row>
    <row r="37" spans="1:15" x14ac:dyDescent="0.25">
      <c r="A37" s="33" t="s">
        <v>116</v>
      </c>
      <c r="B37" s="571">
        <v>226.3</v>
      </c>
      <c r="C37" s="558">
        <v>190.30000000000004</v>
      </c>
      <c r="D37" s="558">
        <v>190.69200000000004</v>
      </c>
      <c r="E37" s="558">
        <v>172.69818521201799</v>
      </c>
      <c r="F37" s="558">
        <v>173.83462251431482</v>
      </c>
      <c r="G37" s="558">
        <v>185.67369850229332</v>
      </c>
    </row>
    <row r="38" spans="1:15" x14ac:dyDescent="0.25">
      <c r="A38" s="33" t="s">
        <v>497</v>
      </c>
      <c r="B38" s="558">
        <f>B35-SUM(B36:B37)</f>
        <v>44.5</v>
      </c>
      <c r="C38" s="558">
        <f>C35-SUM(C36:C37)</f>
        <v>68.327032989999907</v>
      </c>
      <c r="D38" s="558">
        <f t="shared" ref="D38:G38" si="12">D35-SUM(D36:D37)</f>
        <v>53.685000000000173</v>
      </c>
      <c r="E38" s="558">
        <f t="shared" si="12"/>
        <v>49.27556699999991</v>
      </c>
      <c r="F38" s="558">
        <f t="shared" si="12"/>
        <v>49.262960000000021</v>
      </c>
      <c r="G38" s="558">
        <f t="shared" si="12"/>
        <v>50.982901000000084</v>
      </c>
      <c r="J38" s="117"/>
    </row>
    <row r="39" spans="1:15" x14ac:dyDescent="0.25">
      <c r="A39" s="431" t="s">
        <v>394</v>
      </c>
      <c r="B39" s="573">
        <v>3551.2</v>
      </c>
      <c r="C39" s="574">
        <v>3647.3</v>
      </c>
      <c r="D39" s="574">
        <v>3724.8433816000002</v>
      </c>
      <c r="E39" s="574">
        <v>3865.1571179410294</v>
      </c>
      <c r="F39" s="574">
        <v>4023.7491083635059</v>
      </c>
      <c r="G39" s="574">
        <v>4178.6594574011315</v>
      </c>
      <c r="I39" s="581"/>
      <c r="J39" s="582"/>
      <c r="K39" s="582"/>
      <c r="L39" s="582"/>
      <c r="M39" s="582"/>
      <c r="N39" s="582"/>
      <c r="O39" s="582"/>
    </row>
    <row r="40" spans="1:15" x14ac:dyDescent="0.25">
      <c r="A40" s="33" t="s">
        <v>523</v>
      </c>
      <c r="B40" s="572">
        <v>594</v>
      </c>
      <c r="C40" s="558">
        <v>627.16637383</v>
      </c>
      <c r="D40" s="558">
        <v>613.01700000000005</v>
      </c>
      <c r="E40" s="558">
        <v>594.28447500000004</v>
      </c>
      <c r="F40" s="558">
        <v>601.24676999999997</v>
      </c>
      <c r="G40" s="558">
        <v>608.24676699999998</v>
      </c>
    </row>
    <row r="41" spans="1:15" x14ac:dyDescent="0.25">
      <c r="A41" s="33" t="s">
        <v>524</v>
      </c>
      <c r="B41" s="563">
        <v>1478</v>
      </c>
      <c r="C41" s="558">
        <v>1459.7309431900001</v>
      </c>
      <c r="D41" s="558">
        <v>1575.366</v>
      </c>
      <c r="E41" s="558">
        <v>1658.1322945794134</v>
      </c>
      <c r="F41" s="558">
        <v>1744.0934383125016</v>
      </c>
      <c r="G41" s="558">
        <v>1811.9426273069548</v>
      </c>
    </row>
    <row r="42" spans="1:15" x14ac:dyDescent="0.25">
      <c r="A42" s="33" t="s">
        <v>497</v>
      </c>
      <c r="B42" s="563">
        <f>B39-SUM(B40:B41)</f>
        <v>1479.1999999999998</v>
      </c>
      <c r="C42" s="558">
        <f>C39-SUM(C40:C41)</f>
        <v>1560.40268298</v>
      </c>
      <c r="D42" s="558">
        <f t="shared" ref="D42:G42" si="13">D39-SUM(D40:D41)</f>
        <v>1536.4603816000003</v>
      </c>
      <c r="E42" s="558">
        <f t="shared" si="13"/>
        <v>1612.7403483616158</v>
      </c>
      <c r="F42" s="558">
        <f t="shared" si="13"/>
        <v>1678.4089000510044</v>
      </c>
      <c r="G42" s="558">
        <f t="shared" si="13"/>
        <v>1758.4700630941766</v>
      </c>
    </row>
    <row r="43" spans="1:15" x14ac:dyDescent="0.25">
      <c r="A43" s="433" t="s">
        <v>402</v>
      </c>
      <c r="B43" s="583">
        <f>1516.7-B4</f>
        <v>720.35500000000002</v>
      </c>
      <c r="C43" s="584">
        <v>509.48702028000014</v>
      </c>
      <c r="D43" s="584">
        <v>637.59021232999999</v>
      </c>
      <c r="E43" s="584">
        <v>820.08786483000063</v>
      </c>
      <c r="F43" s="584">
        <v>810.58501483000009</v>
      </c>
      <c r="G43" s="584">
        <v>810.54480233000004</v>
      </c>
    </row>
    <row r="44" spans="1:15" x14ac:dyDescent="0.25">
      <c r="A44" s="37"/>
      <c r="B44" s="37"/>
      <c r="C44" s="37"/>
      <c r="D44" s="1530" t="s">
        <v>100</v>
      </c>
      <c r="E44" s="1530"/>
      <c r="F44" s="1530"/>
      <c r="G44" s="1530"/>
    </row>
    <row r="46" spans="1:15" x14ac:dyDescent="0.25">
      <c r="A46" s="581"/>
      <c r="B46" s="582"/>
      <c r="C46" s="582"/>
      <c r="D46" s="582"/>
      <c r="E46" s="582"/>
      <c r="F46" s="582"/>
      <c r="G46" s="582"/>
    </row>
    <row r="50" spans="2:2" x14ac:dyDescent="0.25">
      <c r="B50" s="34"/>
    </row>
  </sheetData>
  <mergeCells count="2">
    <mergeCell ref="L36:O36"/>
    <mergeCell ref="D44:G44"/>
  </mergeCells>
  <pageMargins left="0.7" right="0.7" top="0.75" bottom="0.75" header="0.3" footer="0.3"/>
  <pageSetup paperSize="9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9295-0658-4F16-9912-CC5531E81196}">
  <sheetPr>
    <pageSetUpPr fitToPage="1"/>
  </sheetPr>
  <dimension ref="A1:T32"/>
  <sheetViews>
    <sheetView showGridLines="0" workbookViewId="0">
      <selection activeCell="H2" sqref="H2"/>
    </sheetView>
  </sheetViews>
  <sheetFormatPr defaultRowHeight="12.75" x14ac:dyDescent="0.2"/>
  <cols>
    <col min="1" max="1" width="46" style="272" customWidth="1"/>
    <col min="2" max="7" width="9.140625" style="272"/>
    <col min="8" max="8" width="9.140625" style="272" customWidth="1"/>
    <col min="9" max="15" width="9.140625" style="272"/>
    <col min="16" max="16" width="22.5703125" style="272" customWidth="1"/>
    <col min="17" max="16384" width="9.140625" style="272"/>
  </cols>
  <sheetData>
    <row r="1" spans="1:20" ht="12.75" customHeight="1" x14ac:dyDescent="0.2">
      <c r="A1" s="1606"/>
      <c r="B1" s="1606"/>
      <c r="C1" s="1606"/>
      <c r="D1" s="1606"/>
      <c r="E1" s="1172"/>
      <c r="P1" s="998"/>
      <c r="Q1" s="1173"/>
      <c r="R1" s="1173"/>
      <c r="S1" s="1173"/>
    </row>
    <row r="2" spans="1:20" x14ac:dyDescent="0.2">
      <c r="A2" s="957"/>
      <c r="B2" s="958">
        <v>2018</v>
      </c>
      <c r="C2" s="958">
        <v>2019</v>
      </c>
      <c r="D2" s="958">
        <v>2020</v>
      </c>
      <c r="E2" s="958">
        <v>2021</v>
      </c>
      <c r="H2" s="1174" t="s">
        <v>1003</v>
      </c>
      <c r="P2" s="1174"/>
      <c r="Q2" s="1175"/>
      <c r="R2" s="1175"/>
      <c r="S2" s="1175"/>
      <c r="T2" s="967"/>
    </row>
    <row r="3" spans="1:20" x14ac:dyDescent="0.2">
      <c r="A3" s="961" t="s">
        <v>1004</v>
      </c>
      <c r="B3" s="962">
        <v>-0.6</v>
      </c>
      <c r="C3" s="962">
        <v>-0.1</v>
      </c>
      <c r="D3" s="962">
        <v>0</v>
      </c>
      <c r="E3" s="962">
        <v>0.2</v>
      </c>
      <c r="P3" s="1176"/>
      <c r="Q3" s="962"/>
      <c r="R3" s="962"/>
      <c r="S3" s="962"/>
      <c r="T3" s="967"/>
    </row>
    <row r="4" spans="1:20" x14ac:dyDescent="0.2">
      <c r="A4" s="961" t="s">
        <v>1005</v>
      </c>
      <c r="B4" s="962">
        <v>-0.6</v>
      </c>
      <c r="C4" s="962">
        <v>0.1471857559460048</v>
      </c>
      <c r="D4" s="962">
        <v>0.44348611808190697</v>
      </c>
      <c r="E4" s="962">
        <v>0.75281108869477009</v>
      </c>
      <c r="P4" s="1176"/>
      <c r="Q4" s="962"/>
      <c r="R4" s="962"/>
      <c r="S4" s="962"/>
      <c r="T4" s="967"/>
    </row>
    <row r="5" spans="1:20" x14ac:dyDescent="0.2">
      <c r="A5" s="961" t="s">
        <v>1006</v>
      </c>
      <c r="B5" s="962">
        <v>-0.6</v>
      </c>
      <c r="C5" s="962">
        <v>0.80603822026664584</v>
      </c>
      <c r="D5" s="962">
        <v>1.0599210204454232</v>
      </c>
      <c r="E5" s="962">
        <v>1.3431946964379762</v>
      </c>
      <c r="P5" s="1177"/>
      <c r="Q5" s="1175"/>
      <c r="R5" s="1175"/>
      <c r="S5" s="1175"/>
      <c r="T5" s="967"/>
    </row>
    <row r="6" spans="1:20" x14ac:dyDescent="0.2">
      <c r="A6" s="961" t="s">
        <v>1007</v>
      </c>
      <c r="B6" s="962">
        <v>-0.6</v>
      </c>
      <c r="C6" s="962">
        <v>-0.75901039840918927</v>
      </c>
      <c r="D6" s="962">
        <v>-0.6164349023635145</v>
      </c>
      <c r="E6" s="962">
        <v>-0.39006676571422072</v>
      </c>
      <c r="H6" s="967"/>
      <c r="I6" s="967"/>
      <c r="J6" s="967"/>
      <c r="P6" s="1177"/>
      <c r="Q6" s="1175"/>
      <c r="R6" s="1175"/>
      <c r="S6" s="1175"/>
    </row>
    <row r="7" spans="1:20" x14ac:dyDescent="0.2">
      <c r="I7" s="967"/>
      <c r="J7" s="967"/>
    </row>
    <row r="8" spans="1:20" x14ac:dyDescent="0.2">
      <c r="B8" s="998"/>
      <c r="C8" s="998"/>
      <c r="D8" s="998"/>
    </row>
    <row r="9" spans="1:20" x14ac:dyDescent="0.2">
      <c r="A9" s="961"/>
      <c r="B9" s="962"/>
      <c r="C9" s="962"/>
      <c r="D9" s="962"/>
      <c r="E9" s="962"/>
    </row>
    <row r="10" spans="1:20" x14ac:dyDescent="0.2">
      <c r="A10" s="961"/>
      <c r="B10" s="962"/>
      <c r="C10" s="962"/>
      <c r="D10" s="962"/>
      <c r="E10" s="962"/>
    </row>
    <row r="11" spans="1:20" x14ac:dyDescent="0.2">
      <c r="A11" s="969"/>
      <c r="B11" s="1175"/>
      <c r="C11" s="1175"/>
      <c r="D11" s="1175"/>
      <c r="E11" s="1175"/>
    </row>
    <row r="12" spans="1:20" x14ac:dyDescent="0.2">
      <c r="A12" s="978"/>
      <c r="B12" s="1092"/>
      <c r="C12" s="1092"/>
      <c r="D12" s="1092"/>
      <c r="E12" s="1092"/>
    </row>
    <row r="14" spans="1:20" x14ac:dyDescent="0.2">
      <c r="E14" s="1011"/>
    </row>
    <row r="19" spans="1:20" x14ac:dyDescent="0.2">
      <c r="F19" s="998"/>
    </row>
    <row r="20" spans="1:20" x14ac:dyDescent="0.2">
      <c r="F20" s="998"/>
    </row>
    <row r="21" spans="1:20" x14ac:dyDescent="0.2">
      <c r="F21" s="998"/>
    </row>
    <row r="22" spans="1:20" ht="17.25" customHeight="1" x14ac:dyDescent="0.2">
      <c r="F22" s="998"/>
      <c r="I22" s="1178"/>
    </row>
    <row r="23" spans="1:20" x14ac:dyDescent="0.2">
      <c r="F23" s="998"/>
    </row>
    <row r="24" spans="1:20" x14ac:dyDescent="0.2">
      <c r="F24" s="956"/>
      <c r="G24" s="1179"/>
      <c r="H24" s="1179"/>
      <c r="I24" s="1179"/>
      <c r="J24" s="1179"/>
      <c r="K24" s="1179"/>
      <c r="L24" s="1179"/>
      <c r="M24" s="1179"/>
      <c r="N24" s="1179"/>
      <c r="O24" s="1179"/>
      <c r="P24" s="1179"/>
      <c r="Q24" s="1179"/>
      <c r="R24" s="1179"/>
      <c r="S24" s="1179"/>
      <c r="T24" s="1179"/>
    </row>
    <row r="25" spans="1:20" x14ac:dyDescent="0.2">
      <c r="F25" s="956"/>
      <c r="G25" s="1179"/>
      <c r="H25" s="1179"/>
      <c r="I25" s="1179"/>
      <c r="J25" s="1179"/>
      <c r="K25" s="1179"/>
      <c r="L25" s="1179"/>
      <c r="M25" s="1179"/>
      <c r="N25" s="1179"/>
      <c r="O25" s="1179"/>
      <c r="P25" s="1179"/>
      <c r="Q25" s="1179"/>
      <c r="R25" s="1179"/>
      <c r="S25" s="1179"/>
      <c r="T25" s="1179"/>
    </row>
    <row r="26" spans="1:20" x14ac:dyDescent="0.2">
      <c r="F26" s="956"/>
      <c r="G26" s="1179"/>
      <c r="H26" s="1179"/>
      <c r="I26" s="1179"/>
      <c r="J26" s="1179"/>
      <c r="K26" s="1179"/>
      <c r="L26" s="1179"/>
      <c r="M26" s="1179"/>
      <c r="N26" s="1179"/>
      <c r="O26" s="1179"/>
      <c r="P26" s="1179"/>
      <c r="Q26" s="1179"/>
      <c r="R26" s="1179"/>
      <c r="S26" s="1179"/>
      <c r="T26" s="1179"/>
    </row>
    <row r="27" spans="1:20" x14ac:dyDescent="0.2">
      <c r="A27" s="961"/>
      <c r="B27" s="998"/>
      <c r="C27" s="962"/>
      <c r="D27" s="962"/>
      <c r="E27" s="962"/>
      <c r="F27" s="956"/>
      <c r="G27" s="1179"/>
      <c r="H27" s="1179"/>
      <c r="I27" s="1180"/>
      <c r="J27" s="1180"/>
      <c r="K27" s="1180"/>
      <c r="L27" s="1180"/>
      <c r="M27" s="1179"/>
      <c r="N27" s="1179"/>
      <c r="O27" s="1179"/>
      <c r="P27" s="1179"/>
      <c r="Q27" s="1179"/>
      <c r="R27" s="1179"/>
      <c r="S27" s="1179"/>
      <c r="T27" s="1179"/>
    </row>
    <row r="28" spans="1:20" x14ac:dyDescent="0.2">
      <c r="B28" s="998"/>
      <c r="C28" s="998"/>
      <c r="D28" s="998"/>
      <c r="E28" s="998"/>
      <c r="F28" s="956"/>
      <c r="G28" s="1179"/>
      <c r="H28" s="1179"/>
      <c r="I28" s="1179"/>
      <c r="J28" s="1179"/>
      <c r="K28" s="1179"/>
      <c r="L28" s="1179"/>
      <c r="M28" s="1179"/>
      <c r="N28" s="1179"/>
      <c r="O28" s="1179"/>
      <c r="P28" s="1179"/>
      <c r="Q28" s="1179"/>
      <c r="R28" s="1179"/>
      <c r="S28" s="1179"/>
      <c r="T28" s="1179"/>
    </row>
    <row r="29" spans="1:20" x14ac:dyDescent="0.2">
      <c r="A29" s="969"/>
      <c r="B29" s="1181"/>
      <c r="C29" s="1175"/>
      <c r="D29" s="1175"/>
      <c r="E29" s="1175"/>
      <c r="F29" s="956"/>
      <c r="G29" s="1179"/>
      <c r="H29" s="1179"/>
      <c r="I29" s="1179"/>
      <c r="J29" s="1179"/>
      <c r="K29" s="1179"/>
      <c r="L29" s="1179"/>
      <c r="M29" s="1179"/>
      <c r="N29" s="1179"/>
      <c r="O29" s="1179"/>
      <c r="P29" s="1179"/>
      <c r="Q29" s="1179"/>
      <c r="R29" s="1179"/>
      <c r="S29" s="1179"/>
      <c r="T29" s="1179"/>
    </row>
    <row r="30" spans="1:20" ht="16.5" x14ac:dyDescent="0.2">
      <c r="A30" s="1182"/>
      <c r="B30" s="1183"/>
      <c r="C30" s="1183"/>
      <c r="D30" s="1183"/>
      <c r="E30" s="1179"/>
      <c r="F30" s="1179"/>
      <c r="G30" s="1179"/>
      <c r="H30" s="1179"/>
      <c r="I30" s="1179"/>
      <c r="J30" s="1179"/>
      <c r="K30" s="1179"/>
      <c r="L30" s="1179"/>
      <c r="M30" s="1179"/>
      <c r="N30" s="1179"/>
      <c r="O30" s="1179"/>
      <c r="P30" s="1179"/>
      <c r="Q30" s="1179"/>
      <c r="R30" s="1179"/>
      <c r="S30" s="1179"/>
      <c r="T30" s="1179"/>
    </row>
    <row r="31" spans="1:20" x14ac:dyDescent="0.2">
      <c r="A31" s="1184"/>
      <c r="B31" s="1184"/>
      <c r="C31" s="1184"/>
      <c r="D31" s="1184"/>
      <c r="E31" s="1184"/>
      <c r="F31" s="1184"/>
      <c r="G31" s="1184"/>
      <c r="H31" s="1184"/>
      <c r="I31" s="1184"/>
      <c r="J31" s="1184"/>
      <c r="K31" s="1184"/>
    </row>
    <row r="32" spans="1:20" x14ac:dyDescent="0.2">
      <c r="A32" s="1184"/>
      <c r="B32" s="1184"/>
      <c r="C32" s="1184"/>
      <c r="D32" s="1184"/>
      <c r="E32" s="1184"/>
      <c r="F32" s="1184"/>
      <c r="G32" s="1184"/>
      <c r="H32" s="1184"/>
      <c r="I32" s="1184"/>
      <c r="J32" s="1184"/>
      <c r="K32" s="1184"/>
    </row>
  </sheetData>
  <mergeCells count="1">
    <mergeCell ref="A1:D1"/>
  </mergeCells>
  <pageMargins left="0.7" right="0.7" top="0.75" bottom="0.75" header="0.3" footer="0.3"/>
  <pageSetup paperSize="9" scale="81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E222-9CE8-416A-833A-406805A7ABC8}">
  <sheetPr>
    <pageSetUpPr fitToPage="1"/>
  </sheetPr>
  <dimension ref="A1:L32"/>
  <sheetViews>
    <sheetView showGridLines="0" workbookViewId="0">
      <selection activeCell="H2" sqref="H2"/>
    </sheetView>
  </sheetViews>
  <sheetFormatPr defaultRowHeight="12.75" x14ac:dyDescent="0.2"/>
  <cols>
    <col min="1" max="1" width="46" style="272" customWidth="1"/>
    <col min="2" max="7" width="9.140625" style="272"/>
    <col min="8" max="8" width="22.5703125" style="272" customWidth="1"/>
    <col min="9" max="16384" width="9.140625" style="272"/>
  </cols>
  <sheetData>
    <row r="1" spans="1:12" ht="12.75" customHeight="1" x14ac:dyDescent="0.2">
      <c r="A1" s="1606"/>
      <c r="B1" s="1606"/>
      <c r="C1" s="1606"/>
      <c r="D1" s="1606"/>
      <c r="E1" s="1172"/>
      <c r="H1" s="998"/>
      <c r="I1" s="1173"/>
      <c r="J1" s="1173"/>
      <c r="K1" s="1173"/>
    </row>
    <row r="2" spans="1:12" x14ac:dyDescent="0.2">
      <c r="A2" s="957"/>
      <c r="B2" s="958">
        <v>2018</v>
      </c>
      <c r="C2" s="958">
        <v>2019</v>
      </c>
      <c r="D2" s="958">
        <v>2020</v>
      </c>
      <c r="E2" s="958">
        <v>2021</v>
      </c>
      <c r="H2" s="1174" t="s">
        <v>1008</v>
      </c>
      <c r="I2" s="1175"/>
      <c r="J2" s="1175"/>
      <c r="K2" s="1175"/>
      <c r="L2" s="967"/>
    </row>
    <row r="3" spans="1:12" x14ac:dyDescent="0.2">
      <c r="A3" s="961" t="s">
        <v>1009</v>
      </c>
      <c r="B3" s="962">
        <v>0</v>
      </c>
      <c r="C3" s="962">
        <v>0.65885246432064104</v>
      </c>
      <c r="D3" s="962">
        <v>0.61643490236351628</v>
      </c>
      <c r="E3" s="962">
        <v>0.59038360774320608</v>
      </c>
      <c r="H3" s="1176"/>
      <c r="I3" s="962"/>
      <c r="J3" s="962"/>
      <c r="K3" s="962"/>
      <c r="L3" s="967"/>
    </row>
    <row r="4" spans="1:12" x14ac:dyDescent="0.2">
      <c r="A4" s="961" t="s">
        <v>1010</v>
      </c>
      <c r="B4" s="962">
        <v>0</v>
      </c>
      <c r="C4" s="962">
        <v>-0.90619615435519407</v>
      </c>
      <c r="D4" s="962">
        <v>-1.0599210204454215</v>
      </c>
      <c r="E4" s="962">
        <v>-1.1428778544089908</v>
      </c>
      <c r="H4" s="1176"/>
      <c r="I4" s="962"/>
      <c r="J4" s="962"/>
      <c r="K4" s="962"/>
      <c r="L4" s="967"/>
    </row>
    <row r="5" spans="1:12" x14ac:dyDescent="0.2">
      <c r="A5" s="969" t="s">
        <v>1011</v>
      </c>
      <c r="B5" s="1175">
        <v>0</v>
      </c>
      <c r="C5" s="1175">
        <v>-0.24734369003455303</v>
      </c>
      <c r="D5" s="1175">
        <v>-0.44348611808190519</v>
      </c>
      <c r="E5" s="1175">
        <v>-0.55249424666578473</v>
      </c>
      <c r="H5" s="1177"/>
      <c r="I5" s="1175"/>
      <c r="J5" s="1175"/>
      <c r="K5" s="1175"/>
      <c r="L5" s="967"/>
    </row>
    <row r="6" spans="1:12" x14ac:dyDescent="0.2">
      <c r="A6" s="961"/>
      <c r="B6" s="962"/>
      <c r="C6" s="962"/>
      <c r="D6" s="962"/>
      <c r="E6" s="962"/>
      <c r="H6" s="1177"/>
      <c r="I6" s="1175"/>
      <c r="J6" s="1175"/>
      <c r="K6" s="1175"/>
    </row>
    <row r="8" spans="1:12" x14ac:dyDescent="0.2">
      <c r="B8" s="998"/>
      <c r="C8" s="998"/>
      <c r="D8" s="998"/>
    </row>
    <row r="12" spans="1:12" x14ac:dyDescent="0.2">
      <c r="A12" s="978"/>
      <c r="B12" s="1092"/>
      <c r="C12" s="1092"/>
      <c r="D12" s="1092"/>
      <c r="E12" s="1092"/>
    </row>
    <row r="14" spans="1:12" x14ac:dyDescent="0.2">
      <c r="E14" s="1011"/>
    </row>
    <row r="19" spans="1:12" x14ac:dyDescent="0.2">
      <c r="F19" s="998"/>
    </row>
    <row r="20" spans="1:12" x14ac:dyDescent="0.2">
      <c r="F20" s="998"/>
    </row>
    <row r="21" spans="1:12" x14ac:dyDescent="0.2">
      <c r="F21" s="998"/>
    </row>
    <row r="22" spans="1:12" ht="17.25" customHeight="1" x14ac:dyDescent="0.2">
      <c r="F22" s="998"/>
    </row>
    <row r="23" spans="1:12" x14ac:dyDescent="0.2">
      <c r="F23" s="998"/>
    </row>
    <row r="24" spans="1:12" x14ac:dyDescent="0.2">
      <c r="F24" s="956"/>
      <c r="G24" s="1179"/>
      <c r="H24" s="1179"/>
      <c r="I24" s="1179"/>
      <c r="J24" s="1179"/>
      <c r="K24" s="1179"/>
      <c r="L24" s="1179"/>
    </row>
    <row r="25" spans="1:12" x14ac:dyDescent="0.2">
      <c r="F25" s="956"/>
      <c r="G25" s="1179"/>
      <c r="H25" s="1179"/>
      <c r="I25" s="1179"/>
      <c r="J25" s="1179"/>
      <c r="K25" s="1179"/>
      <c r="L25" s="1179"/>
    </row>
    <row r="26" spans="1:12" x14ac:dyDescent="0.2">
      <c r="F26" s="956"/>
      <c r="G26" s="1179"/>
      <c r="H26" s="1179"/>
      <c r="I26" s="1179"/>
      <c r="J26" s="1179"/>
      <c r="K26" s="1179"/>
      <c r="L26" s="1179"/>
    </row>
    <row r="27" spans="1:12" x14ac:dyDescent="0.2">
      <c r="A27" s="961"/>
      <c r="B27" s="998"/>
      <c r="C27" s="962"/>
      <c r="D27" s="962"/>
      <c r="E27" s="962"/>
      <c r="F27" s="956"/>
      <c r="G27" s="1179"/>
      <c r="H27" s="1179"/>
      <c r="I27" s="1179"/>
      <c r="J27" s="1179"/>
      <c r="K27" s="1179"/>
      <c r="L27" s="1179"/>
    </row>
    <row r="28" spans="1:12" x14ac:dyDescent="0.2">
      <c r="B28" s="998"/>
      <c r="C28" s="998"/>
      <c r="D28" s="998"/>
      <c r="E28" s="998"/>
      <c r="F28" s="956"/>
      <c r="G28" s="1179"/>
      <c r="H28" s="1179"/>
      <c r="I28" s="1179"/>
      <c r="J28" s="1179"/>
      <c r="K28" s="1179"/>
      <c r="L28" s="1179"/>
    </row>
    <row r="29" spans="1:12" x14ac:dyDescent="0.2">
      <c r="A29" s="969"/>
      <c r="B29" s="1181"/>
      <c r="C29" s="1175"/>
      <c r="D29" s="1175"/>
      <c r="E29" s="1175"/>
      <c r="F29" s="956"/>
      <c r="G29" s="1179"/>
      <c r="H29" s="1179"/>
      <c r="I29" s="1179"/>
      <c r="J29" s="1179"/>
      <c r="K29" s="1179"/>
      <c r="L29" s="1179"/>
    </row>
    <row r="30" spans="1:12" ht="16.5" x14ac:dyDescent="0.2">
      <c r="A30" s="1182"/>
      <c r="B30" s="1183"/>
      <c r="C30" s="1183"/>
      <c r="D30" s="1183"/>
      <c r="E30" s="1179"/>
      <c r="F30" s="1179"/>
      <c r="G30" s="1179"/>
      <c r="H30" s="1179"/>
      <c r="I30" s="1179"/>
      <c r="J30" s="1179"/>
      <c r="K30" s="1179"/>
      <c r="L30" s="1179"/>
    </row>
    <row r="31" spans="1:12" x14ac:dyDescent="0.2">
      <c r="A31" s="1184"/>
      <c r="B31" s="1184"/>
      <c r="C31" s="1184"/>
      <c r="D31" s="1184"/>
      <c r="E31" s="1184"/>
      <c r="F31" s="1184"/>
    </row>
    <row r="32" spans="1:12" x14ac:dyDescent="0.2">
      <c r="A32" s="1184"/>
      <c r="B32" s="1184"/>
      <c r="C32" s="1184"/>
      <c r="D32" s="1184"/>
      <c r="E32" s="1184"/>
      <c r="F32" s="1184"/>
    </row>
  </sheetData>
  <mergeCells count="1">
    <mergeCell ref="A1:D1"/>
  </mergeCells>
  <pageMargins left="0.7" right="0.7" top="0.75" bottom="0.75" header="0.3" footer="0.3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AE4E-1551-4D6C-8292-0E010F1FA964}">
  <dimension ref="A1:E11"/>
  <sheetViews>
    <sheetView showGridLines="0" workbookViewId="0">
      <selection sqref="A1:D1"/>
    </sheetView>
  </sheetViews>
  <sheetFormatPr defaultRowHeight="12.75" x14ac:dyDescent="0.2"/>
  <cols>
    <col min="1" max="1" width="46.140625" style="272" customWidth="1"/>
    <col min="2" max="16384" width="9.140625" style="272"/>
  </cols>
  <sheetData>
    <row r="1" spans="1:5" ht="17.25" customHeight="1" x14ac:dyDescent="0.2">
      <c r="A1" s="1505" t="s">
        <v>888</v>
      </c>
      <c r="B1" s="1505"/>
      <c r="C1" s="1505"/>
      <c r="D1" s="1505"/>
      <c r="E1" s="1006"/>
    </row>
    <row r="2" spans="1:5" x14ac:dyDescent="0.2">
      <c r="A2" s="957"/>
      <c r="B2" s="958">
        <v>2018</v>
      </c>
      <c r="C2" s="958">
        <v>2019</v>
      </c>
      <c r="D2" s="958">
        <v>2020</v>
      </c>
      <c r="E2" s="958">
        <v>2021</v>
      </c>
    </row>
    <row r="3" spans="1:5" ht="15" customHeight="1" x14ac:dyDescent="0.2">
      <c r="A3" s="961" t="s">
        <v>889</v>
      </c>
      <c r="B3" s="962">
        <v>-0.6</v>
      </c>
      <c r="C3" s="962">
        <v>-0.1</v>
      </c>
      <c r="D3" s="962">
        <v>0</v>
      </c>
      <c r="E3" s="962">
        <v>0.2</v>
      </c>
    </row>
    <row r="4" spans="1:5" ht="15" customHeight="1" x14ac:dyDescent="0.2">
      <c r="A4" s="961" t="s">
        <v>890</v>
      </c>
      <c r="B4" s="962">
        <v>-0.6</v>
      </c>
      <c r="C4" s="962">
        <v>0.1471857559460048</v>
      </c>
      <c r="D4" s="962">
        <v>0.44348611808190697</v>
      </c>
      <c r="E4" s="962">
        <v>0.75281108869477009</v>
      </c>
    </row>
    <row r="5" spans="1:5" ht="14.25" customHeight="1" x14ac:dyDescent="0.2">
      <c r="A5" s="970" t="s">
        <v>891</v>
      </c>
      <c r="B5" s="1007"/>
      <c r="C5" s="1007">
        <f>C3-C4</f>
        <v>-0.24718575594600481</v>
      </c>
      <c r="D5" s="1007">
        <f>D3-D4</f>
        <v>-0.44348611808190697</v>
      </c>
      <c r="E5" s="1007">
        <f>E3-E4</f>
        <v>-0.55281108869477014</v>
      </c>
    </row>
    <row r="6" spans="1:5" x14ac:dyDescent="0.2">
      <c r="A6" s="963" t="s">
        <v>892</v>
      </c>
      <c r="B6" s="979"/>
      <c r="C6" s="1008">
        <f>C5/100*C11</f>
        <v>-239.12062595495752</v>
      </c>
      <c r="D6" s="1008">
        <f>D5/100*D11</f>
        <v>-456.90394202199974</v>
      </c>
      <c r="E6" s="1008">
        <f>E5/100*E11</f>
        <v>-603.11779561903131</v>
      </c>
    </row>
    <row r="7" spans="1:5" x14ac:dyDescent="0.2">
      <c r="A7" s="1009" t="s">
        <v>893</v>
      </c>
      <c r="B7" s="1010"/>
      <c r="C7" s="1010">
        <f>C5-B5</f>
        <v>-0.24718575594600481</v>
      </c>
      <c r="D7" s="1010">
        <f>D5-C5</f>
        <v>-0.19630036213590216</v>
      </c>
      <c r="E7" s="1010">
        <f>E5-D5</f>
        <v>-0.10932497061286317</v>
      </c>
    </row>
    <row r="8" spans="1:5" x14ac:dyDescent="0.2">
      <c r="A8" s="963"/>
      <c r="B8" s="984"/>
      <c r="C8" s="984"/>
      <c r="D8" s="984"/>
      <c r="E8" s="1011" t="s">
        <v>869</v>
      </c>
    </row>
    <row r="11" spans="1:5" x14ac:dyDescent="0.2">
      <c r="A11" s="961" t="s">
        <v>26</v>
      </c>
      <c r="B11" s="1012">
        <v>90320.597411415132</v>
      </c>
      <c r="C11" s="1012">
        <v>96737.218954959098</v>
      </c>
      <c r="D11" s="1012">
        <v>103025.53414707213</v>
      </c>
      <c r="E11" s="1012">
        <v>109100.16241588771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C5BCB-01F6-458A-B419-2597261E8D96}">
  <sheetPr>
    <pageSetUpPr fitToPage="1"/>
  </sheetPr>
  <dimension ref="A1:M94"/>
  <sheetViews>
    <sheetView showGridLines="0" topLeftCell="H1" zoomScaleNormal="100" workbookViewId="0">
      <selection activeCell="M2" sqref="M2"/>
    </sheetView>
  </sheetViews>
  <sheetFormatPr defaultRowHeight="15" x14ac:dyDescent="0.25"/>
  <cols>
    <col min="1" max="1" width="28.85546875" style="1185" customWidth="1"/>
    <col min="2" max="2" width="9.85546875" style="1185" bestFit="1" customWidth="1"/>
    <col min="3" max="4" width="10.28515625" style="1185" bestFit="1" customWidth="1"/>
    <col min="5" max="16384" width="9.140625" style="1185"/>
  </cols>
  <sheetData>
    <row r="1" spans="1:13" x14ac:dyDescent="0.25">
      <c r="B1" s="1607">
        <v>2019</v>
      </c>
      <c r="C1" s="1607"/>
      <c r="D1" s="1607"/>
      <c r="F1" s="1186">
        <v>2020</v>
      </c>
      <c r="G1" s="1186"/>
      <c r="H1" s="1607">
        <v>2021</v>
      </c>
      <c r="I1" s="1607"/>
      <c r="J1" s="1607"/>
    </row>
    <row r="2" spans="1:13" x14ac:dyDescent="0.25">
      <c r="B2" s="1187" t="s">
        <v>1012</v>
      </c>
      <c r="C2" s="1187" t="s">
        <v>1013</v>
      </c>
      <c r="D2" s="1187" t="s">
        <v>1014</v>
      </c>
      <c r="M2" s="1188" t="s">
        <v>1015</v>
      </c>
    </row>
    <row r="3" spans="1:13" x14ac:dyDescent="0.25">
      <c r="A3" s="1189" t="s">
        <v>1016</v>
      </c>
      <c r="B3" s="1190">
        <v>0.36594743615706038</v>
      </c>
      <c r="C3" s="1190">
        <v>-3.7724596745064565E-3</v>
      </c>
      <c r="D3" s="1190">
        <v>0.36217497648255392</v>
      </c>
      <c r="E3" s="1191">
        <v>0.39073512456972903</v>
      </c>
      <c r="F3" s="1192">
        <v>-0.10740051008154516</v>
      </c>
      <c r="G3" s="1193">
        <v>0.28333461448818387</v>
      </c>
      <c r="H3" s="1194">
        <v>0.36496348483180813</v>
      </c>
      <c r="I3" s="1194">
        <v>-0.15091614078679444</v>
      </c>
      <c r="J3" s="1195">
        <v>0.21404734404501369</v>
      </c>
    </row>
    <row r="4" spans="1:13" x14ac:dyDescent="0.25">
      <c r="A4" s="1189" t="s">
        <v>1017</v>
      </c>
      <c r="B4" s="1190">
        <v>0.14031551606129924</v>
      </c>
      <c r="C4" s="1190">
        <v>0.15636197177678787</v>
      </c>
      <c r="D4" s="1190">
        <v>0.29667748783808712</v>
      </c>
      <c r="E4" s="1191">
        <v>0.15270189176202117</v>
      </c>
      <c r="F4" s="1192">
        <v>0.18039839611331124</v>
      </c>
      <c r="G4" s="1193">
        <v>0.33310028787533241</v>
      </c>
      <c r="H4" s="1194">
        <v>0.15407019549684337</v>
      </c>
      <c r="I4" s="1194">
        <v>0.22226606820134903</v>
      </c>
      <c r="J4" s="1195">
        <v>0.3763362636981924</v>
      </c>
    </row>
    <row r="5" spans="1:13" ht="15.75" customHeight="1" x14ac:dyDescent="0.25">
      <c r="A5" s="1189" t="s">
        <v>133</v>
      </c>
      <c r="B5" s="1190">
        <v>-0.41659967110243079</v>
      </c>
      <c r="C5" s="1190">
        <v>5.5511151231257827E-16</v>
      </c>
      <c r="D5" s="1190">
        <v>-0.41659967110243024</v>
      </c>
      <c r="E5" s="1191">
        <v>-0.68455146981447879</v>
      </c>
      <c r="F5" s="1192">
        <v>-8.8817841970012523E-16</v>
      </c>
      <c r="G5" s="1193">
        <v>-0.68455146981447967</v>
      </c>
      <c r="H5" s="1194">
        <v>-0.50369752031076098</v>
      </c>
      <c r="I5" s="1194">
        <v>0</v>
      </c>
      <c r="J5" s="1195">
        <v>-0.50369752031076054</v>
      </c>
    </row>
    <row r="6" spans="1:13" x14ac:dyDescent="0.25">
      <c r="A6" s="1196" t="s">
        <v>1018</v>
      </c>
      <c r="B6" s="1190">
        <v>-0.53650498288734838</v>
      </c>
      <c r="C6" s="1190">
        <v>0.3329094049622664</v>
      </c>
      <c r="D6" s="1190">
        <v>-0.20359557792508198</v>
      </c>
      <c r="E6" s="1191">
        <v>-0.50375861119934739</v>
      </c>
      <c r="F6" s="1192">
        <v>0.12384949862803285</v>
      </c>
      <c r="G6" s="1193">
        <v>-0.37990911257131454</v>
      </c>
      <c r="H6" s="1194">
        <v>-0.47570964928684711</v>
      </c>
      <c r="I6" s="1194">
        <v>1.714788710963111E-2</v>
      </c>
      <c r="J6" s="1195">
        <v>-0.458561762177216</v>
      </c>
    </row>
    <row r="7" spans="1:13" x14ac:dyDescent="0.25">
      <c r="A7" s="1196" t="s">
        <v>420</v>
      </c>
      <c r="B7" s="1190">
        <v>-0.27265764702498696</v>
      </c>
      <c r="C7" s="1190">
        <v>0.11327442134864546</v>
      </c>
      <c r="D7" s="1190">
        <v>-0.1593832256763415</v>
      </c>
      <c r="E7" s="1191">
        <v>-0.24373910089757289</v>
      </c>
      <c r="F7" s="1192">
        <v>7.5927032965757896E-2</v>
      </c>
      <c r="G7" s="1193">
        <v>-0.167812067931815</v>
      </c>
      <c r="H7" s="1194">
        <v>-0.24910127755322986</v>
      </c>
      <c r="I7" s="1194">
        <v>8.6575700357271385E-2</v>
      </c>
      <c r="J7" s="1195">
        <v>-0.16252557719595848</v>
      </c>
    </row>
    <row r="8" spans="1:13" x14ac:dyDescent="0.25">
      <c r="A8" s="1189" t="s">
        <v>135</v>
      </c>
      <c r="B8" s="1190">
        <v>-1.3342224574400575E-2</v>
      </c>
      <c r="C8" s="1190">
        <v>-0.11327545507693973</v>
      </c>
      <c r="D8" s="1190">
        <v>-0.1266176796513403</v>
      </c>
      <c r="E8" s="1191">
        <v>0.24827866283794428</v>
      </c>
      <c r="F8" s="1192">
        <v>-7.5927032965756619E-2</v>
      </c>
      <c r="G8" s="1193">
        <v>0.17235162987218766</v>
      </c>
      <c r="H8" s="1194">
        <v>6.8482705632212662E-2</v>
      </c>
      <c r="I8" s="1194">
        <v>-8.657570035726854E-2</v>
      </c>
      <c r="J8" s="1195">
        <v>-1.8092994725055878E-2</v>
      </c>
    </row>
    <row r="9" spans="1:13" x14ac:dyDescent="0.25">
      <c r="A9" s="1189"/>
      <c r="C9" s="1197"/>
      <c r="F9" s="1197"/>
      <c r="G9" s="1193"/>
      <c r="H9" s="1190"/>
      <c r="I9" s="1190"/>
    </row>
    <row r="22" spans="1:13" s="1198" customFormat="1" ht="15" customHeight="1" x14ac:dyDescent="0.25"/>
    <row r="23" spans="1:13" s="1198" customFormat="1" ht="15" customHeight="1" x14ac:dyDescent="0.25"/>
    <row r="24" spans="1:13" s="1198" customFormat="1" ht="15" customHeight="1" x14ac:dyDescent="0.25"/>
    <row r="25" spans="1:13" s="1198" customFormat="1" ht="16.5" customHeight="1" x14ac:dyDescent="0.25"/>
    <row r="26" spans="1:13" s="1198" customFormat="1" ht="16.5" customHeight="1" x14ac:dyDescent="0.25"/>
    <row r="27" spans="1:13" s="1198" customFormat="1" ht="16.5" customHeight="1" x14ac:dyDescent="0.25"/>
    <row r="28" spans="1:13" s="1198" customFormat="1" ht="16.5" customHeight="1" x14ac:dyDescent="0.25">
      <c r="A28" s="1199"/>
      <c r="B28" s="1199"/>
      <c r="C28" s="1199"/>
      <c r="D28" s="1199"/>
      <c r="E28" s="1199"/>
      <c r="F28" s="1199"/>
      <c r="G28" s="1199"/>
      <c r="H28" s="1199"/>
      <c r="I28" s="1199"/>
      <c r="J28" s="1199"/>
      <c r="K28" s="1199"/>
      <c r="L28" s="1199"/>
      <c r="M28" s="1199"/>
    </row>
    <row r="29" spans="1:13" s="1198" customFormat="1" ht="16.5" customHeight="1" x14ac:dyDescent="0.25"/>
    <row r="30" spans="1:13" s="1198" customFormat="1" ht="16.5" customHeight="1" x14ac:dyDescent="0.25"/>
    <row r="31" spans="1:13" s="1198" customFormat="1" ht="16.5" customHeight="1" x14ac:dyDescent="0.25"/>
    <row r="32" spans="1:13" s="1198" customFormat="1" ht="16.5" customHeight="1" x14ac:dyDescent="0.25"/>
    <row r="33" spans="3:3" s="1198" customFormat="1" ht="16.5" customHeight="1" x14ac:dyDescent="0.25"/>
    <row r="34" spans="3:3" s="1198" customFormat="1" ht="16.5" customHeight="1" x14ac:dyDescent="0.25"/>
    <row r="35" spans="3:3" s="1198" customFormat="1" ht="16.5" customHeight="1" x14ac:dyDescent="0.25"/>
    <row r="36" spans="3:3" s="1198" customFormat="1" ht="16.5" customHeight="1" x14ac:dyDescent="0.25"/>
    <row r="37" spans="3:3" s="1198" customFormat="1" ht="16.5" customHeight="1" x14ac:dyDescent="0.25"/>
    <row r="38" spans="3:3" s="1198" customFormat="1" ht="16.5" customHeight="1" x14ac:dyDescent="0.25"/>
    <row r="39" spans="3:3" s="1198" customFormat="1" ht="16.5" customHeight="1" x14ac:dyDescent="0.25"/>
    <row r="40" spans="3:3" s="1198" customFormat="1" ht="16.5" customHeight="1" x14ac:dyDescent="0.25"/>
    <row r="41" spans="3:3" s="1198" customFormat="1" ht="16.5" customHeight="1" x14ac:dyDescent="0.25"/>
    <row r="42" spans="3:3" s="1198" customFormat="1" ht="16.5" customHeight="1" x14ac:dyDescent="0.25"/>
    <row r="43" spans="3:3" s="1198" customFormat="1" ht="16.5" customHeight="1" x14ac:dyDescent="0.25"/>
    <row r="44" spans="3:3" s="1198" customFormat="1" ht="16.5" customHeight="1" x14ac:dyDescent="0.25"/>
    <row r="45" spans="3:3" s="1198" customFormat="1" ht="16.5" customHeight="1" x14ac:dyDescent="0.25"/>
    <row r="46" spans="3:3" s="1198" customFormat="1" ht="16.5" customHeight="1" x14ac:dyDescent="0.25"/>
    <row r="47" spans="3:3" s="1198" customFormat="1" ht="16.5" customHeight="1" x14ac:dyDescent="0.25">
      <c r="C47" s="1200"/>
    </row>
    <row r="48" spans="3:3" s="1198" customFormat="1" ht="16.5" customHeight="1" x14ac:dyDescent="0.25">
      <c r="C48" s="1200"/>
    </row>
    <row r="49" spans="1:7" ht="16.5" x14ac:dyDescent="0.25">
      <c r="C49" s="1201"/>
      <c r="D49" s="1202"/>
      <c r="E49" s="1203"/>
      <c r="F49" s="1202"/>
      <c r="G49" s="1204"/>
    </row>
    <row r="50" spans="1:7" ht="16.5" customHeight="1" x14ac:dyDescent="0.25">
      <c r="C50" s="1201"/>
      <c r="D50" s="1205"/>
      <c r="E50" s="1206"/>
      <c r="F50" s="1205"/>
      <c r="G50" s="1204"/>
    </row>
    <row r="51" spans="1:7" ht="16.5" x14ac:dyDescent="0.25">
      <c r="C51" s="1201"/>
      <c r="D51" s="1202"/>
      <c r="E51" s="1203"/>
      <c r="F51" s="1202"/>
      <c r="G51" s="1204"/>
    </row>
    <row r="52" spans="1:7" s="1204" customFormat="1" ht="16.5" x14ac:dyDescent="0.25">
      <c r="C52" s="1201"/>
      <c r="D52" s="1205"/>
      <c r="E52" s="1206"/>
      <c r="F52" s="1205"/>
    </row>
    <row r="53" spans="1:7" s="1204" customFormat="1" ht="17.25" customHeight="1" x14ac:dyDescent="0.25">
      <c r="C53" s="1207"/>
      <c r="D53" s="1202"/>
      <c r="E53" s="1203"/>
      <c r="F53" s="1202"/>
    </row>
    <row r="54" spans="1:7" s="1204" customFormat="1" ht="16.5" x14ac:dyDescent="0.25">
      <c r="C54" s="1201"/>
      <c r="D54" s="1205"/>
      <c r="E54" s="1206"/>
      <c r="F54" s="1205"/>
    </row>
    <row r="55" spans="1:7" s="1204" customFormat="1" ht="16.5" x14ac:dyDescent="0.25">
      <c r="C55" s="1201"/>
      <c r="D55" s="1205"/>
      <c r="E55" s="1206"/>
      <c r="F55" s="1205"/>
    </row>
    <row r="56" spans="1:7" s="1204" customFormat="1" ht="16.5" x14ac:dyDescent="0.25">
      <c r="C56" s="1201"/>
      <c r="D56" s="1202"/>
      <c r="E56" s="1203"/>
      <c r="F56" s="1202"/>
    </row>
    <row r="57" spans="1:7" s="1204" customFormat="1" ht="16.5" x14ac:dyDescent="0.25">
      <c r="C57" s="1207"/>
      <c r="D57" s="1202"/>
      <c r="E57" s="1203"/>
      <c r="F57" s="1202"/>
    </row>
    <row r="58" spans="1:7" s="1204" customFormat="1" ht="16.5" x14ac:dyDescent="0.25">
      <c r="C58" s="1201"/>
      <c r="D58" s="1205"/>
      <c r="E58" s="1206"/>
      <c r="F58" s="1205"/>
    </row>
    <row r="59" spans="1:7" s="1204" customFormat="1" ht="16.5" x14ac:dyDescent="0.25">
      <c r="C59" s="1207"/>
      <c r="D59" s="1202"/>
      <c r="E59" s="1203"/>
      <c r="F59" s="1202"/>
    </row>
    <row r="60" spans="1:7" s="1204" customFormat="1" ht="16.5" x14ac:dyDescent="0.25">
      <c r="A60" s="1208"/>
      <c r="B60" s="1208"/>
      <c r="C60" s="1201"/>
      <c r="D60" s="1205"/>
      <c r="E60" s="1206"/>
      <c r="F60" s="1205"/>
    </row>
    <row r="61" spans="1:7" s="1204" customFormat="1" ht="16.5" x14ac:dyDescent="0.25">
      <c r="A61" s="1208"/>
      <c r="B61" s="1208"/>
      <c r="C61" s="1201"/>
      <c r="D61" s="1205"/>
      <c r="E61" s="1206"/>
      <c r="F61" s="1205"/>
    </row>
    <row r="62" spans="1:7" s="1204" customFormat="1" ht="16.5" x14ac:dyDescent="0.25">
      <c r="A62" s="1209"/>
      <c r="B62" s="1209"/>
      <c r="C62" s="1201"/>
      <c r="D62" s="1205"/>
      <c r="E62" s="1206"/>
      <c r="F62" s="1205"/>
    </row>
    <row r="63" spans="1:7" s="1204" customFormat="1" ht="16.5" x14ac:dyDescent="0.25">
      <c r="A63" s="1210"/>
      <c r="B63" s="1210"/>
      <c r="C63" s="1201"/>
      <c r="D63" s="1205"/>
      <c r="E63" s="1206"/>
      <c r="F63" s="1205"/>
    </row>
    <row r="64" spans="1:7" s="1204" customFormat="1" ht="16.5" x14ac:dyDescent="0.25">
      <c r="A64" s="1210"/>
      <c r="B64" s="1210"/>
      <c r="C64" s="1201"/>
      <c r="D64" s="1205"/>
      <c r="E64" s="1206"/>
      <c r="F64" s="1205"/>
    </row>
    <row r="65" spans="1:6" s="1204" customFormat="1" ht="16.5" x14ac:dyDescent="0.25">
      <c r="A65" s="1209"/>
      <c r="B65" s="1209"/>
      <c r="C65" s="1201"/>
      <c r="D65" s="1202"/>
      <c r="E65" s="1202"/>
      <c r="F65" s="1202"/>
    </row>
    <row r="66" spans="1:6" s="1204" customFormat="1" x14ac:dyDescent="0.25">
      <c r="A66" s="1210"/>
      <c r="B66" s="1210"/>
      <c r="C66" s="1211"/>
      <c r="D66" s="1211"/>
      <c r="E66" s="1212"/>
      <c r="F66" s="1212"/>
    </row>
    <row r="67" spans="1:6" s="1204" customFormat="1" x14ac:dyDescent="0.25">
      <c r="A67" s="1209"/>
      <c r="B67" s="1209"/>
    </row>
    <row r="68" spans="1:6" s="1204" customFormat="1" x14ac:dyDescent="0.25">
      <c r="A68" s="1209"/>
      <c r="B68" s="1209"/>
    </row>
    <row r="69" spans="1:6" s="1204" customFormat="1" x14ac:dyDescent="0.25">
      <c r="A69" s="1210"/>
      <c r="B69" s="1210"/>
    </row>
    <row r="70" spans="1:6" s="1204" customFormat="1" x14ac:dyDescent="0.25">
      <c r="A70" s="1210"/>
      <c r="B70" s="1210"/>
    </row>
    <row r="71" spans="1:6" s="1204" customFormat="1" x14ac:dyDescent="0.25">
      <c r="A71" s="1210"/>
      <c r="B71" s="1210"/>
    </row>
    <row r="72" spans="1:6" s="1204" customFormat="1" x14ac:dyDescent="0.25">
      <c r="A72" s="1210"/>
      <c r="B72" s="1210"/>
    </row>
    <row r="73" spans="1:6" s="1204" customFormat="1" x14ac:dyDescent="0.25">
      <c r="A73" s="1209"/>
      <c r="B73" s="1209"/>
    </row>
    <row r="74" spans="1:6" x14ac:dyDescent="0.25">
      <c r="A74" s="1210"/>
      <c r="B74" s="1210"/>
      <c r="C74" s="1204"/>
    </row>
    <row r="75" spans="1:6" x14ac:dyDescent="0.25">
      <c r="A75" s="1209"/>
      <c r="B75" s="1209"/>
      <c r="C75" s="1204"/>
    </row>
    <row r="76" spans="1:6" x14ac:dyDescent="0.25">
      <c r="A76" s="1210"/>
      <c r="B76" s="1210"/>
      <c r="C76" s="1204"/>
    </row>
    <row r="77" spans="1:6" x14ac:dyDescent="0.25">
      <c r="A77" s="1209"/>
      <c r="B77" s="1209"/>
      <c r="C77" s="1204"/>
    </row>
    <row r="78" spans="1:6" x14ac:dyDescent="0.25">
      <c r="A78" s="1210"/>
      <c r="B78" s="1210"/>
      <c r="C78" s="1204"/>
    </row>
    <row r="79" spans="1:6" x14ac:dyDescent="0.25">
      <c r="A79" s="1210"/>
      <c r="B79" s="1210"/>
      <c r="C79" s="1204"/>
    </row>
    <row r="80" spans="1:6" x14ac:dyDescent="0.25">
      <c r="A80" s="1210"/>
      <c r="B80" s="1210"/>
      <c r="C80" s="1204"/>
    </row>
    <row r="81" spans="1:6" x14ac:dyDescent="0.25">
      <c r="A81" s="1210"/>
      <c r="B81" s="1210"/>
      <c r="C81" s="1204"/>
    </row>
    <row r="82" spans="1:6" x14ac:dyDescent="0.25">
      <c r="A82" s="1213"/>
      <c r="B82" s="1213"/>
      <c r="C82" s="1200"/>
      <c r="D82" s="1200"/>
      <c r="E82" s="1200"/>
      <c r="F82" s="1200"/>
    </row>
    <row r="83" spans="1:6" x14ac:dyDescent="0.25">
      <c r="A83" s="1213"/>
      <c r="B83" s="1213"/>
      <c r="C83" s="1200"/>
      <c r="D83" s="1200"/>
      <c r="E83" s="1200"/>
      <c r="F83" s="1200"/>
    </row>
    <row r="84" spans="1:6" x14ac:dyDescent="0.25">
      <c r="A84" s="1214"/>
      <c r="B84" s="1214"/>
      <c r="C84" s="1200"/>
      <c r="D84" s="1200"/>
      <c r="E84" s="1200"/>
      <c r="F84" s="1200"/>
    </row>
    <row r="85" spans="1:6" x14ac:dyDescent="0.25">
      <c r="A85" s="1215"/>
      <c r="B85" s="1216"/>
      <c r="C85" s="1200"/>
      <c r="D85" s="1200"/>
      <c r="E85" s="1200"/>
      <c r="F85" s="1200"/>
    </row>
    <row r="86" spans="1:6" x14ac:dyDescent="0.25">
      <c r="A86" s="1215"/>
      <c r="B86" s="1217"/>
      <c r="C86" s="1200"/>
      <c r="D86" s="1200"/>
      <c r="E86" s="1200"/>
      <c r="F86" s="1200"/>
    </row>
    <row r="87" spans="1:6" x14ac:dyDescent="0.25">
      <c r="A87" s="1200"/>
      <c r="B87" s="1200"/>
      <c r="C87" s="1200"/>
      <c r="D87" s="1200"/>
      <c r="E87" s="1200"/>
      <c r="F87" s="1200"/>
    </row>
    <row r="88" spans="1:6" x14ac:dyDescent="0.25">
      <c r="A88" s="1200"/>
      <c r="B88" s="1200"/>
      <c r="C88" s="1200"/>
      <c r="D88" s="1200"/>
      <c r="E88" s="1200"/>
      <c r="F88" s="1200"/>
    </row>
    <row r="89" spans="1:6" x14ac:dyDescent="0.25">
      <c r="A89" s="1200"/>
      <c r="B89" s="1200"/>
      <c r="C89" s="1200"/>
      <c r="D89" s="1200"/>
      <c r="E89" s="1200"/>
      <c r="F89" s="1200"/>
    </row>
    <row r="90" spans="1:6" x14ac:dyDescent="0.25">
      <c r="A90" s="1200"/>
      <c r="B90" s="1200"/>
      <c r="C90" s="1200"/>
      <c r="D90" s="1200"/>
      <c r="E90" s="1200"/>
      <c r="F90" s="1200"/>
    </row>
    <row r="91" spans="1:6" x14ac:dyDescent="0.25">
      <c r="A91" s="1200"/>
      <c r="B91" s="1200"/>
      <c r="C91" s="1200"/>
      <c r="D91" s="1200"/>
      <c r="E91" s="1200"/>
      <c r="F91" s="1200"/>
    </row>
    <row r="92" spans="1:6" x14ac:dyDescent="0.25">
      <c r="A92" s="1200"/>
      <c r="B92" s="1200"/>
      <c r="C92" s="1200"/>
      <c r="D92" s="1200"/>
      <c r="E92" s="1200"/>
      <c r="F92" s="1200"/>
    </row>
    <row r="93" spans="1:6" x14ac:dyDescent="0.25">
      <c r="A93" s="1200"/>
      <c r="B93" s="1200"/>
      <c r="C93" s="1200"/>
      <c r="D93" s="1200"/>
      <c r="E93" s="1200"/>
      <c r="F93" s="1200"/>
    </row>
    <row r="94" spans="1:6" x14ac:dyDescent="0.25">
      <c r="A94" s="1200"/>
      <c r="B94" s="1200"/>
      <c r="C94" s="1200"/>
      <c r="D94" s="1200"/>
      <c r="E94" s="1200"/>
      <c r="F94" s="1200"/>
    </row>
  </sheetData>
  <mergeCells count="2">
    <mergeCell ref="B1:D1"/>
    <mergeCell ref="H1:J1"/>
  </mergeCells>
  <pageMargins left="0.7" right="0.7" top="0.75" bottom="0.75" header="0.3" footer="0.3"/>
  <pageSetup paperSize="9" scale="26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52DC-E397-4A3F-8F25-7BA3B5F66CE6}">
  <dimension ref="A1:W52"/>
  <sheetViews>
    <sheetView showGridLines="0" workbookViewId="0">
      <selection activeCell="J2" sqref="J2"/>
    </sheetView>
  </sheetViews>
  <sheetFormatPr defaultRowHeight="12.75" x14ac:dyDescent="0.2"/>
  <cols>
    <col min="1" max="1" width="50.28515625" style="272" customWidth="1"/>
    <col min="2" max="2" width="10.7109375" style="272" customWidth="1"/>
    <col min="3" max="3" width="8.28515625" style="272" customWidth="1"/>
    <col min="4" max="4" width="7.42578125" style="272" customWidth="1"/>
    <col min="5" max="5" width="9.140625" style="272"/>
    <col min="6" max="6" width="8.140625" style="272" customWidth="1"/>
    <col min="7" max="8" width="9.140625" style="272"/>
    <col min="9" max="9" width="7.28515625" style="272" customWidth="1"/>
    <col min="10" max="16384" width="9.140625" style="272"/>
  </cols>
  <sheetData>
    <row r="1" spans="1:17" ht="15" x14ac:dyDescent="0.25">
      <c r="A1" s="1505" t="s">
        <v>1019</v>
      </c>
      <c r="B1" s="1505"/>
      <c r="C1" s="1505"/>
      <c r="D1" s="1505"/>
      <c r="E1" s="1505"/>
      <c r="J1" s="1506"/>
      <c r="K1" s="1506"/>
      <c r="L1" s="1506"/>
      <c r="M1" s="1506"/>
      <c r="N1" s="1506"/>
      <c r="O1" s="955"/>
      <c r="P1" s="956"/>
      <c r="Q1" s="956"/>
    </row>
    <row r="2" spans="1:17" x14ac:dyDescent="0.2">
      <c r="A2" s="957"/>
      <c r="B2" s="958">
        <v>2016</v>
      </c>
      <c r="C2" s="958">
        <v>2017</v>
      </c>
      <c r="D2" s="958">
        <v>2018</v>
      </c>
      <c r="E2" s="958">
        <v>2019</v>
      </c>
      <c r="F2" s="958">
        <v>2020</v>
      </c>
      <c r="G2" s="958">
        <v>2021</v>
      </c>
      <c r="J2" s="1174" t="s">
        <v>1020</v>
      </c>
      <c r="K2" s="960"/>
      <c r="L2" s="960"/>
      <c r="M2" s="960"/>
      <c r="N2" s="960"/>
      <c r="O2" s="960"/>
      <c r="P2" s="956"/>
      <c r="Q2" s="956"/>
    </row>
    <row r="3" spans="1:17" s="998" customFormat="1" x14ac:dyDescent="0.2">
      <c r="A3" s="961" t="s">
        <v>1021</v>
      </c>
      <c r="B3" s="962">
        <v>-1.93</v>
      </c>
      <c r="C3" s="962">
        <v>-1.29</v>
      </c>
      <c r="D3" s="962">
        <v>-0.44</v>
      </c>
      <c r="E3" s="962">
        <v>0.16</v>
      </c>
      <c r="F3" s="1173"/>
      <c r="G3" s="1173"/>
      <c r="J3" s="959"/>
      <c r="K3" s="960"/>
      <c r="L3" s="960"/>
      <c r="M3" s="960"/>
      <c r="N3" s="960"/>
      <c r="O3" s="960"/>
      <c r="P3" s="956"/>
      <c r="Q3" s="956"/>
    </row>
    <row r="4" spans="1:17" ht="15" x14ac:dyDescent="0.25">
      <c r="A4" s="961" t="s">
        <v>1022</v>
      </c>
      <c r="B4" s="962">
        <v>-2.19</v>
      </c>
      <c r="C4" s="962">
        <v>-1.29</v>
      </c>
      <c r="D4" s="962">
        <v>-0.83</v>
      </c>
      <c r="E4" s="962">
        <v>-0.1</v>
      </c>
      <c r="F4" s="1041">
        <v>0</v>
      </c>
      <c r="J4" s="963"/>
      <c r="K4" s="964"/>
      <c r="L4" s="964"/>
      <c r="M4" s="964"/>
      <c r="N4" s="964"/>
      <c r="O4" s="955"/>
      <c r="P4" s="956"/>
      <c r="Q4" s="956"/>
    </row>
    <row r="5" spans="1:17" x14ac:dyDescent="0.2">
      <c r="A5" s="961" t="s">
        <v>1023</v>
      </c>
      <c r="B5" s="962">
        <v>-2.21</v>
      </c>
      <c r="C5" s="962">
        <v>-1.04</v>
      </c>
      <c r="D5" s="962">
        <v>-0.8</v>
      </c>
      <c r="E5" s="962">
        <v>-0.32</v>
      </c>
      <c r="F5" s="1041">
        <v>0</v>
      </c>
      <c r="G5" s="1041">
        <v>0</v>
      </c>
      <c r="H5" s="967"/>
      <c r="J5" s="963"/>
      <c r="K5" s="964"/>
      <c r="L5" s="964"/>
      <c r="M5" s="964"/>
      <c r="N5" s="964"/>
      <c r="O5" s="964"/>
      <c r="P5" s="956"/>
      <c r="Q5" s="956"/>
    </row>
    <row r="6" spans="1:17" x14ac:dyDescent="0.2">
      <c r="A6" s="978" t="s">
        <v>1004</v>
      </c>
      <c r="B6" s="984">
        <v>-2.2200000000000002</v>
      </c>
      <c r="C6" s="984">
        <v>-0.7770491556751673</v>
      </c>
      <c r="D6" s="984">
        <v>-0.6</v>
      </c>
      <c r="E6" s="984">
        <v>-0.1</v>
      </c>
      <c r="F6" s="979">
        <v>0</v>
      </c>
      <c r="G6" s="984">
        <v>0.2</v>
      </c>
      <c r="H6" s="967"/>
      <c r="J6" s="970"/>
      <c r="K6" s="971"/>
      <c r="L6" s="971"/>
      <c r="M6" s="971"/>
      <c r="N6" s="971"/>
      <c r="O6" s="971"/>
      <c r="P6" s="956"/>
      <c r="Q6" s="956"/>
    </row>
    <row r="7" spans="1:17" ht="15" x14ac:dyDescent="0.2">
      <c r="A7" s="978"/>
      <c r="B7" s="979"/>
      <c r="C7" s="979"/>
      <c r="D7" s="979"/>
      <c r="E7" s="979"/>
      <c r="F7" s="1179"/>
      <c r="G7" s="1179"/>
      <c r="H7" s="967"/>
      <c r="I7" s="961"/>
      <c r="J7" s="974"/>
      <c r="K7" s="975"/>
      <c r="L7" s="975"/>
      <c r="M7" s="975"/>
      <c r="N7" s="975"/>
      <c r="O7" s="976"/>
      <c r="P7" s="956"/>
      <c r="Q7" s="956"/>
    </row>
    <row r="8" spans="1:17" x14ac:dyDescent="0.2">
      <c r="A8" s="978"/>
      <c r="B8" s="979"/>
      <c r="C8" s="979"/>
      <c r="D8" s="979"/>
      <c r="E8" s="979"/>
      <c r="F8" s="979"/>
      <c r="G8" s="1179"/>
      <c r="J8" s="974"/>
      <c r="K8" s="975"/>
      <c r="L8" s="975"/>
      <c r="M8" s="975"/>
      <c r="N8" s="975"/>
      <c r="O8" s="975"/>
      <c r="P8" s="956"/>
      <c r="Q8" s="956"/>
    </row>
    <row r="9" spans="1:17" ht="12.75" customHeight="1" x14ac:dyDescent="0.2">
      <c r="A9" s="978"/>
      <c r="B9" s="979"/>
      <c r="C9" s="979"/>
      <c r="D9" s="979"/>
      <c r="E9" s="979"/>
      <c r="F9" s="979"/>
      <c r="G9" s="979"/>
      <c r="J9" s="959"/>
      <c r="K9" s="1218"/>
      <c r="L9" s="1218"/>
      <c r="M9" s="1218"/>
      <c r="N9" s="1218"/>
      <c r="O9" s="1218"/>
      <c r="P9" s="956"/>
      <c r="Q9" s="956"/>
    </row>
    <row r="10" spans="1:17" ht="15" x14ac:dyDescent="0.25">
      <c r="A10" s="978"/>
      <c r="B10" s="979"/>
      <c r="C10" s="979"/>
      <c r="D10" s="979"/>
      <c r="E10" s="979"/>
      <c r="F10" s="979"/>
      <c r="G10" s="979"/>
      <c r="J10" s="963"/>
      <c r="K10" s="964"/>
      <c r="L10" s="964"/>
      <c r="M10" s="964"/>
      <c r="N10" s="964"/>
      <c r="O10" s="955"/>
      <c r="P10" s="956"/>
      <c r="Q10" s="956"/>
    </row>
    <row r="11" spans="1:17" x14ac:dyDescent="0.2">
      <c r="A11" s="1219"/>
      <c r="B11" s="977"/>
      <c r="C11" s="977"/>
      <c r="D11" s="977"/>
      <c r="E11" s="977"/>
      <c r="F11" s="977"/>
      <c r="G11" s="977"/>
      <c r="J11" s="963"/>
      <c r="K11" s="964"/>
      <c r="L11" s="964"/>
      <c r="M11" s="964"/>
      <c r="N11" s="964"/>
      <c r="O11" s="964"/>
      <c r="P11" s="956"/>
      <c r="Q11" s="956"/>
    </row>
    <row r="12" spans="1:17" x14ac:dyDescent="0.2">
      <c r="A12" s="1219"/>
      <c r="B12" s="977"/>
      <c r="C12" s="977"/>
      <c r="D12" s="977"/>
      <c r="E12" s="977"/>
      <c r="F12" s="977"/>
      <c r="G12" s="977"/>
      <c r="J12" s="970"/>
      <c r="K12" s="971"/>
      <c r="L12" s="971"/>
      <c r="M12" s="971"/>
      <c r="N12" s="971"/>
      <c r="O12" s="971"/>
      <c r="P12" s="956"/>
      <c r="Q12" s="956"/>
    </row>
    <row r="13" spans="1:17" x14ac:dyDescent="0.2">
      <c r="J13" s="970"/>
      <c r="K13" s="971"/>
      <c r="L13" s="971"/>
      <c r="M13" s="971"/>
      <c r="N13" s="971"/>
      <c r="O13" s="971"/>
      <c r="P13" s="956"/>
      <c r="Q13" s="956"/>
    </row>
    <row r="14" spans="1:17" ht="15" x14ac:dyDescent="0.2">
      <c r="A14" s="956"/>
      <c r="B14" s="956"/>
      <c r="C14" s="956"/>
      <c r="D14" s="956"/>
      <c r="E14" s="956"/>
      <c r="F14" s="992"/>
      <c r="G14" s="956"/>
      <c r="J14" s="974"/>
      <c r="K14" s="975"/>
      <c r="L14" s="975"/>
      <c r="M14" s="975"/>
      <c r="N14" s="975"/>
      <c r="O14" s="976"/>
      <c r="P14" s="956"/>
      <c r="Q14" s="956"/>
    </row>
    <row r="15" spans="1:17" x14ac:dyDescent="0.2">
      <c r="A15" s="963"/>
      <c r="B15" s="1220"/>
      <c r="C15" s="1220"/>
      <c r="D15" s="1220"/>
      <c r="E15" s="1220"/>
      <c r="F15" s="1220"/>
      <c r="G15" s="1220"/>
      <c r="H15" s="977"/>
      <c r="J15" s="974"/>
      <c r="K15" s="975"/>
      <c r="L15" s="975"/>
      <c r="M15" s="975"/>
      <c r="N15" s="975"/>
      <c r="O15" s="975"/>
      <c r="P15" s="956"/>
      <c r="Q15" s="956"/>
    </row>
    <row r="16" spans="1:17" x14ac:dyDescent="0.2">
      <c r="A16" s="956"/>
      <c r="B16" s="956"/>
      <c r="C16" s="956"/>
      <c r="D16" s="956"/>
      <c r="E16" s="956"/>
      <c r="F16" s="956"/>
      <c r="G16" s="956"/>
      <c r="H16" s="977"/>
      <c r="J16" s="974"/>
      <c r="K16" s="975"/>
      <c r="L16" s="975"/>
      <c r="M16" s="975"/>
      <c r="N16" s="975"/>
      <c r="O16" s="975"/>
      <c r="P16" s="956"/>
      <c r="Q16" s="956"/>
    </row>
    <row r="17" spans="1:23" x14ac:dyDescent="0.2">
      <c r="A17" s="956"/>
      <c r="B17" s="956"/>
      <c r="C17" s="956"/>
      <c r="D17" s="956"/>
      <c r="E17" s="956"/>
      <c r="F17" s="956"/>
      <c r="G17" s="956"/>
      <c r="J17" s="1609"/>
      <c r="K17" s="1609"/>
      <c r="L17" s="1609"/>
      <c r="M17" s="1609"/>
      <c r="N17" s="1609"/>
      <c r="O17" s="1221"/>
      <c r="P17" s="956"/>
      <c r="Q17" s="956"/>
    </row>
    <row r="18" spans="1:23" x14ac:dyDescent="0.2">
      <c r="A18" s="956"/>
      <c r="B18" s="956"/>
      <c r="C18" s="956"/>
      <c r="D18" s="956"/>
      <c r="E18" s="956"/>
      <c r="F18" s="956"/>
      <c r="G18" s="956"/>
    </row>
    <row r="19" spans="1:23" x14ac:dyDescent="0.2">
      <c r="A19" s="1610"/>
      <c r="B19" s="1610"/>
      <c r="C19" s="1610"/>
      <c r="D19" s="1610"/>
      <c r="E19" s="1610"/>
      <c r="F19" s="1610"/>
      <c r="G19" s="1610"/>
    </row>
    <row r="20" spans="1:23" x14ac:dyDescent="0.2">
      <c r="A20" s="1222"/>
      <c r="B20" s="1223"/>
      <c r="C20" s="1223"/>
      <c r="D20" s="1223"/>
      <c r="E20" s="1223"/>
      <c r="F20" s="1223"/>
      <c r="G20" s="1223"/>
    </row>
    <row r="21" spans="1:23" ht="13.5" customHeight="1" x14ac:dyDescent="0.2">
      <c r="A21" s="1222"/>
      <c r="B21" s="1222"/>
      <c r="C21" s="1217"/>
      <c r="D21" s="1217"/>
      <c r="E21" s="1217"/>
      <c r="F21" s="1217"/>
      <c r="G21" s="1217"/>
      <c r="H21" s="967"/>
      <c r="I21" s="967"/>
      <c r="R21" s="1224"/>
      <c r="S21" s="1224"/>
      <c r="T21" s="1224"/>
      <c r="U21" s="1224"/>
      <c r="V21" s="1224"/>
      <c r="W21" s="1225"/>
    </row>
    <row r="22" spans="1:23" ht="13.5" customHeight="1" x14ac:dyDescent="0.2">
      <c r="A22" s="1226"/>
      <c r="B22" s="1223"/>
      <c r="C22" s="1226"/>
      <c r="D22" s="1226"/>
      <c r="E22" s="1226"/>
      <c r="F22" s="1226"/>
      <c r="G22" s="1226"/>
      <c r="H22" s="967"/>
      <c r="I22" s="967"/>
      <c r="K22" s="1178"/>
      <c r="R22" s="1227"/>
      <c r="S22" s="1228"/>
      <c r="T22" s="1228"/>
      <c r="U22" s="1228"/>
      <c r="V22" s="1228"/>
      <c r="W22" s="1228"/>
    </row>
    <row r="23" spans="1:23" ht="15" customHeight="1" x14ac:dyDescent="0.2">
      <c r="A23" s="1229"/>
      <c r="B23" s="1230"/>
      <c r="C23" s="1217"/>
      <c r="D23" s="1217"/>
      <c r="E23" s="1217"/>
      <c r="F23" s="1217"/>
      <c r="G23" s="1217"/>
      <c r="R23" s="1081"/>
      <c r="S23" s="984"/>
      <c r="T23" s="984"/>
      <c r="U23" s="984"/>
      <c r="V23" s="984"/>
      <c r="W23" s="1225"/>
    </row>
    <row r="24" spans="1:23" x14ac:dyDescent="0.2">
      <c r="A24" s="1229"/>
      <c r="B24" s="1230"/>
      <c r="C24" s="1231"/>
      <c r="D24" s="1231"/>
      <c r="E24" s="1231"/>
      <c r="F24" s="1231"/>
      <c r="G24" s="1231"/>
      <c r="R24" s="1081"/>
      <c r="S24" s="984"/>
      <c r="T24" s="984"/>
      <c r="U24" s="984"/>
      <c r="V24" s="984"/>
      <c r="W24" s="984"/>
    </row>
    <row r="25" spans="1:23" x14ac:dyDescent="0.2">
      <c r="A25" s="1226"/>
      <c r="B25" s="1230"/>
      <c r="C25" s="1232"/>
      <c r="D25" s="1232"/>
      <c r="E25" s="1232"/>
      <c r="F25" s="1232"/>
      <c r="G25" s="1232"/>
      <c r="R25" s="1081"/>
      <c r="S25" s="984"/>
      <c r="T25" s="984"/>
      <c r="U25" s="984"/>
      <c r="V25" s="984"/>
      <c r="W25" s="984"/>
    </row>
    <row r="26" spans="1:23" x14ac:dyDescent="0.2">
      <c r="A26" s="1233"/>
      <c r="B26" s="1234"/>
      <c r="C26" s="1234"/>
      <c r="D26" s="1234"/>
      <c r="E26" s="1234"/>
      <c r="F26" s="1234"/>
      <c r="G26" s="1234"/>
      <c r="R26" s="1081"/>
      <c r="S26" s="984"/>
      <c r="T26" s="984"/>
      <c r="U26" s="984"/>
      <c r="V26" s="984"/>
      <c r="W26" s="984"/>
    </row>
    <row r="27" spans="1:23" x14ac:dyDescent="0.2">
      <c r="A27" s="1235"/>
      <c r="B27" s="1235"/>
      <c r="C27" s="1235"/>
      <c r="D27" s="1235"/>
      <c r="E27" s="1235"/>
      <c r="F27" s="1235"/>
      <c r="G27" s="1235"/>
      <c r="R27" s="1081"/>
      <c r="S27" s="979"/>
      <c r="T27" s="979"/>
      <c r="U27" s="979"/>
      <c r="V27" s="979"/>
      <c r="W27" s="979"/>
    </row>
    <row r="28" spans="1:23" x14ac:dyDescent="0.2">
      <c r="A28" s="956"/>
      <c r="B28" s="956"/>
      <c r="C28" s="956"/>
      <c r="D28" s="956"/>
      <c r="E28" s="956"/>
      <c r="F28" s="956"/>
      <c r="G28" s="956"/>
    </row>
    <row r="29" spans="1:23" x14ac:dyDescent="0.2">
      <c r="A29" s="1611"/>
      <c r="B29" s="1611"/>
      <c r="C29" s="1611"/>
      <c r="D29" s="1611"/>
      <c r="E29" s="1611"/>
      <c r="F29" s="1611"/>
      <c r="G29" s="1611"/>
    </row>
    <row r="30" spans="1:23" x14ac:dyDescent="0.2">
      <c r="A30" s="1236"/>
      <c r="B30" s="1237"/>
      <c r="C30" s="1237"/>
      <c r="D30" s="1237"/>
      <c r="E30" s="1238"/>
      <c r="F30" s="1239"/>
      <c r="G30" s="1238"/>
    </row>
    <row r="31" spans="1:23" ht="12.75" customHeight="1" x14ac:dyDescent="0.2">
      <c r="A31" s="1240"/>
      <c r="B31" s="1241"/>
      <c r="C31" s="1241"/>
      <c r="D31" s="1241"/>
      <c r="E31" s="1241"/>
      <c r="F31" s="1241"/>
      <c r="G31" s="1241"/>
    </row>
    <row r="32" spans="1:23" x14ac:dyDescent="0.2">
      <c r="A32" s="1240"/>
      <c r="B32" s="1241"/>
      <c r="C32" s="1241"/>
      <c r="D32" s="1241"/>
      <c r="E32" s="1241"/>
      <c r="F32" s="1241"/>
      <c r="G32" s="1241"/>
    </row>
    <row r="33" spans="1:7" x14ac:dyDescent="0.2">
      <c r="A33" s="1236"/>
      <c r="B33" s="1242"/>
      <c r="C33" s="1242"/>
      <c r="D33" s="1242"/>
      <c r="E33" s="1242"/>
      <c r="F33" s="1243"/>
      <c r="G33" s="1242"/>
    </row>
    <row r="34" spans="1:7" x14ac:dyDescent="0.2">
      <c r="A34" s="1236"/>
      <c r="B34" s="1242"/>
      <c r="C34" s="1242"/>
      <c r="D34" s="1242"/>
      <c r="E34" s="1242"/>
      <c r="F34" s="1243"/>
      <c r="G34" s="1242"/>
    </row>
    <row r="35" spans="1:7" x14ac:dyDescent="0.2">
      <c r="A35" s="1236"/>
      <c r="B35" s="1242"/>
      <c r="C35" s="1242"/>
      <c r="D35" s="1242"/>
      <c r="E35" s="1242"/>
      <c r="F35" s="1243"/>
      <c r="G35" s="1242"/>
    </row>
    <row r="36" spans="1:7" x14ac:dyDescent="0.2">
      <c r="A36" s="1244"/>
      <c r="B36" s="1242"/>
      <c r="C36" s="1242"/>
      <c r="D36" s="1242"/>
      <c r="E36" s="1242"/>
      <c r="F36" s="1243"/>
      <c r="G36" s="1242"/>
    </row>
    <row r="37" spans="1:7" x14ac:dyDescent="0.2">
      <c r="A37" s="1244"/>
      <c r="B37" s="1242"/>
      <c r="C37" s="1242"/>
      <c r="D37" s="1242"/>
      <c r="E37" s="1242"/>
      <c r="F37" s="1243"/>
      <c r="G37" s="1242"/>
    </row>
    <row r="38" spans="1:7" x14ac:dyDescent="0.2">
      <c r="A38" s="1244"/>
      <c r="B38" s="1242"/>
      <c r="C38" s="1242"/>
      <c r="D38" s="1242"/>
      <c r="E38" s="1242"/>
      <c r="F38" s="1243"/>
      <c r="G38" s="1242"/>
    </row>
    <row r="39" spans="1:7" x14ac:dyDescent="0.2">
      <c r="A39" s="1244"/>
      <c r="B39" s="1242"/>
      <c r="C39" s="1242"/>
      <c r="D39" s="1242"/>
      <c r="E39" s="1242"/>
      <c r="F39" s="1243"/>
      <c r="G39" s="1242"/>
    </row>
    <row r="40" spans="1:7" x14ac:dyDescent="0.2">
      <c r="A40" s="1236"/>
      <c r="B40" s="1242"/>
      <c r="C40" s="1242"/>
      <c r="D40" s="1242"/>
      <c r="E40" s="1242"/>
      <c r="F40" s="1243"/>
      <c r="G40" s="1242"/>
    </row>
    <row r="41" spans="1:7" x14ac:dyDescent="0.2">
      <c r="A41" s="1236"/>
      <c r="B41" s="1242"/>
      <c r="C41" s="1242"/>
      <c r="D41" s="1242"/>
      <c r="E41" s="1242"/>
      <c r="F41" s="1243"/>
      <c r="G41" s="1242"/>
    </row>
    <row r="42" spans="1:7" x14ac:dyDescent="0.2">
      <c r="A42" s="1236"/>
      <c r="B42" s="1242"/>
      <c r="C42" s="1242"/>
      <c r="D42" s="1242"/>
      <c r="E42" s="1242"/>
      <c r="F42" s="1243"/>
      <c r="G42" s="1242"/>
    </row>
    <row r="43" spans="1:7" x14ac:dyDescent="0.2">
      <c r="A43" s="1236"/>
      <c r="B43" s="1242"/>
      <c r="C43" s="1242"/>
      <c r="D43" s="1242"/>
      <c r="E43" s="1242"/>
      <c r="F43" s="1243"/>
      <c r="G43" s="1242"/>
    </row>
    <row r="44" spans="1:7" x14ac:dyDescent="0.2">
      <c r="A44" s="1240"/>
      <c r="B44" s="1241"/>
      <c r="C44" s="1241"/>
      <c r="D44" s="1241"/>
      <c r="E44" s="1241"/>
      <c r="F44" s="1241"/>
      <c r="G44" s="1241"/>
    </row>
    <row r="45" spans="1:7" x14ac:dyDescent="0.2">
      <c r="A45" s="1245"/>
      <c r="B45" s="1246"/>
      <c r="C45" s="1246"/>
      <c r="D45" s="1246"/>
      <c r="E45" s="1246"/>
      <c r="F45" s="1246"/>
      <c r="G45" s="1246"/>
    </row>
    <row r="46" spans="1:7" x14ac:dyDescent="0.2">
      <c r="A46" s="1240"/>
      <c r="B46" s="1237"/>
      <c r="C46" s="1237"/>
      <c r="D46" s="1237"/>
      <c r="E46" s="1237"/>
      <c r="F46" s="1240"/>
      <c r="G46" s="1237"/>
    </row>
    <row r="47" spans="1:7" x14ac:dyDescent="0.2">
      <c r="A47" s="1236"/>
      <c r="B47" s="1247"/>
      <c r="C47" s="1247"/>
      <c r="D47" s="1247"/>
      <c r="E47" s="1247"/>
      <c r="F47" s="1236"/>
      <c r="G47" s="1247"/>
    </row>
    <row r="48" spans="1:7" x14ac:dyDescent="0.2">
      <c r="A48" s="1236"/>
      <c r="B48" s="1247"/>
      <c r="C48" s="1247"/>
      <c r="D48" s="1247"/>
      <c r="E48" s="1247"/>
      <c r="F48" s="1236"/>
      <c r="G48" s="1247"/>
    </row>
    <row r="49" spans="1:7" x14ac:dyDescent="0.2">
      <c r="A49" s="1612"/>
      <c r="B49" s="1612"/>
      <c r="C49" s="1612"/>
      <c r="D49" s="1612"/>
      <c r="E49" s="1612"/>
      <c r="F49" s="1612"/>
      <c r="G49" s="1248"/>
    </row>
    <row r="50" spans="1:7" x14ac:dyDescent="0.2">
      <c r="A50" s="1608"/>
      <c r="B50" s="1608"/>
      <c r="C50" s="1608"/>
      <c r="D50" s="1608"/>
      <c r="E50" s="1608"/>
      <c r="F50" s="1608"/>
      <c r="G50" s="1248"/>
    </row>
    <row r="51" spans="1:7" x14ac:dyDescent="0.2">
      <c r="A51" s="956"/>
      <c r="B51" s="956"/>
      <c r="C51" s="956"/>
      <c r="D51" s="956"/>
      <c r="E51" s="956"/>
      <c r="F51" s="956"/>
      <c r="G51" s="956"/>
    </row>
    <row r="52" spans="1:7" x14ac:dyDescent="0.2">
      <c r="A52" s="956"/>
      <c r="B52" s="956"/>
      <c r="C52" s="956"/>
      <c r="D52" s="956"/>
      <c r="E52" s="956"/>
      <c r="F52" s="956"/>
      <c r="G52" s="956"/>
    </row>
  </sheetData>
  <mergeCells count="7">
    <mergeCell ref="A50:F50"/>
    <mergeCell ref="A1:E1"/>
    <mergeCell ref="J1:N1"/>
    <mergeCell ref="J17:N17"/>
    <mergeCell ref="A19:G19"/>
    <mergeCell ref="A29:G29"/>
    <mergeCell ref="A49:F49"/>
  </mergeCells>
  <pageMargins left="0.7" right="0.7" top="0.75" bottom="0.75" header="0.3" footer="0.3"/>
  <pageSetup paperSize="9" scale="9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D3394-C9F7-4244-89F8-74DB8DEB3744}">
  <dimension ref="A1:K6"/>
  <sheetViews>
    <sheetView showGridLines="0" workbookViewId="0">
      <selection activeCell="K2" sqref="K2"/>
    </sheetView>
  </sheetViews>
  <sheetFormatPr defaultRowHeight="12.75" x14ac:dyDescent="0.2"/>
  <cols>
    <col min="1" max="1" width="25.7109375" style="272" customWidth="1"/>
    <col min="2" max="16384" width="9.140625" style="272"/>
  </cols>
  <sheetData>
    <row r="1" spans="1:11" x14ac:dyDescent="0.2">
      <c r="A1" s="1505" t="s">
        <v>1024</v>
      </c>
      <c r="B1" s="1505"/>
      <c r="C1" s="1505"/>
      <c r="D1" s="1505"/>
      <c r="E1" s="1505"/>
    </row>
    <row r="2" spans="1:11" x14ac:dyDescent="0.2">
      <c r="A2" s="957"/>
      <c r="B2" s="958">
        <v>2016</v>
      </c>
      <c r="C2" s="958">
        <v>2017</v>
      </c>
      <c r="D2" s="958">
        <v>2018</v>
      </c>
      <c r="E2" s="958">
        <v>2019</v>
      </c>
      <c r="F2" s="958">
        <v>2020</v>
      </c>
      <c r="G2" s="958">
        <v>2021</v>
      </c>
      <c r="K2" s="1174" t="s">
        <v>1025</v>
      </c>
    </row>
    <row r="3" spans="1:11" x14ac:dyDescent="0.2">
      <c r="A3" s="961" t="s">
        <v>1021</v>
      </c>
      <c r="B3" s="1041">
        <v>53.494981921392004</v>
      </c>
      <c r="C3" s="1041">
        <v>52.723970708888864</v>
      </c>
      <c r="D3" s="1041">
        <v>51.402602458171891</v>
      </c>
      <c r="E3" s="1041">
        <v>49.061408450492536</v>
      </c>
    </row>
    <row r="4" spans="1:11" x14ac:dyDescent="0.2">
      <c r="A4" s="961" t="s">
        <v>1022</v>
      </c>
      <c r="B4" s="1041">
        <v>51.94451557871907</v>
      </c>
      <c r="C4" s="1041">
        <v>51.116082340070129</v>
      </c>
      <c r="D4" s="1041">
        <v>49.945843575777936</v>
      </c>
      <c r="E4" s="1041">
        <v>47.827914878975811</v>
      </c>
      <c r="F4" s="1041">
        <v>45.509670510470727</v>
      </c>
    </row>
    <row r="5" spans="1:11" x14ac:dyDescent="0.2">
      <c r="A5" s="961" t="s">
        <v>1023</v>
      </c>
      <c r="B5" s="1041">
        <v>51.8</v>
      </c>
      <c r="C5" s="1041">
        <v>50.9</v>
      </c>
      <c r="D5" s="1041">
        <v>49.3</v>
      </c>
      <c r="E5" s="1041">
        <v>46.5</v>
      </c>
      <c r="F5" s="1041">
        <v>44.9</v>
      </c>
      <c r="G5" s="1041">
        <v>43.3</v>
      </c>
    </row>
    <row r="6" spans="1:11" x14ac:dyDescent="0.2">
      <c r="A6" s="961" t="s">
        <v>1004</v>
      </c>
      <c r="B6" s="1041">
        <v>51.772784829816899</v>
      </c>
      <c r="C6" s="1041">
        <v>50.947662603557362</v>
      </c>
      <c r="D6" s="1041">
        <v>48.679657950939628</v>
      </c>
      <c r="E6" s="1041">
        <v>47.261309400574113</v>
      </c>
      <c r="F6" s="1041">
        <v>45.989684811323947</v>
      </c>
      <c r="G6" s="1041">
        <v>44.815110238301905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DFFF-8799-431F-BACE-546BA6AB75EC}">
  <sheetPr codeName="Sheet29">
    <pageSetUpPr fitToPage="1"/>
  </sheetPr>
  <dimension ref="A1:T36"/>
  <sheetViews>
    <sheetView showGridLines="0" topLeftCell="B1" zoomScaleNormal="100" workbookViewId="0">
      <selection activeCell="E1" sqref="E1"/>
    </sheetView>
  </sheetViews>
  <sheetFormatPr defaultRowHeight="15" x14ac:dyDescent="0.25"/>
  <cols>
    <col min="1" max="1" width="47" style="2" customWidth="1"/>
    <col min="2" max="3" width="8.42578125" style="2" customWidth="1"/>
    <col min="4" max="4" width="5.28515625" style="2" customWidth="1"/>
    <col min="5" max="7" width="9.140625" style="2"/>
    <col min="8" max="8" width="44.28515625" style="2" customWidth="1"/>
    <col min="9" max="16384" width="9.140625" style="2"/>
  </cols>
  <sheetData>
    <row r="1" spans="1:20" x14ac:dyDescent="0.25">
      <c r="A1" s="1" t="s">
        <v>30</v>
      </c>
      <c r="E1" s="15" t="s">
        <v>29</v>
      </c>
    </row>
    <row r="2" spans="1:20" x14ac:dyDescent="0.25">
      <c r="A2" s="5"/>
      <c r="B2" s="6" t="s">
        <v>0</v>
      </c>
      <c r="C2" s="6" t="s">
        <v>10</v>
      </c>
      <c r="D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"/>
    </row>
    <row r="3" spans="1:20" x14ac:dyDescent="0.25">
      <c r="A3" s="17" t="s">
        <v>11</v>
      </c>
      <c r="B3" s="18">
        <f>SUM(B4:B8)</f>
        <v>-1656.0135</v>
      </c>
      <c r="C3" s="19">
        <f>B3/$C$21*100</f>
        <v>-1.7118674802256137</v>
      </c>
      <c r="D3" s="14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6"/>
    </row>
    <row r="4" spans="1:20" x14ac:dyDescent="0.25">
      <c r="A4" s="20" t="s">
        <v>12</v>
      </c>
      <c r="B4" s="21">
        <v>-424.79357700000003</v>
      </c>
      <c r="C4" s="22">
        <f t="shared" ref="C4:C19" si="0">B4/$C$21*100</f>
        <v>-0.43912100370861418</v>
      </c>
      <c r="D4" s="23"/>
      <c r="E4" s="14"/>
      <c r="F4" s="1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6"/>
    </row>
    <row r="5" spans="1:20" x14ac:dyDescent="0.25">
      <c r="A5" s="20" t="s">
        <v>13</v>
      </c>
      <c r="B5" s="21">
        <v>-397.85869399999996</v>
      </c>
      <c r="C5" s="22">
        <f t="shared" si="0"/>
        <v>-0.4112776616758459</v>
      </c>
      <c r="D5" s="2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6"/>
    </row>
    <row r="6" spans="1:20" x14ac:dyDescent="0.25">
      <c r="A6" s="20" t="s">
        <v>14</v>
      </c>
      <c r="B6" s="21">
        <v>-390.40199999999999</v>
      </c>
      <c r="C6" s="22">
        <f t="shared" si="0"/>
        <v>-0.40356946849469516</v>
      </c>
      <c r="D6" s="2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6"/>
    </row>
    <row r="7" spans="1:20" x14ac:dyDescent="0.25">
      <c r="A7" s="20" t="s">
        <v>15</v>
      </c>
      <c r="B7" s="21">
        <v>-354.95922899999999</v>
      </c>
      <c r="C7" s="22">
        <f t="shared" si="0"/>
        <v>-0.3669312846369045</v>
      </c>
      <c r="D7" s="2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6"/>
    </row>
    <row r="8" spans="1:20" x14ac:dyDescent="0.25">
      <c r="A8" s="20" t="s">
        <v>16</v>
      </c>
      <c r="B8" s="21">
        <v>-88</v>
      </c>
      <c r="C8" s="22">
        <f t="shared" si="0"/>
        <v>-9.0968061709553696E-2</v>
      </c>
      <c r="D8" s="2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6"/>
    </row>
    <row r="9" spans="1:20" x14ac:dyDescent="0.25">
      <c r="A9" s="17" t="s">
        <v>7</v>
      </c>
      <c r="B9" s="18">
        <f>-(B19+B18+B14+B10+B3)</f>
        <v>80.84608500000013</v>
      </c>
      <c r="C9" s="19">
        <f t="shared" si="0"/>
        <v>8.357285965063449E-2</v>
      </c>
      <c r="D9" s="2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6"/>
    </row>
    <row r="10" spans="1:20" x14ac:dyDescent="0.25">
      <c r="A10" s="17" t="s">
        <v>17</v>
      </c>
      <c r="B10" s="18">
        <f>SUM(B11:B13)</f>
        <v>-224.37694500000001</v>
      </c>
      <c r="C10" s="19">
        <f t="shared" si="0"/>
        <v>-0.23194472476092196</v>
      </c>
      <c r="D10" s="2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6"/>
    </row>
    <row r="11" spans="1:20" x14ac:dyDescent="0.25">
      <c r="A11" s="20" t="s">
        <v>18</v>
      </c>
      <c r="B11" s="21">
        <v>-150.84077300000001</v>
      </c>
      <c r="C11" s="22">
        <f t="shared" si="0"/>
        <v>-0.1559283266656907</v>
      </c>
      <c r="D11" s="2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6"/>
    </row>
    <row r="12" spans="1:20" x14ac:dyDescent="0.25">
      <c r="A12" s="20" t="s">
        <v>19</v>
      </c>
      <c r="B12" s="21">
        <v>-41.607560999999997</v>
      </c>
      <c r="C12" s="22">
        <f t="shared" si="0"/>
        <v>-4.3010899734454759E-2</v>
      </c>
      <c r="D12" s="2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6"/>
    </row>
    <row r="13" spans="1:20" x14ac:dyDescent="0.25">
      <c r="A13" s="20" t="s">
        <v>20</v>
      </c>
      <c r="B13" s="21">
        <v>-31.928611</v>
      </c>
      <c r="C13" s="22">
        <f t="shared" si="0"/>
        <v>-3.3005498360776528E-2</v>
      </c>
      <c r="D13" s="2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6"/>
    </row>
    <row r="14" spans="1:20" x14ac:dyDescent="0.25">
      <c r="A14" s="17" t="s">
        <v>21</v>
      </c>
      <c r="B14" s="18">
        <f>SUM(B15:B17)</f>
        <v>1386.3461802275719</v>
      </c>
      <c r="C14" s="19">
        <f t="shared" si="0"/>
        <v>1.4331048281107479</v>
      </c>
      <c r="D14" s="2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6"/>
    </row>
    <row r="15" spans="1:20" x14ac:dyDescent="0.25">
      <c r="A15" s="20" t="s">
        <v>22</v>
      </c>
      <c r="B15" s="21">
        <v>331.08757700000001</v>
      </c>
      <c r="C15" s="22">
        <f t="shared" si="0"/>
        <v>0.3422544901795751</v>
      </c>
      <c r="D15" s="2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6"/>
    </row>
    <row r="16" spans="1:20" x14ac:dyDescent="0.25">
      <c r="A16" s="20" t="s">
        <v>23</v>
      </c>
      <c r="B16" s="21">
        <v>1055.2586032275719</v>
      </c>
      <c r="C16" s="22">
        <f t="shared" si="0"/>
        <v>1.0908503379311727</v>
      </c>
      <c r="D16" s="2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6"/>
    </row>
    <row r="17" spans="1:20" x14ac:dyDescent="0.25">
      <c r="A17" s="20"/>
      <c r="B17" s="21"/>
      <c r="C17" s="22"/>
      <c r="D17" s="2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6"/>
    </row>
    <row r="18" spans="1:20" x14ac:dyDescent="0.25">
      <c r="A18" s="17" t="s">
        <v>24</v>
      </c>
      <c r="B18" s="18">
        <v>165.56443877242796</v>
      </c>
      <c r="C18" s="19">
        <f t="shared" si="0"/>
        <v>0.17114859185406647</v>
      </c>
      <c r="D18" s="2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6"/>
    </row>
    <row r="19" spans="1:20" x14ac:dyDescent="0.25">
      <c r="A19" s="17" t="s">
        <v>25</v>
      </c>
      <c r="B19" s="18">
        <v>247.63374100000004</v>
      </c>
      <c r="C19" s="19">
        <f t="shared" si="0"/>
        <v>0.25598592537108683</v>
      </c>
      <c r="D19" s="2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6"/>
    </row>
    <row r="20" spans="1:20" x14ac:dyDescent="0.25">
      <c r="A20" s="24"/>
      <c r="D20" s="2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6"/>
    </row>
    <row r="21" spans="1:20" x14ac:dyDescent="0.25">
      <c r="A21" s="25" t="s">
        <v>26</v>
      </c>
      <c r="C21" s="21">
        <v>96737.248597172234</v>
      </c>
      <c r="D21" s="2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6"/>
    </row>
    <row r="22" spans="1:20" x14ac:dyDescent="0.25">
      <c r="D22" s="2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6"/>
    </row>
    <row r="23" spans="1:20" x14ac:dyDescent="0.25">
      <c r="D23" s="2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6"/>
    </row>
    <row r="24" spans="1:20" x14ac:dyDescent="0.25">
      <c r="D24" s="2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6"/>
    </row>
    <row r="25" spans="1:20" x14ac:dyDescent="0.25">
      <c r="D25" s="2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</row>
    <row r="26" spans="1:20" ht="15" customHeight="1" x14ac:dyDescent="0.25">
      <c r="A26" s="25"/>
      <c r="D26" s="2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6"/>
    </row>
    <row r="27" spans="1:20" ht="15" customHeight="1" x14ac:dyDescent="0.25">
      <c r="A27" s="2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</row>
    <row r="28" spans="1:20" ht="15" customHeight="1" x14ac:dyDescent="0.25">
      <c r="A28" s="2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6"/>
    </row>
    <row r="29" spans="1:20" ht="15" customHeight="1" x14ac:dyDescent="0.25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</row>
    <row r="30" spans="1:20" x14ac:dyDescent="0.25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</row>
    <row r="31" spans="1:20" x14ac:dyDescent="0.25">
      <c r="D31" s="14"/>
      <c r="E31" s="2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6"/>
    </row>
    <row r="32" spans="1:20" x14ac:dyDescent="0.25">
      <c r="E32" s="27"/>
    </row>
    <row r="33" spans="4:5" x14ac:dyDescent="0.25">
      <c r="E33" s="28"/>
    </row>
    <row r="34" spans="4:5" x14ac:dyDescent="0.25">
      <c r="D34" s="29"/>
    </row>
    <row r="35" spans="4:5" x14ac:dyDescent="0.25">
      <c r="D35" s="29"/>
    </row>
    <row r="36" spans="4:5" x14ac:dyDescent="0.25">
      <c r="D36" s="29"/>
    </row>
  </sheetData>
  <pageMargins left="0.7" right="0.7" top="0.75" bottom="0.75" header="0.3" footer="0.3"/>
  <pageSetup paperSize="9" scale="35" orientation="portrait" verticalDpi="3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9109-40A3-4AD3-ABCE-87B0A49B4492}">
  <sheetPr codeName="Sheet30"/>
  <dimension ref="A1:D11"/>
  <sheetViews>
    <sheetView showGridLines="0" workbookViewId="0">
      <selection activeCell="D1" sqref="D1"/>
    </sheetView>
  </sheetViews>
  <sheetFormatPr defaultRowHeight="15" x14ac:dyDescent="0.25"/>
  <cols>
    <col min="1" max="1" width="51.5703125" style="3" customWidth="1"/>
    <col min="2" max="2" width="10.5703125" style="3" customWidth="1"/>
    <col min="3" max="16384" width="9.140625" style="3"/>
  </cols>
  <sheetData>
    <row r="1" spans="1:4" x14ac:dyDescent="0.25">
      <c r="A1" s="1" t="s">
        <v>28</v>
      </c>
      <c r="B1" s="2"/>
      <c r="D1" s="4" t="s">
        <v>27</v>
      </c>
    </row>
    <row r="2" spans="1:4" x14ac:dyDescent="0.25">
      <c r="A2" s="5"/>
      <c r="B2" s="6" t="s">
        <v>0</v>
      </c>
      <c r="C2" s="7"/>
    </row>
    <row r="3" spans="1:4" x14ac:dyDescent="0.25">
      <c r="A3" s="8" t="s">
        <v>1</v>
      </c>
      <c r="B3" s="9">
        <v>264.85129599999999</v>
      </c>
      <c r="C3" s="7"/>
    </row>
    <row r="4" spans="1:4" x14ac:dyDescent="0.25">
      <c r="A4" s="8" t="s">
        <v>2</v>
      </c>
      <c r="B4" s="9">
        <v>30.134229999999999</v>
      </c>
      <c r="C4" s="7"/>
    </row>
    <row r="5" spans="1:4" x14ac:dyDescent="0.25">
      <c r="A5" s="8" t="s">
        <v>3</v>
      </c>
      <c r="B5" s="10">
        <v>25.266300000000001</v>
      </c>
      <c r="C5" s="7"/>
    </row>
    <row r="6" spans="1:4" x14ac:dyDescent="0.25">
      <c r="A6" s="8" t="s">
        <v>4</v>
      </c>
      <c r="B6" s="10">
        <v>18.606000000000002</v>
      </c>
      <c r="C6" s="7"/>
    </row>
    <row r="7" spans="1:4" x14ac:dyDescent="0.25">
      <c r="A7" s="8" t="s">
        <v>5</v>
      </c>
      <c r="B7" s="9">
        <v>9.6627340000000004</v>
      </c>
      <c r="C7" s="7"/>
    </row>
    <row r="8" spans="1:4" x14ac:dyDescent="0.25">
      <c r="A8" s="8" t="s">
        <v>6</v>
      </c>
      <c r="B8" s="9">
        <v>-12.02384</v>
      </c>
      <c r="C8" s="7"/>
    </row>
    <row r="9" spans="1:4" x14ac:dyDescent="0.25">
      <c r="A9" s="11" t="s">
        <v>7</v>
      </c>
      <c r="B9" s="12">
        <v>18.462509000000011</v>
      </c>
      <c r="C9" s="7"/>
    </row>
    <row r="10" spans="1:4" ht="33.75" customHeight="1" x14ac:dyDescent="0.25">
      <c r="A10" s="1613" t="s">
        <v>8</v>
      </c>
      <c r="B10" s="1613"/>
    </row>
    <row r="11" spans="1:4" x14ac:dyDescent="0.25">
      <c r="B11" s="13" t="s">
        <v>9</v>
      </c>
    </row>
  </sheetData>
  <mergeCells count="1">
    <mergeCell ref="A10:B10"/>
  </mergeCells>
  <pageMargins left="0.7" right="0.7" top="0.75" bottom="0.75" header="0.3" footer="0.3"/>
  <pageSetup orientation="portrait" verticalDpi="30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3032-4F9D-48BF-843A-2D605DE148FE}">
  <dimension ref="A1:G21"/>
  <sheetViews>
    <sheetView showGridLines="0" workbookViewId="0"/>
  </sheetViews>
  <sheetFormatPr defaultRowHeight="12.75" x14ac:dyDescent="0.2"/>
  <cols>
    <col min="1" max="1" width="6" style="1432" bestFit="1" customWidth="1"/>
    <col min="2" max="5" width="12.7109375" style="1432" customWidth="1"/>
    <col min="6" max="6" width="12.7109375" style="1433" customWidth="1"/>
    <col min="7" max="7" width="9.140625" style="1433"/>
    <col min="8" max="16384" width="9.140625" style="1432"/>
  </cols>
  <sheetData>
    <row r="1" spans="1:7" x14ac:dyDescent="0.2">
      <c r="A1" s="1431" t="s">
        <v>1125</v>
      </c>
    </row>
    <row r="2" spans="1:7" ht="30" customHeight="1" x14ac:dyDescent="0.2">
      <c r="A2" s="1434"/>
      <c r="B2" s="1435" t="s">
        <v>1126</v>
      </c>
      <c r="C2" s="1435" t="s">
        <v>1127</v>
      </c>
      <c r="D2" s="1435" t="s">
        <v>1128</v>
      </c>
      <c r="E2" s="1435" t="s">
        <v>1129</v>
      </c>
      <c r="F2" s="1435" t="s">
        <v>1130</v>
      </c>
      <c r="G2" s="1436"/>
    </row>
    <row r="3" spans="1:7" x14ac:dyDescent="0.2">
      <c r="A3" s="1437">
        <v>2004</v>
      </c>
      <c r="B3" s="1438">
        <v>11.094910094247123</v>
      </c>
      <c r="C3" s="1438">
        <v>2.2428310540360088</v>
      </c>
      <c r="D3" s="1438">
        <v>6.0540739454019734</v>
      </c>
      <c r="E3" s="1439">
        <v>1.7470303226150308</v>
      </c>
      <c r="F3" s="1439">
        <v>1.0509747721941034</v>
      </c>
      <c r="G3" s="1440"/>
    </row>
    <row r="4" spans="1:7" x14ac:dyDescent="0.2">
      <c r="A4" s="1437">
        <v>2005</v>
      </c>
      <c r="B4" s="1438">
        <v>7.4762815857687466</v>
      </c>
      <c r="C4" s="1438">
        <v>1.7283128307591653</v>
      </c>
      <c r="D4" s="1438">
        <v>3.4590379343775544</v>
      </c>
      <c r="E4" s="1439">
        <v>1.5932838361165527</v>
      </c>
      <c r="F4" s="1439">
        <v>0.6956469845154748</v>
      </c>
      <c r="G4" s="1440"/>
    </row>
    <row r="5" spans="1:7" x14ac:dyDescent="0.2">
      <c r="A5" s="1437">
        <v>2006</v>
      </c>
      <c r="B5" s="1438">
        <v>10.984835814234279</v>
      </c>
      <c r="C5" s="1438">
        <v>2.9809781057131368</v>
      </c>
      <c r="D5" s="1438">
        <v>4.5510203354138712</v>
      </c>
      <c r="E5" s="1439">
        <v>2.4831496044036023</v>
      </c>
      <c r="F5" s="1439">
        <v>0.96968776870366624</v>
      </c>
      <c r="G5" s="1440"/>
    </row>
    <row r="6" spans="1:7" x14ac:dyDescent="0.2">
      <c r="A6" s="1437">
        <v>2007</v>
      </c>
      <c r="B6" s="1438">
        <v>9.2713602508439141</v>
      </c>
      <c r="C6" s="1438">
        <v>1.5362152532578401</v>
      </c>
      <c r="D6" s="1438">
        <v>4.2930743455954827</v>
      </c>
      <c r="E6" s="1439">
        <v>2.1490952398992476</v>
      </c>
      <c r="F6" s="1439">
        <v>1.2929754120913459</v>
      </c>
      <c r="G6" s="1440"/>
    </row>
    <row r="7" spans="1:7" x14ac:dyDescent="0.2">
      <c r="A7" s="1437">
        <v>2008</v>
      </c>
      <c r="B7" s="1438">
        <v>2.7121530746898843</v>
      </c>
      <c r="C7" s="1438">
        <v>0.39915430307244043</v>
      </c>
      <c r="D7" s="1438">
        <v>1.6846293678803408</v>
      </c>
      <c r="E7" s="1439">
        <v>-0.38684120066438732</v>
      </c>
      <c r="F7" s="1439">
        <v>1.0152106044014908</v>
      </c>
      <c r="G7" s="1440"/>
    </row>
    <row r="8" spans="1:7" x14ac:dyDescent="0.2">
      <c r="A8" s="1437">
        <v>2009</v>
      </c>
      <c r="B8" s="1438">
        <v>-11.992619979642399</v>
      </c>
      <c r="C8" s="1438">
        <v>-2.1044970887044427</v>
      </c>
      <c r="D8" s="1438">
        <v>-4.5043252941350342</v>
      </c>
      <c r="E8" s="1439">
        <v>-3.703324704296453</v>
      </c>
      <c r="F8" s="1439">
        <v>-1.6804728925064647</v>
      </c>
      <c r="G8" s="1440"/>
    </row>
    <row r="9" spans="1:7" x14ac:dyDescent="0.2">
      <c r="A9" s="1437">
        <v>2010</v>
      </c>
      <c r="B9" s="1438">
        <v>12.896510048877403</v>
      </c>
      <c r="C9" s="1438">
        <v>2.673232368632287</v>
      </c>
      <c r="D9" s="1438">
        <v>5.0047180061719052</v>
      </c>
      <c r="E9" s="1439">
        <v>2.8316522424885466</v>
      </c>
      <c r="F9" s="1439">
        <v>2.3869074315846657</v>
      </c>
      <c r="G9" s="1440"/>
    </row>
    <row r="10" spans="1:7" x14ac:dyDescent="0.2">
      <c r="A10" s="1437">
        <v>2011</v>
      </c>
      <c r="B10" s="1438">
        <v>6.648201568239763</v>
      </c>
      <c r="C10" s="1438">
        <v>1.5843111988126235</v>
      </c>
      <c r="D10" s="1438">
        <v>2.3766133354008141</v>
      </c>
      <c r="E10" s="1439">
        <v>0.98049246077054408</v>
      </c>
      <c r="F10" s="1439">
        <v>1.706784573255782</v>
      </c>
      <c r="G10" s="1440"/>
    </row>
    <row r="11" spans="1:7" x14ac:dyDescent="0.2">
      <c r="A11" s="1437">
        <v>2012</v>
      </c>
      <c r="B11" s="1438">
        <v>0.42396165070968522</v>
      </c>
      <c r="C11" s="1438">
        <v>8.6401648676221576E-2</v>
      </c>
      <c r="D11" s="1438">
        <v>0.19916099206630811</v>
      </c>
      <c r="E11" s="1439">
        <v>-0.39559214177769281</v>
      </c>
      <c r="F11" s="1439">
        <v>0.53399115174484824</v>
      </c>
      <c r="G11" s="1440"/>
    </row>
    <row r="12" spans="1:7" x14ac:dyDescent="0.2">
      <c r="A12" s="1437">
        <v>2013</v>
      </c>
      <c r="B12" s="1438">
        <v>2.4502193729025645</v>
      </c>
      <c r="C12" s="1438">
        <v>0.7184163309125815</v>
      </c>
      <c r="D12" s="1438">
        <v>0.53648390891300113</v>
      </c>
      <c r="E12" s="1439">
        <v>0.43629603821427454</v>
      </c>
      <c r="F12" s="1439">
        <v>0.75902309486270725</v>
      </c>
    </row>
    <row r="13" spans="1:7" x14ac:dyDescent="0.2">
      <c r="A13" s="1437">
        <v>2014</v>
      </c>
      <c r="B13" s="1438">
        <v>5.2531010956625188</v>
      </c>
      <c r="C13" s="1438">
        <v>0.88254654863667603</v>
      </c>
      <c r="D13" s="1438">
        <v>3.2492321399543047</v>
      </c>
      <c r="E13" s="1439">
        <v>1.2452933242024256</v>
      </c>
      <c r="F13" s="1439">
        <v>-0.12397091713088892</v>
      </c>
    </row>
    <row r="14" spans="1:7" x14ac:dyDescent="0.2">
      <c r="A14" s="1437">
        <v>2015</v>
      </c>
      <c r="B14" s="1438">
        <v>4.9662020947939638</v>
      </c>
      <c r="C14" s="1438">
        <v>1.3064948676787598</v>
      </c>
      <c r="D14" s="1438">
        <v>2.1203608204342492</v>
      </c>
      <c r="E14" s="1439">
        <v>1.9197053192035316</v>
      </c>
      <c r="F14" s="1439">
        <v>-0.3803589125225762</v>
      </c>
    </row>
    <row r="15" spans="1:7" x14ac:dyDescent="0.2">
      <c r="A15" s="1437">
        <v>2016</v>
      </c>
      <c r="B15" s="1438">
        <v>3.7134809856847339</v>
      </c>
      <c r="C15" s="1438">
        <v>0.97337838418632794</v>
      </c>
      <c r="D15" s="1438">
        <v>1.460833439487234</v>
      </c>
      <c r="E15" s="1439">
        <v>1.0593979900897925</v>
      </c>
      <c r="F15" s="1439">
        <v>0.21987117192137901</v>
      </c>
    </row>
    <row r="16" spans="1:7" x14ac:dyDescent="0.2">
      <c r="A16" s="1437">
        <v>2017</v>
      </c>
      <c r="B16" s="1438">
        <v>5.9416593637114419</v>
      </c>
      <c r="C16" s="1438">
        <v>1.2181801543602568</v>
      </c>
      <c r="D16" s="1438">
        <v>2.3574935571887163</v>
      </c>
      <c r="E16" s="1439">
        <v>1.5468443375828049</v>
      </c>
      <c r="F16" s="1439">
        <v>0.81914131457966322</v>
      </c>
    </row>
    <row r="17" spans="1:6" x14ac:dyDescent="0.2">
      <c r="A17" s="1437" t="s">
        <v>1131</v>
      </c>
      <c r="B17" s="1438">
        <v>4.7391058881055255</v>
      </c>
      <c r="C17" s="1438">
        <v>0.810597920842274</v>
      </c>
      <c r="D17" s="1438">
        <v>2.4095646159977964</v>
      </c>
      <c r="E17" s="1439">
        <v>1.0441935814228587</v>
      </c>
      <c r="F17" s="1439">
        <v>0.47474976984259754</v>
      </c>
    </row>
    <row r="18" spans="1:6" x14ac:dyDescent="0.2">
      <c r="A18" s="1437" t="s">
        <v>1132</v>
      </c>
      <c r="B18" s="1438">
        <v>4.8655440692775462</v>
      </c>
      <c r="C18" s="1438">
        <v>1.1512330775356292</v>
      </c>
      <c r="D18" s="1438">
        <v>2.1915141069972646</v>
      </c>
      <c r="E18" s="1439">
        <v>1.1205976653476171</v>
      </c>
      <c r="F18" s="1439">
        <v>0.40219921939703512</v>
      </c>
    </row>
    <row r="19" spans="1:6" x14ac:dyDescent="0.2">
      <c r="A19" s="1437" t="s">
        <v>1133</v>
      </c>
      <c r="B19" s="1438">
        <v>4.5445615536316808</v>
      </c>
      <c r="C19" s="1438">
        <v>1.1831974482544525</v>
      </c>
      <c r="D19" s="1438">
        <v>1.926993824991019</v>
      </c>
      <c r="E19" s="1439">
        <v>1.0382395091963419</v>
      </c>
      <c r="F19" s="1439">
        <v>0.39613077118986662</v>
      </c>
    </row>
    <row r="20" spans="1:6" x14ac:dyDescent="0.2">
      <c r="A20" s="1437" t="s">
        <v>1134</v>
      </c>
      <c r="B20" s="1441">
        <v>4.2841671436678181</v>
      </c>
      <c r="C20" s="1441">
        <v>1.1598368423770518</v>
      </c>
      <c r="D20" s="1441">
        <v>1.7826912978094986</v>
      </c>
      <c r="E20" s="1441">
        <v>0.96375622093466273</v>
      </c>
      <c r="F20" s="1441">
        <v>0.37788278254660457</v>
      </c>
    </row>
    <row r="21" spans="1:6" x14ac:dyDescent="0.2">
      <c r="F21" s="1442" t="s">
        <v>1135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A5D5-0214-4FA2-B1BF-B9994B663152}">
  <sheetPr>
    <pageSetUpPr fitToPage="1"/>
  </sheetPr>
  <dimension ref="A1:I15"/>
  <sheetViews>
    <sheetView showGridLines="0" zoomScaleNormal="100" workbookViewId="0"/>
  </sheetViews>
  <sheetFormatPr defaultRowHeight="12" x14ac:dyDescent="0.2"/>
  <cols>
    <col min="1" max="1" width="31.140625" style="1383" customWidth="1"/>
    <col min="2" max="4" width="7.28515625" style="1383" customWidth="1"/>
    <col min="5" max="236" width="9.140625" style="1383"/>
    <col min="237" max="237" width="18.140625" style="1383" customWidth="1"/>
    <col min="238" max="492" width="9.140625" style="1383"/>
    <col min="493" max="493" width="18.140625" style="1383" customWidth="1"/>
    <col min="494" max="748" width="9.140625" style="1383"/>
    <col min="749" max="749" width="18.140625" style="1383" customWidth="1"/>
    <col min="750" max="1004" width="9.140625" style="1383"/>
    <col min="1005" max="1005" width="18.140625" style="1383" customWidth="1"/>
    <col min="1006" max="1260" width="9.140625" style="1383"/>
    <col min="1261" max="1261" width="18.140625" style="1383" customWidth="1"/>
    <col min="1262" max="1516" width="9.140625" style="1383"/>
    <col min="1517" max="1517" width="18.140625" style="1383" customWidth="1"/>
    <col min="1518" max="1772" width="9.140625" style="1383"/>
    <col min="1773" max="1773" width="18.140625" style="1383" customWidth="1"/>
    <col min="1774" max="2028" width="9.140625" style="1383"/>
    <col min="2029" max="2029" width="18.140625" style="1383" customWidth="1"/>
    <col min="2030" max="2284" width="9.140625" style="1383"/>
    <col min="2285" max="2285" width="18.140625" style="1383" customWidth="1"/>
    <col min="2286" max="2540" width="9.140625" style="1383"/>
    <col min="2541" max="2541" width="18.140625" style="1383" customWidth="1"/>
    <col min="2542" max="2796" width="9.140625" style="1383"/>
    <col min="2797" max="2797" width="18.140625" style="1383" customWidth="1"/>
    <col min="2798" max="3052" width="9.140625" style="1383"/>
    <col min="3053" max="3053" width="18.140625" style="1383" customWidth="1"/>
    <col min="3054" max="3308" width="9.140625" style="1383"/>
    <col min="3309" max="3309" width="18.140625" style="1383" customWidth="1"/>
    <col min="3310" max="3564" width="9.140625" style="1383"/>
    <col min="3565" max="3565" width="18.140625" style="1383" customWidth="1"/>
    <col min="3566" max="3820" width="9.140625" style="1383"/>
    <col min="3821" max="3821" width="18.140625" style="1383" customWidth="1"/>
    <col min="3822" max="4076" width="9.140625" style="1383"/>
    <col min="4077" max="4077" width="18.140625" style="1383" customWidth="1"/>
    <col min="4078" max="4332" width="9.140625" style="1383"/>
    <col min="4333" max="4333" width="18.140625" style="1383" customWidth="1"/>
    <col min="4334" max="4588" width="9.140625" style="1383"/>
    <col min="4589" max="4589" width="18.140625" style="1383" customWidth="1"/>
    <col min="4590" max="4844" width="9.140625" style="1383"/>
    <col min="4845" max="4845" width="18.140625" style="1383" customWidth="1"/>
    <col min="4846" max="5100" width="9.140625" style="1383"/>
    <col min="5101" max="5101" width="18.140625" style="1383" customWidth="1"/>
    <col min="5102" max="5356" width="9.140625" style="1383"/>
    <col min="5357" max="5357" width="18.140625" style="1383" customWidth="1"/>
    <col min="5358" max="5612" width="9.140625" style="1383"/>
    <col min="5613" max="5613" width="18.140625" style="1383" customWidth="1"/>
    <col min="5614" max="5868" width="9.140625" style="1383"/>
    <col min="5869" max="5869" width="18.140625" style="1383" customWidth="1"/>
    <col min="5870" max="6124" width="9.140625" style="1383"/>
    <col min="6125" max="6125" width="18.140625" style="1383" customWidth="1"/>
    <col min="6126" max="6380" width="9.140625" style="1383"/>
    <col min="6381" max="6381" width="18.140625" style="1383" customWidth="1"/>
    <col min="6382" max="6636" width="9.140625" style="1383"/>
    <col min="6637" max="6637" width="18.140625" style="1383" customWidth="1"/>
    <col min="6638" max="6892" width="9.140625" style="1383"/>
    <col min="6893" max="6893" width="18.140625" style="1383" customWidth="1"/>
    <col min="6894" max="7148" width="9.140625" style="1383"/>
    <col min="7149" max="7149" width="18.140625" style="1383" customWidth="1"/>
    <col min="7150" max="7404" width="9.140625" style="1383"/>
    <col min="7405" max="7405" width="18.140625" style="1383" customWidth="1"/>
    <col min="7406" max="7660" width="9.140625" style="1383"/>
    <col min="7661" max="7661" width="18.140625" style="1383" customWidth="1"/>
    <col min="7662" max="7916" width="9.140625" style="1383"/>
    <col min="7917" max="7917" width="18.140625" style="1383" customWidth="1"/>
    <col min="7918" max="8172" width="9.140625" style="1383"/>
    <col min="8173" max="8173" width="18.140625" style="1383" customWidth="1"/>
    <col min="8174" max="8428" width="9.140625" style="1383"/>
    <col min="8429" max="8429" width="18.140625" style="1383" customWidth="1"/>
    <col min="8430" max="8684" width="9.140625" style="1383"/>
    <col min="8685" max="8685" width="18.140625" style="1383" customWidth="1"/>
    <col min="8686" max="8940" width="9.140625" style="1383"/>
    <col min="8941" max="8941" width="18.140625" style="1383" customWidth="1"/>
    <col min="8942" max="9196" width="9.140625" style="1383"/>
    <col min="9197" max="9197" width="18.140625" style="1383" customWidth="1"/>
    <col min="9198" max="9452" width="9.140625" style="1383"/>
    <col min="9453" max="9453" width="18.140625" style="1383" customWidth="1"/>
    <col min="9454" max="9708" width="9.140625" style="1383"/>
    <col min="9709" max="9709" width="18.140625" style="1383" customWidth="1"/>
    <col min="9710" max="9964" width="9.140625" style="1383"/>
    <col min="9965" max="9965" width="18.140625" style="1383" customWidth="1"/>
    <col min="9966" max="10220" width="9.140625" style="1383"/>
    <col min="10221" max="10221" width="18.140625" style="1383" customWidth="1"/>
    <col min="10222" max="10476" width="9.140625" style="1383"/>
    <col min="10477" max="10477" width="18.140625" style="1383" customWidth="1"/>
    <col min="10478" max="10732" width="9.140625" style="1383"/>
    <col min="10733" max="10733" width="18.140625" style="1383" customWidth="1"/>
    <col min="10734" max="10988" width="9.140625" style="1383"/>
    <col min="10989" max="10989" width="18.140625" style="1383" customWidth="1"/>
    <col min="10990" max="11244" width="9.140625" style="1383"/>
    <col min="11245" max="11245" width="18.140625" style="1383" customWidth="1"/>
    <col min="11246" max="11500" width="9.140625" style="1383"/>
    <col min="11501" max="11501" width="18.140625" style="1383" customWidth="1"/>
    <col min="11502" max="11756" width="9.140625" style="1383"/>
    <col min="11757" max="11757" width="18.140625" style="1383" customWidth="1"/>
    <col min="11758" max="12012" width="9.140625" style="1383"/>
    <col min="12013" max="12013" width="18.140625" style="1383" customWidth="1"/>
    <col min="12014" max="12268" width="9.140625" style="1383"/>
    <col min="12269" max="12269" width="18.140625" style="1383" customWidth="1"/>
    <col min="12270" max="12524" width="9.140625" style="1383"/>
    <col min="12525" max="12525" width="18.140625" style="1383" customWidth="1"/>
    <col min="12526" max="12780" width="9.140625" style="1383"/>
    <col min="12781" max="12781" width="18.140625" style="1383" customWidth="1"/>
    <col min="12782" max="13036" width="9.140625" style="1383"/>
    <col min="13037" max="13037" width="18.140625" style="1383" customWidth="1"/>
    <col min="13038" max="13292" width="9.140625" style="1383"/>
    <col min="13293" max="13293" width="18.140625" style="1383" customWidth="1"/>
    <col min="13294" max="13548" width="9.140625" style="1383"/>
    <col min="13549" max="13549" width="18.140625" style="1383" customWidth="1"/>
    <col min="13550" max="13804" width="9.140625" style="1383"/>
    <col min="13805" max="13805" width="18.140625" style="1383" customWidth="1"/>
    <col min="13806" max="14060" width="9.140625" style="1383"/>
    <col min="14061" max="14061" width="18.140625" style="1383" customWidth="1"/>
    <col min="14062" max="14316" width="9.140625" style="1383"/>
    <col min="14317" max="14317" width="18.140625" style="1383" customWidth="1"/>
    <col min="14318" max="14572" width="9.140625" style="1383"/>
    <col min="14573" max="14573" width="18.140625" style="1383" customWidth="1"/>
    <col min="14574" max="14828" width="9.140625" style="1383"/>
    <col min="14829" max="14829" width="18.140625" style="1383" customWidth="1"/>
    <col min="14830" max="15084" width="9.140625" style="1383"/>
    <col min="15085" max="15085" width="18.140625" style="1383" customWidth="1"/>
    <col min="15086" max="15340" width="9.140625" style="1383"/>
    <col min="15341" max="15341" width="18.140625" style="1383" customWidth="1"/>
    <col min="15342" max="15596" width="9.140625" style="1383"/>
    <col min="15597" max="15597" width="18.140625" style="1383" customWidth="1"/>
    <col min="15598" max="15852" width="9.140625" style="1383"/>
    <col min="15853" max="15853" width="18.140625" style="1383" customWidth="1"/>
    <col min="15854" max="16108" width="9.140625" style="1383"/>
    <col min="16109" max="16109" width="18.140625" style="1383" customWidth="1"/>
    <col min="16110" max="16384" width="9.140625" style="1383"/>
  </cols>
  <sheetData>
    <row r="1" spans="1:9" ht="12.75" x14ac:dyDescent="0.2">
      <c r="A1" s="1431" t="s">
        <v>1136</v>
      </c>
    </row>
    <row r="2" spans="1:9" ht="12.75" x14ac:dyDescent="0.2">
      <c r="A2" s="1434"/>
      <c r="B2" s="1437">
        <v>2016</v>
      </c>
      <c r="C2" s="1437">
        <v>2017</v>
      </c>
      <c r="D2" s="1437">
        <v>2018</v>
      </c>
      <c r="E2" s="1437">
        <v>2019</v>
      </c>
      <c r="F2" s="1437">
        <v>2020</v>
      </c>
      <c r="G2" s="1437">
        <v>2021</v>
      </c>
      <c r="H2" s="1437">
        <v>2022</v>
      </c>
      <c r="I2" s="1437">
        <v>2023</v>
      </c>
    </row>
    <row r="3" spans="1:9" ht="12.75" x14ac:dyDescent="0.2">
      <c r="A3" s="1443" t="s">
        <v>1137</v>
      </c>
      <c r="B3" s="1444">
        <v>-1.218</v>
      </c>
      <c r="C3" s="1444">
        <v>-0.221</v>
      </c>
      <c r="D3" s="1444">
        <v>0.31</v>
      </c>
      <c r="E3" s="1444">
        <v>0.623</v>
      </c>
      <c r="F3" s="1444">
        <v>0.66100000000000003</v>
      </c>
      <c r="G3" s="1444">
        <v>0.64100000000000001</v>
      </c>
      <c r="H3" s="1444">
        <v>0.53200000000000003</v>
      </c>
      <c r="I3" s="1444">
        <v>0.41399999999999998</v>
      </c>
    </row>
    <row r="4" spans="1:9" ht="12.75" x14ac:dyDescent="0.2">
      <c r="A4" s="1445" t="s">
        <v>1138</v>
      </c>
      <c r="B4" s="1444">
        <v>-0.16700000000000001</v>
      </c>
      <c r="C4" s="1444">
        <v>0.23300000000000001</v>
      </c>
      <c r="D4" s="1444">
        <v>1.095</v>
      </c>
      <c r="E4" s="1444">
        <v>1.607</v>
      </c>
      <c r="F4" s="1444">
        <v>1.5189999999999999</v>
      </c>
      <c r="G4" s="1444">
        <v>1.4450000000000001</v>
      </c>
      <c r="H4" s="1444">
        <v>1.202</v>
      </c>
      <c r="I4" s="1444">
        <v>0.874</v>
      </c>
    </row>
    <row r="5" spans="1:9" ht="12.75" x14ac:dyDescent="0.2">
      <c r="A5" s="1445" t="s">
        <v>1127</v>
      </c>
      <c r="B5" s="1444">
        <v>0.2</v>
      </c>
      <c r="C5" s="1444">
        <v>0.9</v>
      </c>
      <c r="D5" s="1444">
        <v>1.2</v>
      </c>
      <c r="E5" s="1444">
        <v>1.42</v>
      </c>
      <c r="F5" s="1444">
        <v>1.27</v>
      </c>
      <c r="G5" s="1444">
        <v>1.17</v>
      </c>
      <c r="H5" s="1444">
        <v>0.91</v>
      </c>
      <c r="I5" s="1444">
        <v>0.72</v>
      </c>
    </row>
    <row r="6" spans="1:9" ht="12.75" x14ac:dyDescent="0.2">
      <c r="A6" s="1445" t="s">
        <v>1139</v>
      </c>
      <c r="B6" s="1444">
        <v>-0.11443656117859048</v>
      </c>
      <c r="C6" s="1444">
        <v>0.13851173470652545</v>
      </c>
      <c r="D6" s="1444">
        <v>0.55284119144566346</v>
      </c>
      <c r="E6" s="1444">
        <v>1.2066913895963918</v>
      </c>
      <c r="F6" s="1444">
        <v>1.2809644075061895</v>
      </c>
      <c r="G6" s="1444">
        <v>1.2345563159508914</v>
      </c>
      <c r="H6" s="1444"/>
      <c r="I6" s="1444"/>
    </row>
    <row r="7" spans="1:9" ht="12.75" x14ac:dyDescent="0.2">
      <c r="A7" s="1446" t="s">
        <v>1140</v>
      </c>
      <c r="B7" s="1447">
        <v>-0.42700494614284423</v>
      </c>
      <c r="C7" s="1447">
        <v>-0.21541473656678534</v>
      </c>
      <c r="D7" s="1447">
        <v>0.68603339519437156</v>
      </c>
      <c r="E7" s="1447">
        <v>1.1234505034013296</v>
      </c>
      <c r="F7" s="1447">
        <v>1.6170572016409608</v>
      </c>
      <c r="G7" s="1447">
        <v>1.3846824549169412</v>
      </c>
      <c r="H7" s="1447"/>
      <c r="I7" s="1447"/>
    </row>
    <row r="8" spans="1:9" x14ac:dyDescent="0.2">
      <c r="A8" s="1448"/>
      <c r="D8" s="1442"/>
      <c r="E8" s="1442"/>
      <c r="I8" s="1442" t="s">
        <v>1141</v>
      </c>
    </row>
    <row r="11" spans="1:9" x14ac:dyDescent="0.2">
      <c r="B11" s="1449"/>
      <c r="C11" s="1449"/>
      <c r="D11" s="1449"/>
    </row>
    <row r="12" spans="1:9" x14ac:dyDescent="0.2">
      <c r="B12" s="1449"/>
      <c r="C12" s="1449"/>
      <c r="D12" s="1449"/>
    </row>
    <row r="15" spans="1:9" x14ac:dyDescent="0.2">
      <c r="B15" s="1449"/>
      <c r="C15" s="1449"/>
      <c r="D15" s="1449"/>
    </row>
  </sheetData>
  <pageMargins left="0.25" right="0.25" top="0.75" bottom="0.75" header="0.3" footer="0.3"/>
  <pageSetup scale="46" fitToHeight="0" orientation="portrait" horizontalDpi="4294967294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9F91-46BC-4DC4-A2FA-543CD2BDFF1E}">
  <dimension ref="A1:H7"/>
  <sheetViews>
    <sheetView showGridLines="0" zoomScale="90" zoomScaleNormal="90" workbookViewId="0"/>
  </sheetViews>
  <sheetFormatPr defaultRowHeight="15" x14ac:dyDescent="0.25"/>
  <cols>
    <col min="1" max="1" width="30.85546875" style="1414" customWidth="1"/>
    <col min="2" max="16384" width="9.140625" style="1414"/>
  </cols>
  <sheetData>
    <row r="1" spans="1:8" x14ac:dyDescent="0.25">
      <c r="A1" s="1431" t="s">
        <v>1142</v>
      </c>
    </row>
    <row r="2" spans="1:8" x14ac:dyDescent="0.25">
      <c r="A2" s="1434"/>
      <c r="B2" s="1437">
        <v>2015</v>
      </c>
      <c r="C2" s="1437">
        <v>2016</v>
      </c>
      <c r="D2" s="1437">
        <v>2017</v>
      </c>
      <c r="E2" s="1437">
        <v>2018</v>
      </c>
      <c r="F2" s="1437">
        <v>2019</v>
      </c>
      <c r="G2" s="1437">
        <v>2020</v>
      </c>
      <c r="H2" s="1437">
        <v>2021</v>
      </c>
    </row>
    <row r="3" spans="1:8" x14ac:dyDescent="0.25">
      <c r="A3" s="1450" t="s">
        <v>1143</v>
      </c>
      <c r="B3" s="1451">
        <v>4.1749538069708339E-2</v>
      </c>
      <c r="C3" s="1451">
        <v>3.1253624557722334E-2</v>
      </c>
      <c r="D3" s="1451">
        <v>3.1883556147536324E-2</v>
      </c>
      <c r="E3" s="1451">
        <v>4.0747365700230409E-2</v>
      </c>
      <c r="F3" s="1451">
        <v>4.4995126620853032E-2</v>
      </c>
      <c r="G3" s="1451">
        <v>3.9148883673591151E-2</v>
      </c>
      <c r="H3" s="1451">
        <v>3.3252780949083238E-2</v>
      </c>
    </row>
    <row r="4" spans="1:8" x14ac:dyDescent="0.25">
      <c r="A4" s="1450" t="s">
        <v>1104</v>
      </c>
      <c r="B4" s="1451">
        <v>4.6365446935375899E-2</v>
      </c>
      <c r="C4" s="1451">
        <v>-2.3224536871118855E-2</v>
      </c>
      <c r="D4" s="1451">
        <v>7.4319141380761256E-3</v>
      </c>
      <c r="E4" s="1451">
        <v>2.0707320065827713E-2</v>
      </c>
      <c r="F4" s="1451">
        <v>7.0397639075956845E-3</v>
      </c>
      <c r="G4" s="1451">
        <v>6.7959105934527189E-3</v>
      </c>
      <c r="H4" s="1451">
        <v>6.6810708551263568E-3</v>
      </c>
    </row>
    <row r="5" spans="1:8" x14ac:dyDescent="0.25">
      <c r="A5" s="1450" t="s">
        <v>1144</v>
      </c>
      <c r="B5" s="1451">
        <v>-1.4762762648608527E-2</v>
      </c>
      <c r="C5" s="1451">
        <v>2.1742785093863751E-2</v>
      </c>
      <c r="D5" s="1451">
        <v>9.2200723603815642E-3</v>
      </c>
      <c r="E5" s="1451">
        <v>6.4495182217658258E-3</v>
      </c>
      <c r="F5" s="1451">
        <v>1.7333830794355624E-2</v>
      </c>
      <c r="G5" s="1451">
        <v>1.5186874846274932E-2</v>
      </c>
      <c r="H5" s="1451">
        <v>1.2424721366319247E-2</v>
      </c>
    </row>
    <row r="6" spans="1:8" x14ac:dyDescent="0.25">
      <c r="A6" s="1446" t="s">
        <v>1145</v>
      </c>
      <c r="B6" s="1452">
        <v>4.1749538069708339E-2</v>
      </c>
      <c r="C6" s="1452">
        <v>2.8537736856035487E-2</v>
      </c>
      <c r="D6" s="1452">
        <v>3.1571224195573316E-2</v>
      </c>
      <c r="E6" s="1452">
        <v>3.5200648507352494E-2</v>
      </c>
      <c r="F6" s="1452">
        <v>4.0675944980987033E-2</v>
      </c>
      <c r="G6" s="1452">
        <v>3.4148883673591153E-2</v>
      </c>
      <c r="H6" s="1452">
        <v>2.9252780949083238E-2</v>
      </c>
    </row>
    <row r="7" spans="1:8" x14ac:dyDescent="0.25">
      <c r="G7" s="1442"/>
      <c r="H7" s="1442" t="s">
        <v>89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35ECA-D088-40D4-B6B7-529830F42366}">
  <dimension ref="A1:M5"/>
  <sheetViews>
    <sheetView showGridLines="0" zoomScale="90" zoomScaleNormal="90" workbookViewId="0"/>
  </sheetViews>
  <sheetFormatPr defaultRowHeight="15" x14ac:dyDescent="0.25"/>
  <cols>
    <col min="1" max="1" width="30.85546875" style="1414" customWidth="1"/>
    <col min="2" max="16384" width="9.140625" style="1414"/>
  </cols>
  <sheetData>
    <row r="1" spans="1:13" x14ac:dyDescent="0.25">
      <c r="A1" s="1431" t="s">
        <v>1146</v>
      </c>
    </row>
    <row r="2" spans="1:13" x14ac:dyDescent="0.25">
      <c r="A2" s="1434"/>
      <c r="B2" s="1437">
        <v>2010</v>
      </c>
      <c r="C2" s="1437">
        <v>2011</v>
      </c>
      <c r="D2" s="1437">
        <v>2012</v>
      </c>
      <c r="E2" s="1437">
        <v>2013</v>
      </c>
      <c r="F2" s="1437">
        <v>2014</v>
      </c>
      <c r="G2" s="1437">
        <v>2015</v>
      </c>
      <c r="H2" s="1437">
        <v>2016</v>
      </c>
      <c r="I2" s="1437">
        <v>2017</v>
      </c>
      <c r="J2" s="1437">
        <v>2018</v>
      </c>
      <c r="K2" s="1437">
        <v>2019</v>
      </c>
      <c r="L2" s="1437">
        <v>2020</v>
      </c>
      <c r="M2" s="1437">
        <v>2021</v>
      </c>
    </row>
    <row r="3" spans="1:13" x14ac:dyDescent="0.25">
      <c r="A3" s="1450" t="s">
        <v>1147</v>
      </c>
      <c r="B3" s="1451">
        <v>4.1308181324388737E-3</v>
      </c>
      <c r="C3" s="1451">
        <v>-5.8011709747891604E-3</v>
      </c>
      <c r="D3" s="1451">
        <v>-4.1938623514099493E-3</v>
      </c>
      <c r="E3" s="1451">
        <v>-8.0004373177802179E-3</v>
      </c>
      <c r="F3" s="1451">
        <v>1.3638076977154245E-2</v>
      </c>
      <c r="G3" s="1451">
        <v>2.2688066928936657E-2</v>
      </c>
      <c r="H3" s="1451">
        <v>2.6477984866463355E-2</v>
      </c>
      <c r="I3" s="1451">
        <v>3.6646758781723632E-2</v>
      </c>
      <c r="J3" s="1451">
        <v>2.95896744030264E-2</v>
      </c>
      <c r="K3" s="1451">
        <v>3.2446565266949667E-2</v>
      </c>
      <c r="L3" s="1451">
        <v>2.8206049573037628E-2</v>
      </c>
      <c r="M3" s="1451">
        <v>2.4180859334398841E-2</v>
      </c>
    </row>
    <row r="4" spans="1:13" x14ac:dyDescent="0.25">
      <c r="A4" s="1453" t="s">
        <v>1143</v>
      </c>
      <c r="B4" s="1454">
        <v>5.0417166650381873E-2</v>
      </c>
      <c r="C4" s="1454">
        <v>2.8190995175775502E-2</v>
      </c>
      <c r="D4" s="1454">
        <v>1.6571486871941321E-2</v>
      </c>
      <c r="E4" s="1454">
        <v>1.4906464378200868E-2</v>
      </c>
      <c r="F4" s="1454">
        <v>2.7503350168863516E-2</v>
      </c>
      <c r="G4" s="1454">
        <v>3.8501006044002306E-2</v>
      </c>
      <c r="H4" s="1454">
        <v>3.3246952959640197E-2</v>
      </c>
      <c r="I4" s="1454">
        <v>3.4001663110798441E-2</v>
      </c>
      <c r="J4" s="1454">
        <v>4.0747365700230409E-2</v>
      </c>
      <c r="K4" s="1454">
        <v>4.4995126620853032E-2</v>
      </c>
      <c r="L4" s="1454">
        <v>3.9148883673591151E-2</v>
      </c>
      <c r="M4" s="1454">
        <v>3.3252780949083238E-2</v>
      </c>
    </row>
    <row r="5" spans="1:13" x14ac:dyDescent="0.25">
      <c r="M5" s="1442" t="s">
        <v>89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6065C-942D-48C3-8A59-E7F80324A2D2}">
  <sheetPr>
    <pageSetUpPr fitToPage="1"/>
  </sheetPr>
  <dimension ref="A1:F17"/>
  <sheetViews>
    <sheetView showGridLines="0" zoomScaleNormal="100" workbookViewId="0"/>
  </sheetViews>
  <sheetFormatPr defaultRowHeight="12" x14ac:dyDescent="0.2"/>
  <cols>
    <col min="1" max="1" width="35.42578125" style="1383" customWidth="1"/>
    <col min="2" max="6" width="7.28515625" style="1383" customWidth="1"/>
    <col min="7" max="239" width="9.140625" style="1383"/>
    <col min="240" max="240" width="18.140625" style="1383" customWidth="1"/>
    <col min="241" max="495" width="9.140625" style="1383"/>
    <col min="496" max="496" width="18.140625" style="1383" customWidth="1"/>
    <col min="497" max="751" width="9.140625" style="1383"/>
    <col min="752" max="752" width="18.140625" style="1383" customWidth="1"/>
    <col min="753" max="1007" width="9.140625" style="1383"/>
    <col min="1008" max="1008" width="18.140625" style="1383" customWidth="1"/>
    <col min="1009" max="1263" width="9.140625" style="1383"/>
    <col min="1264" max="1264" width="18.140625" style="1383" customWidth="1"/>
    <col min="1265" max="1519" width="9.140625" style="1383"/>
    <col min="1520" max="1520" width="18.140625" style="1383" customWidth="1"/>
    <col min="1521" max="1775" width="9.140625" style="1383"/>
    <col min="1776" max="1776" width="18.140625" style="1383" customWidth="1"/>
    <col min="1777" max="2031" width="9.140625" style="1383"/>
    <col min="2032" max="2032" width="18.140625" style="1383" customWidth="1"/>
    <col min="2033" max="2287" width="9.140625" style="1383"/>
    <col min="2288" max="2288" width="18.140625" style="1383" customWidth="1"/>
    <col min="2289" max="2543" width="9.140625" style="1383"/>
    <col min="2544" max="2544" width="18.140625" style="1383" customWidth="1"/>
    <col min="2545" max="2799" width="9.140625" style="1383"/>
    <col min="2800" max="2800" width="18.140625" style="1383" customWidth="1"/>
    <col min="2801" max="3055" width="9.140625" style="1383"/>
    <col min="3056" max="3056" width="18.140625" style="1383" customWidth="1"/>
    <col min="3057" max="3311" width="9.140625" style="1383"/>
    <col min="3312" max="3312" width="18.140625" style="1383" customWidth="1"/>
    <col min="3313" max="3567" width="9.140625" style="1383"/>
    <col min="3568" max="3568" width="18.140625" style="1383" customWidth="1"/>
    <col min="3569" max="3823" width="9.140625" style="1383"/>
    <col min="3824" max="3824" width="18.140625" style="1383" customWidth="1"/>
    <col min="3825" max="4079" width="9.140625" style="1383"/>
    <col min="4080" max="4080" width="18.140625" style="1383" customWidth="1"/>
    <col min="4081" max="4335" width="9.140625" style="1383"/>
    <col min="4336" max="4336" width="18.140625" style="1383" customWidth="1"/>
    <col min="4337" max="4591" width="9.140625" style="1383"/>
    <col min="4592" max="4592" width="18.140625" style="1383" customWidth="1"/>
    <col min="4593" max="4847" width="9.140625" style="1383"/>
    <col min="4848" max="4848" width="18.140625" style="1383" customWidth="1"/>
    <col min="4849" max="5103" width="9.140625" style="1383"/>
    <col min="5104" max="5104" width="18.140625" style="1383" customWidth="1"/>
    <col min="5105" max="5359" width="9.140625" style="1383"/>
    <col min="5360" max="5360" width="18.140625" style="1383" customWidth="1"/>
    <col min="5361" max="5615" width="9.140625" style="1383"/>
    <col min="5616" max="5616" width="18.140625" style="1383" customWidth="1"/>
    <col min="5617" max="5871" width="9.140625" style="1383"/>
    <col min="5872" max="5872" width="18.140625" style="1383" customWidth="1"/>
    <col min="5873" max="6127" width="9.140625" style="1383"/>
    <col min="6128" max="6128" width="18.140625" style="1383" customWidth="1"/>
    <col min="6129" max="6383" width="9.140625" style="1383"/>
    <col min="6384" max="6384" width="18.140625" style="1383" customWidth="1"/>
    <col min="6385" max="6639" width="9.140625" style="1383"/>
    <col min="6640" max="6640" width="18.140625" style="1383" customWidth="1"/>
    <col min="6641" max="6895" width="9.140625" style="1383"/>
    <col min="6896" max="6896" width="18.140625" style="1383" customWidth="1"/>
    <col min="6897" max="7151" width="9.140625" style="1383"/>
    <col min="7152" max="7152" width="18.140625" style="1383" customWidth="1"/>
    <col min="7153" max="7407" width="9.140625" style="1383"/>
    <col min="7408" max="7408" width="18.140625" style="1383" customWidth="1"/>
    <col min="7409" max="7663" width="9.140625" style="1383"/>
    <col min="7664" max="7664" width="18.140625" style="1383" customWidth="1"/>
    <col min="7665" max="7919" width="9.140625" style="1383"/>
    <col min="7920" max="7920" width="18.140625" style="1383" customWidth="1"/>
    <col min="7921" max="8175" width="9.140625" style="1383"/>
    <col min="8176" max="8176" width="18.140625" style="1383" customWidth="1"/>
    <col min="8177" max="8431" width="9.140625" style="1383"/>
    <col min="8432" max="8432" width="18.140625" style="1383" customWidth="1"/>
    <col min="8433" max="8687" width="9.140625" style="1383"/>
    <col min="8688" max="8688" width="18.140625" style="1383" customWidth="1"/>
    <col min="8689" max="8943" width="9.140625" style="1383"/>
    <col min="8944" max="8944" width="18.140625" style="1383" customWidth="1"/>
    <col min="8945" max="9199" width="9.140625" style="1383"/>
    <col min="9200" max="9200" width="18.140625" style="1383" customWidth="1"/>
    <col min="9201" max="9455" width="9.140625" style="1383"/>
    <col min="9456" max="9456" width="18.140625" style="1383" customWidth="1"/>
    <col min="9457" max="9711" width="9.140625" style="1383"/>
    <col min="9712" max="9712" width="18.140625" style="1383" customWidth="1"/>
    <col min="9713" max="9967" width="9.140625" style="1383"/>
    <col min="9968" max="9968" width="18.140625" style="1383" customWidth="1"/>
    <col min="9969" max="10223" width="9.140625" style="1383"/>
    <col min="10224" max="10224" width="18.140625" style="1383" customWidth="1"/>
    <col min="10225" max="10479" width="9.140625" style="1383"/>
    <col min="10480" max="10480" width="18.140625" style="1383" customWidth="1"/>
    <col min="10481" max="10735" width="9.140625" style="1383"/>
    <col min="10736" max="10736" width="18.140625" style="1383" customWidth="1"/>
    <col min="10737" max="10991" width="9.140625" style="1383"/>
    <col min="10992" max="10992" width="18.140625" style="1383" customWidth="1"/>
    <col min="10993" max="11247" width="9.140625" style="1383"/>
    <col min="11248" max="11248" width="18.140625" style="1383" customWidth="1"/>
    <col min="11249" max="11503" width="9.140625" style="1383"/>
    <col min="11504" max="11504" width="18.140625" style="1383" customWidth="1"/>
    <col min="11505" max="11759" width="9.140625" style="1383"/>
    <col min="11760" max="11760" width="18.140625" style="1383" customWidth="1"/>
    <col min="11761" max="12015" width="9.140625" style="1383"/>
    <col min="12016" max="12016" width="18.140625" style="1383" customWidth="1"/>
    <col min="12017" max="12271" width="9.140625" style="1383"/>
    <col min="12272" max="12272" width="18.140625" style="1383" customWidth="1"/>
    <col min="12273" max="12527" width="9.140625" style="1383"/>
    <col min="12528" max="12528" width="18.140625" style="1383" customWidth="1"/>
    <col min="12529" max="12783" width="9.140625" style="1383"/>
    <col min="12784" max="12784" width="18.140625" style="1383" customWidth="1"/>
    <col min="12785" max="13039" width="9.140625" style="1383"/>
    <col min="13040" max="13040" width="18.140625" style="1383" customWidth="1"/>
    <col min="13041" max="13295" width="9.140625" style="1383"/>
    <col min="13296" max="13296" width="18.140625" style="1383" customWidth="1"/>
    <col min="13297" max="13551" width="9.140625" style="1383"/>
    <col min="13552" max="13552" width="18.140625" style="1383" customWidth="1"/>
    <col min="13553" max="13807" width="9.140625" style="1383"/>
    <col min="13808" max="13808" width="18.140625" style="1383" customWidth="1"/>
    <col min="13809" max="14063" width="9.140625" style="1383"/>
    <col min="14064" max="14064" width="18.140625" style="1383" customWidth="1"/>
    <col min="14065" max="14319" width="9.140625" style="1383"/>
    <col min="14320" max="14320" width="18.140625" style="1383" customWidth="1"/>
    <col min="14321" max="14575" width="9.140625" style="1383"/>
    <col min="14576" max="14576" width="18.140625" style="1383" customWidth="1"/>
    <col min="14577" max="14831" width="9.140625" style="1383"/>
    <col min="14832" max="14832" width="18.140625" style="1383" customWidth="1"/>
    <col min="14833" max="15087" width="9.140625" style="1383"/>
    <col min="15088" max="15088" width="18.140625" style="1383" customWidth="1"/>
    <col min="15089" max="15343" width="9.140625" style="1383"/>
    <col min="15344" max="15344" width="18.140625" style="1383" customWidth="1"/>
    <col min="15345" max="15599" width="9.140625" style="1383"/>
    <col min="15600" max="15600" width="18.140625" style="1383" customWidth="1"/>
    <col min="15601" max="15855" width="9.140625" style="1383"/>
    <col min="15856" max="15856" width="18.140625" style="1383" customWidth="1"/>
    <col min="15857" max="16111" width="9.140625" style="1383"/>
    <col min="16112" max="16112" width="18.140625" style="1383" customWidth="1"/>
    <col min="16113" max="16384" width="9.140625" style="1383"/>
  </cols>
  <sheetData>
    <row r="1" spans="1:6" ht="12.75" x14ac:dyDescent="0.2">
      <c r="A1" s="1431" t="s">
        <v>1148</v>
      </c>
    </row>
    <row r="2" spans="1:6" ht="12.75" x14ac:dyDescent="0.2">
      <c r="A2" s="1434"/>
      <c r="B2" s="1437">
        <v>2017</v>
      </c>
      <c r="C2" s="1437">
        <v>2018</v>
      </c>
      <c r="D2" s="1437">
        <v>2019</v>
      </c>
      <c r="E2" s="1437">
        <v>2020</v>
      </c>
      <c r="F2" s="1437">
        <v>2021</v>
      </c>
    </row>
    <row r="3" spans="1:6" ht="12.75" x14ac:dyDescent="0.2">
      <c r="A3" s="1455" t="s">
        <v>1149</v>
      </c>
      <c r="B3" s="1456">
        <v>3.1883556147536325</v>
      </c>
      <c r="C3" s="1457">
        <v>4.0747365700230409</v>
      </c>
      <c r="D3" s="1457">
        <v>4.4995126620853032</v>
      </c>
      <c r="E3" s="1457">
        <v>3.9148883673591151</v>
      </c>
      <c r="F3" s="1457">
        <v>3.3252780949083238</v>
      </c>
    </row>
    <row r="4" spans="1:6" ht="12.75" x14ac:dyDescent="0.2">
      <c r="A4" s="1455" t="s">
        <v>1150</v>
      </c>
      <c r="B4" s="1456">
        <v>3.1883556147536325</v>
      </c>
      <c r="C4" s="1456">
        <v>3.9991715489267676</v>
      </c>
      <c r="D4" s="1456">
        <v>4.4817584319580561</v>
      </c>
      <c r="E4" s="1456">
        <v>3.8166284969237267</v>
      </c>
      <c r="F4" s="1456">
        <v>3.3303082242669149</v>
      </c>
    </row>
    <row r="5" spans="1:6" ht="12.75" x14ac:dyDescent="0.2">
      <c r="A5" s="1455" t="s">
        <v>1151</v>
      </c>
      <c r="B5" s="1456">
        <v>0</v>
      </c>
      <c r="C5" s="1456">
        <v>8.3566210692595178E-2</v>
      </c>
      <c r="D5" s="1456">
        <v>0.22596572672715354</v>
      </c>
      <c r="E5" s="1456">
        <v>0.4421045593875732</v>
      </c>
      <c r="F5" s="1456">
        <v>-0.17835493162374405</v>
      </c>
    </row>
    <row r="6" spans="1:6" ht="12.75" x14ac:dyDescent="0.2">
      <c r="A6" s="1458" t="s">
        <v>1152</v>
      </c>
      <c r="B6" s="1459">
        <v>3.1883556147536325</v>
      </c>
      <c r="C6" s="1459">
        <v>3.9991715489267676</v>
      </c>
      <c r="D6" s="1459">
        <v>4.4817584319580561</v>
      </c>
      <c r="E6" s="1459">
        <v>3.8166284969237267</v>
      </c>
      <c r="F6" s="1459">
        <v>3.3303082242669149</v>
      </c>
    </row>
    <row r="7" spans="1:6" ht="12.75" x14ac:dyDescent="0.2">
      <c r="A7" s="1460" t="s">
        <v>1153</v>
      </c>
      <c r="B7" s="1441">
        <v>3.1883556147536325</v>
      </c>
      <c r="C7" s="1461">
        <v>4.0827377596193628</v>
      </c>
      <c r="D7" s="1461">
        <v>4.7077241586852097</v>
      </c>
      <c r="E7" s="1461">
        <v>4.2587330563112999</v>
      </c>
      <c r="F7" s="1461">
        <v>3.1519532926431708</v>
      </c>
    </row>
    <row r="8" spans="1:6" x14ac:dyDescent="0.2">
      <c r="A8" s="1462"/>
      <c r="B8" s="1463"/>
      <c r="C8" s="1463"/>
      <c r="D8" s="1463"/>
      <c r="E8" s="1463"/>
      <c r="F8" s="1464" t="s">
        <v>89</v>
      </c>
    </row>
    <row r="12" spans="1:6" x14ac:dyDescent="0.2">
      <c r="B12" s="1449"/>
      <c r="C12" s="1449"/>
      <c r="D12" s="1449"/>
      <c r="E12" s="1449"/>
      <c r="F12" s="1449"/>
    </row>
    <row r="13" spans="1:6" x14ac:dyDescent="0.2">
      <c r="B13" s="1449"/>
      <c r="C13" s="1449"/>
      <c r="D13" s="1449"/>
      <c r="E13" s="1449"/>
      <c r="F13" s="1449"/>
    </row>
    <row r="14" spans="1:6" x14ac:dyDescent="0.2">
      <c r="B14" s="1449"/>
      <c r="C14" s="1449"/>
      <c r="D14" s="1449"/>
      <c r="E14" s="1449"/>
      <c r="F14" s="1449"/>
    </row>
    <row r="15" spans="1:6" x14ac:dyDescent="0.2">
      <c r="B15" s="1449"/>
      <c r="C15" s="1449"/>
      <c r="D15" s="1449"/>
      <c r="E15" s="1449"/>
      <c r="F15" s="1449"/>
    </row>
    <row r="16" spans="1:6" x14ac:dyDescent="0.2">
      <c r="B16" s="1449"/>
      <c r="C16" s="1449"/>
      <c r="D16" s="1449"/>
      <c r="E16" s="1449"/>
      <c r="F16" s="1449"/>
    </row>
    <row r="17" spans="2:6" x14ac:dyDescent="0.2">
      <c r="B17" s="1449"/>
      <c r="C17" s="1449"/>
      <c r="D17" s="1449"/>
      <c r="E17" s="1449"/>
      <c r="F17" s="1449"/>
    </row>
  </sheetData>
  <pageMargins left="0.25" right="0.25" top="0.75" bottom="0.75" header="0.3" footer="0.3"/>
  <pageSetup scale="46" fitToHeight="0"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A7F-1A05-462D-9500-76B72E648899}">
  <sheetPr>
    <pageSetUpPr fitToPage="1"/>
  </sheetPr>
  <dimension ref="A1:J14"/>
  <sheetViews>
    <sheetView showGridLines="0" workbookViewId="0"/>
  </sheetViews>
  <sheetFormatPr defaultRowHeight="12.75" x14ac:dyDescent="0.2"/>
  <cols>
    <col min="1" max="1" width="29.85546875" style="1322" customWidth="1"/>
    <col min="2" max="10" width="7.140625" style="1322" customWidth="1"/>
    <col min="11" max="16384" width="9.140625" style="1322"/>
  </cols>
  <sheetData>
    <row r="1" spans="1:10" x14ac:dyDescent="0.2">
      <c r="A1" s="1321" t="s">
        <v>709</v>
      </c>
      <c r="B1" s="1321"/>
      <c r="C1" s="1321"/>
      <c r="D1" s="1321"/>
      <c r="E1" s="1321"/>
      <c r="F1" s="1321"/>
      <c r="G1" s="1321"/>
      <c r="H1" s="1321"/>
      <c r="I1" s="1321"/>
      <c r="J1" s="1321"/>
    </row>
    <row r="2" spans="1:10" ht="12.75" customHeight="1" x14ac:dyDescent="0.2">
      <c r="A2" s="1323" t="s">
        <v>1044</v>
      </c>
      <c r="B2" s="1324" t="s">
        <v>1045</v>
      </c>
      <c r="C2" s="1507" t="s">
        <v>1041</v>
      </c>
      <c r="D2" s="1508"/>
      <c r="E2" s="1508"/>
      <c r="F2" s="1509"/>
      <c r="G2" s="1510" t="s">
        <v>1046</v>
      </c>
      <c r="H2" s="1510"/>
      <c r="I2" s="1510"/>
      <c r="J2" s="1511"/>
    </row>
    <row r="3" spans="1:10" ht="13.5" thickBot="1" x14ac:dyDescent="0.25">
      <c r="A3" s="1325" t="s">
        <v>1047</v>
      </c>
      <c r="B3" s="1326">
        <v>2017</v>
      </c>
      <c r="C3" s="1327">
        <v>2018</v>
      </c>
      <c r="D3" s="1328">
        <v>2019</v>
      </c>
      <c r="E3" s="1328">
        <v>2020</v>
      </c>
      <c r="F3" s="1329">
        <v>2021</v>
      </c>
      <c r="G3" s="1330">
        <v>2018</v>
      </c>
      <c r="H3" s="1330">
        <v>2019</v>
      </c>
      <c r="I3" s="1330">
        <v>2020</v>
      </c>
      <c r="J3" s="1331">
        <v>2021</v>
      </c>
    </row>
    <row r="4" spans="1:10" x14ac:dyDescent="0.2">
      <c r="A4" s="1332" t="s">
        <v>1048</v>
      </c>
      <c r="B4" s="1333">
        <v>3.1883556147536325</v>
      </c>
      <c r="C4" s="1334">
        <v>4.0747365700230409</v>
      </c>
      <c r="D4" s="1334">
        <v>4.4995126620853032</v>
      </c>
      <c r="E4" s="1334">
        <v>3.9148883673591151</v>
      </c>
      <c r="F4" s="1335">
        <v>3.3252780949083238</v>
      </c>
      <c r="G4" s="1336">
        <v>-9.1519900785352881E-2</v>
      </c>
      <c r="H4" s="1336">
        <v>0.12606106383397098</v>
      </c>
      <c r="I4" s="1336">
        <v>3.6550779577182446E-2</v>
      </c>
      <c r="J4" s="1337" t="s">
        <v>175</v>
      </c>
    </row>
    <row r="5" spans="1:10" x14ac:dyDescent="0.2">
      <c r="A5" s="1338" t="s">
        <v>1049</v>
      </c>
      <c r="B5" s="1339">
        <v>3.1883556147536325</v>
      </c>
      <c r="C5" s="1340">
        <v>4</v>
      </c>
      <c r="D5" s="1340">
        <v>4.05</v>
      </c>
      <c r="E5" s="1340">
        <v>3.75</v>
      </c>
      <c r="F5" s="1341">
        <v>3.3626390474541621</v>
      </c>
      <c r="G5" s="1342">
        <v>0.10000000000000009</v>
      </c>
      <c r="H5" s="1342">
        <v>-0.15000000000000036</v>
      </c>
      <c r="I5" s="1342">
        <v>0.14999999999999991</v>
      </c>
      <c r="J5" s="1343" t="s">
        <v>175</v>
      </c>
    </row>
    <row r="6" spans="1:10" x14ac:dyDescent="0.2">
      <c r="A6" s="1332" t="s">
        <v>1050</v>
      </c>
      <c r="B6" s="1339">
        <v>3.2</v>
      </c>
      <c r="C6" s="1334">
        <v>4.2109694266431603</v>
      </c>
      <c r="D6" s="1334">
        <v>4.030187514518488</v>
      </c>
      <c r="E6" s="1334">
        <v>4.0412756862452142</v>
      </c>
      <c r="F6" s="1344">
        <v>2.9997017363206453</v>
      </c>
      <c r="G6" s="1342" t="s">
        <v>175</v>
      </c>
      <c r="H6" s="1342" t="s">
        <v>175</v>
      </c>
      <c r="I6" s="1342" t="s">
        <v>175</v>
      </c>
      <c r="J6" s="1343" t="s">
        <v>175</v>
      </c>
    </row>
    <row r="7" spans="1:10" x14ac:dyDescent="0.2">
      <c r="A7" s="1332" t="s">
        <v>1051</v>
      </c>
      <c r="B7" s="1345">
        <v>3.1883556147536325</v>
      </c>
      <c r="C7" s="1346">
        <v>3.9</v>
      </c>
      <c r="D7" s="1346">
        <v>4.1399999999999997</v>
      </c>
      <c r="E7" s="1346">
        <v>3.8</v>
      </c>
      <c r="F7" s="1347">
        <v>3.7</v>
      </c>
      <c r="G7" s="1342">
        <v>0.19999999999999973</v>
      </c>
      <c r="H7" s="1342">
        <v>0.23999999999999977</v>
      </c>
      <c r="I7" s="1342">
        <v>0.29999999999999982</v>
      </c>
      <c r="J7" s="1343">
        <v>0.30000000000000027</v>
      </c>
    </row>
    <row r="8" spans="1:10" x14ac:dyDescent="0.2">
      <c r="A8" s="1332" t="s">
        <v>1052</v>
      </c>
      <c r="B8" s="1345">
        <v>3.1883556147536325</v>
      </c>
      <c r="C8" s="1346">
        <v>4</v>
      </c>
      <c r="D8" s="1346">
        <v>4.0999999999999996</v>
      </c>
      <c r="E8" s="1346">
        <v>3.5</v>
      </c>
      <c r="F8" s="1347" t="s">
        <v>175</v>
      </c>
      <c r="G8" s="1342">
        <v>0.18932537164455709</v>
      </c>
      <c r="H8" s="1342">
        <v>8.7350602166898383E-2</v>
      </c>
      <c r="I8" s="1342" t="s">
        <v>175</v>
      </c>
      <c r="J8" s="1343" t="s">
        <v>175</v>
      </c>
    </row>
    <row r="9" spans="1:10" x14ac:dyDescent="0.2">
      <c r="A9" s="1348" t="s">
        <v>1053</v>
      </c>
      <c r="B9" s="1349">
        <v>3.1883556147536325</v>
      </c>
      <c r="C9" s="1350">
        <v>4.0451198313000001</v>
      </c>
      <c r="D9" s="1350">
        <v>4.5253600688000004</v>
      </c>
      <c r="E9" s="1350" t="s">
        <v>175</v>
      </c>
      <c r="F9" s="1351" t="s">
        <v>175</v>
      </c>
      <c r="G9" s="1352">
        <v>-6.5589297823329673E-2</v>
      </c>
      <c r="H9" s="1352">
        <v>0.21133077427942037</v>
      </c>
      <c r="I9" s="1352" t="s">
        <v>175</v>
      </c>
      <c r="J9" s="1353" t="s">
        <v>175</v>
      </c>
    </row>
    <row r="10" spans="1:10" ht="13.5" thickBot="1" x14ac:dyDescent="0.25">
      <c r="A10" s="1323" t="s">
        <v>1054</v>
      </c>
      <c r="B10" s="1326">
        <v>2017</v>
      </c>
      <c r="C10" s="1327">
        <v>2018</v>
      </c>
      <c r="D10" s="1328">
        <v>2019</v>
      </c>
      <c r="E10" s="1328">
        <v>2020</v>
      </c>
      <c r="F10" s="1329">
        <v>2021</v>
      </c>
      <c r="G10" s="1330">
        <v>2018</v>
      </c>
      <c r="H10" s="1330">
        <v>2019</v>
      </c>
      <c r="I10" s="1330">
        <v>2020</v>
      </c>
      <c r="J10" s="1331">
        <v>2021</v>
      </c>
    </row>
    <row r="11" spans="1:10" x14ac:dyDescent="0.2">
      <c r="A11" s="1332" t="s">
        <v>1051</v>
      </c>
      <c r="B11" s="1345">
        <v>2.4</v>
      </c>
      <c r="C11" s="1346">
        <v>2.032</v>
      </c>
      <c r="D11" s="1346">
        <v>1.88</v>
      </c>
      <c r="E11" s="1346">
        <v>1.6539999999999999</v>
      </c>
      <c r="F11" s="1347">
        <v>1.552</v>
      </c>
      <c r="G11" s="1342">
        <v>9.2000000000000082E-2</v>
      </c>
      <c r="H11" s="1342">
        <v>0.21499999999999986</v>
      </c>
      <c r="I11" s="1342">
        <v>4.9999999999998934E-3</v>
      </c>
      <c r="J11" s="1343">
        <v>6.0000000000000053E-3</v>
      </c>
    </row>
    <row r="12" spans="1:10" x14ac:dyDescent="0.2">
      <c r="A12" s="1332" t="s">
        <v>1052</v>
      </c>
      <c r="B12" s="1345">
        <v>2.4</v>
      </c>
      <c r="C12" s="1346">
        <v>2.1</v>
      </c>
      <c r="D12" s="1346">
        <v>1.9</v>
      </c>
      <c r="E12" s="1346">
        <v>1.7</v>
      </c>
      <c r="F12" s="1347" t="s">
        <v>175</v>
      </c>
      <c r="G12" s="1342">
        <v>0</v>
      </c>
      <c r="H12" s="1342">
        <v>0</v>
      </c>
      <c r="I12" s="1342" t="s">
        <v>175</v>
      </c>
      <c r="J12" s="1343" t="s">
        <v>175</v>
      </c>
    </row>
    <row r="13" spans="1:10" x14ac:dyDescent="0.2">
      <c r="A13" s="1348" t="s">
        <v>1055</v>
      </c>
      <c r="B13" s="1349">
        <v>2.4</v>
      </c>
      <c r="C13" s="1350">
        <v>2</v>
      </c>
      <c r="D13" s="1350">
        <v>1.9</v>
      </c>
      <c r="E13" s="1350" t="s">
        <v>175</v>
      </c>
      <c r="F13" s="1351" t="s">
        <v>175</v>
      </c>
      <c r="G13" s="1352">
        <v>-0.15457582205277021</v>
      </c>
      <c r="H13" s="1352">
        <v>4.5310476803569921E-2</v>
      </c>
      <c r="I13" s="1352" t="s">
        <v>175</v>
      </c>
      <c r="J13" s="1353" t="s">
        <v>175</v>
      </c>
    </row>
    <row r="14" spans="1:10" x14ac:dyDescent="0.2">
      <c r="A14" s="1512" t="s">
        <v>1056</v>
      </c>
      <c r="B14" s="1512"/>
      <c r="C14" s="1512"/>
      <c r="D14" s="1512"/>
      <c r="E14" s="1512"/>
      <c r="F14" s="1512"/>
      <c r="G14" s="1512"/>
      <c r="H14" s="1512"/>
      <c r="I14" s="1512"/>
      <c r="J14" s="1512"/>
    </row>
  </sheetData>
  <mergeCells count="3">
    <mergeCell ref="C2:F2"/>
    <mergeCell ref="G2:J2"/>
    <mergeCell ref="A14:J14"/>
  </mergeCells>
  <conditionalFormatting sqref="G4:J9 G11:J1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{06A60764-5A6A-4BB0-A74A-C967D3F2D64B}</x14:id>
        </ext>
      </extLst>
    </cfRule>
  </conditionalFormatting>
  <pageMargins left="0.25" right="0.25" top="0.75" bottom="0.75" header="0.3" footer="0.3"/>
  <pageSetup fitToHeight="0" orientation="portrait" horizontalDpi="4294967294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A60764-5A6A-4BB0-A74A-C967D3F2D6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G4:J9 G11:J13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A9C3-5037-4035-B4BB-EE17A04606C9}">
  <dimension ref="A1:G8"/>
  <sheetViews>
    <sheetView showGridLines="0" workbookViewId="0">
      <selection sqref="A1:C1"/>
    </sheetView>
  </sheetViews>
  <sheetFormatPr defaultRowHeight="12.75" x14ac:dyDescent="0.2"/>
  <cols>
    <col min="1" max="1" width="9.140625" style="1474"/>
    <col min="2" max="2" width="19" style="1474" customWidth="1"/>
    <col min="3" max="3" width="25.140625" style="1474" customWidth="1"/>
    <col min="4" max="7" width="9.140625" style="1465"/>
    <col min="8" max="16384" width="9.140625" style="1474"/>
  </cols>
  <sheetData>
    <row r="1" spans="1:6" x14ac:dyDescent="0.2">
      <c r="A1" s="1614" t="s">
        <v>1154</v>
      </c>
      <c r="B1" s="1614"/>
      <c r="C1" s="1614"/>
    </row>
    <row r="2" spans="1:6" ht="48.75" customHeight="1" x14ac:dyDescent="0.2">
      <c r="A2" s="1466" t="s">
        <v>1155</v>
      </c>
      <c r="B2" s="1467" t="s">
        <v>1156</v>
      </c>
      <c r="C2" s="1468" t="s">
        <v>1157</v>
      </c>
      <c r="D2" s="1469"/>
      <c r="E2" s="1469"/>
      <c r="F2" s="1469"/>
    </row>
    <row r="3" spans="1:6" x14ac:dyDescent="0.2">
      <c r="A3" s="1437">
        <v>2017</v>
      </c>
      <c r="B3" s="1470">
        <v>-1.256668888828183</v>
      </c>
      <c r="C3" s="1470">
        <v>3.8244639518691503</v>
      </c>
      <c r="D3" s="1471"/>
      <c r="E3" s="1471"/>
      <c r="F3" s="1471"/>
    </row>
    <row r="4" spans="1:6" x14ac:dyDescent="0.2">
      <c r="A4" s="1437">
        <v>2018</v>
      </c>
      <c r="B4" s="1470">
        <v>11.98999999999999</v>
      </c>
      <c r="C4" s="1470">
        <v>15.041560661579091</v>
      </c>
      <c r="D4" s="1471"/>
      <c r="E4" s="1471"/>
      <c r="F4" s="1471"/>
    </row>
    <row r="5" spans="1:6" x14ac:dyDescent="0.2">
      <c r="A5" s="1437">
        <v>2019</v>
      </c>
      <c r="B5" s="1470">
        <v>6.6800000000000193</v>
      </c>
      <c r="C5" s="1470">
        <v>-4.0390265038149797</v>
      </c>
      <c r="D5" s="1471"/>
      <c r="E5" s="1471"/>
      <c r="F5" s="1471"/>
    </row>
    <row r="6" spans="1:6" x14ac:dyDescent="0.2">
      <c r="A6" s="1437">
        <v>2020</v>
      </c>
      <c r="B6" s="1470">
        <v>6.3599999999999879</v>
      </c>
      <c r="C6" s="1470">
        <v>-3.0788844264183379</v>
      </c>
      <c r="D6" s="1471"/>
      <c r="E6" s="1471"/>
      <c r="F6" s="1471"/>
    </row>
    <row r="7" spans="1:6" x14ac:dyDescent="0.2">
      <c r="A7" s="1437">
        <v>2021</v>
      </c>
      <c r="B7" s="1472">
        <v>7.8500000000000014</v>
      </c>
      <c r="C7" s="1473">
        <v>6.100842526857253</v>
      </c>
      <c r="D7" s="1471"/>
      <c r="E7" s="1471"/>
      <c r="F7" s="1471"/>
    </row>
    <row r="8" spans="1:6" x14ac:dyDescent="0.2">
      <c r="A8" s="1615" t="s">
        <v>89</v>
      </c>
      <c r="B8" s="1615"/>
      <c r="C8" s="1615"/>
    </row>
  </sheetData>
  <mergeCells count="2">
    <mergeCell ref="A1:C1"/>
    <mergeCell ref="A8:C8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D759-40D1-4C30-B090-419C4D26C975}">
  <dimension ref="A1:J24"/>
  <sheetViews>
    <sheetView showGridLines="0" zoomScaleNormal="100" workbookViewId="0">
      <selection sqref="A1:J1"/>
    </sheetView>
  </sheetViews>
  <sheetFormatPr defaultRowHeight="12.75" x14ac:dyDescent="0.2"/>
  <cols>
    <col min="1" max="1" width="29" style="1475" customWidth="1"/>
    <col min="2" max="2" width="10" style="1475" customWidth="1"/>
    <col min="3" max="6" width="9.140625" style="1475"/>
    <col min="7" max="7" width="10" style="1475" customWidth="1"/>
    <col min="8" max="20" width="9.140625" style="1475"/>
    <col min="21" max="21" width="13.42578125" style="1475" customWidth="1"/>
    <col min="22" max="22" width="23.7109375" style="1475" customWidth="1"/>
    <col min="23" max="16384" width="9.140625" style="1475"/>
  </cols>
  <sheetData>
    <row r="1" spans="1:10" x14ac:dyDescent="0.2">
      <c r="A1" s="1614" t="s">
        <v>1158</v>
      </c>
      <c r="B1" s="1614"/>
      <c r="C1" s="1614"/>
      <c r="D1" s="1614"/>
      <c r="E1" s="1614"/>
      <c r="F1" s="1614"/>
      <c r="G1" s="1614"/>
      <c r="H1" s="1614"/>
      <c r="I1" s="1614"/>
      <c r="J1" s="1614"/>
    </row>
    <row r="2" spans="1:10" x14ac:dyDescent="0.2">
      <c r="A2" s="1434"/>
      <c r="B2" s="1466">
        <v>2010</v>
      </c>
      <c r="C2" s="1466">
        <v>2011</v>
      </c>
      <c r="D2" s="1466">
        <v>2012</v>
      </c>
      <c r="E2" s="1466">
        <v>2013</v>
      </c>
      <c r="F2" s="1466">
        <v>2014</v>
      </c>
      <c r="G2" s="1466">
        <v>2015</v>
      </c>
      <c r="H2" s="1466">
        <v>2016</v>
      </c>
      <c r="I2" s="1466">
        <v>2017</v>
      </c>
      <c r="J2" s="1466">
        <v>2018</v>
      </c>
    </row>
    <row r="3" spans="1:10" x14ac:dyDescent="0.2">
      <c r="A3" s="1475" t="s">
        <v>1159</v>
      </c>
      <c r="B3" s="1459">
        <v>3.499999999999992</v>
      </c>
      <c r="C3" s="1459">
        <v>-1.4500000000000002</v>
      </c>
      <c r="D3" s="1459">
        <v>0.4</v>
      </c>
      <c r="E3" s="1459">
        <v>-0.7</v>
      </c>
      <c r="F3" s="1459">
        <v>-0.42510873324638965</v>
      </c>
      <c r="G3" s="1459">
        <v>0</v>
      </c>
      <c r="H3" s="1459">
        <v>1.5</v>
      </c>
      <c r="I3" s="1459">
        <v>1.9</v>
      </c>
      <c r="J3" s="1459">
        <v>1.6</v>
      </c>
    </row>
    <row r="4" spans="1:10" x14ac:dyDescent="0.2">
      <c r="A4" s="1475" t="s">
        <v>1160</v>
      </c>
      <c r="B4" s="1459">
        <v>2.8977136329066679</v>
      </c>
      <c r="C4" s="1459">
        <v>-2.6965865062921699</v>
      </c>
      <c r="D4" s="1459">
        <v>0</v>
      </c>
      <c r="E4" s="1459">
        <v>-1.5</v>
      </c>
      <c r="F4" s="1459">
        <v>-0.5</v>
      </c>
      <c r="G4" s="1459">
        <v>0</v>
      </c>
      <c r="H4" s="1459">
        <v>1.25</v>
      </c>
      <c r="I4" s="1459">
        <v>1.7</v>
      </c>
      <c r="J4" s="1459">
        <v>1.4</v>
      </c>
    </row>
    <row r="5" spans="1:10" x14ac:dyDescent="0.2">
      <c r="A5" s="1475" t="s">
        <v>1161</v>
      </c>
      <c r="B5" s="1459">
        <v>3.7</v>
      </c>
      <c r="C5" s="1459">
        <v>1</v>
      </c>
      <c r="D5" s="1459">
        <v>1</v>
      </c>
      <c r="E5" s="1459">
        <v>0</v>
      </c>
      <c r="F5" s="1459">
        <v>0.25</v>
      </c>
      <c r="G5" s="1459">
        <v>1</v>
      </c>
      <c r="H5" s="1459">
        <v>2</v>
      </c>
      <c r="I5" s="1459">
        <v>2.1</v>
      </c>
      <c r="J5" s="1459">
        <v>1.85</v>
      </c>
    </row>
    <row r="6" spans="1:10" x14ac:dyDescent="0.2">
      <c r="A6" s="1476" t="s">
        <v>1061</v>
      </c>
      <c r="B6" s="1477">
        <v>2.4</v>
      </c>
      <c r="C6" s="1477">
        <v>-6.3</v>
      </c>
      <c r="D6" s="1477">
        <v>-0.1</v>
      </c>
      <c r="E6" s="1477">
        <v>0.1</v>
      </c>
      <c r="F6" s="1477">
        <v>-1.2117174022520105</v>
      </c>
      <c r="G6" s="1477">
        <v>-3.8462206595765935</v>
      </c>
      <c r="H6" s="1477">
        <v>-0.6714173834616588</v>
      </c>
      <c r="I6" s="1477">
        <v>1.702198713489711</v>
      </c>
      <c r="J6" s="1477">
        <v>1.3413629540656835</v>
      </c>
    </row>
    <row r="7" spans="1:10" x14ac:dyDescent="0.2">
      <c r="A7" s="1478" t="s">
        <v>1162</v>
      </c>
      <c r="B7" s="1479">
        <v>1.6504489005967287</v>
      </c>
      <c r="C7" s="1479">
        <v>-1.7588926833691119</v>
      </c>
      <c r="D7" s="1479">
        <v>-2.143384501799602</v>
      </c>
      <c r="E7" s="1479">
        <v>2.163610785831608</v>
      </c>
      <c r="F7" s="1479">
        <v>5.1756234903149476</v>
      </c>
      <c r="G7" s="1479">
        <v>5.4299966355085445</v>
      </c>
      <c r="H7" s="1479">
        <v>1.6060105726138687</v>
      </c>
      <c r="I7" s="1479">
        <v>1.7212773366288587</v>
      </c>
      <c r="J7" s="1479"/>
    </row>
    <row r="8" spans="1:10" x14ac:dyDescent="0.2">
      <c r="A8" s="1616" t="s">
        <v>1163</v>
      </c>
      <c r="B8" s="1616"/>
      <c r="C8" s="1616"/>
      <c r="D8" s="1616"/>
      <c r="E8" s="1616"/>
      <c r="F8" s="1616"/>
      <c r="G8" s="1616"/>
      <c r="H8" s="1616"/>
      <c r="I8" s="1616"/>
      <c r="J8" s="1616"/>
    </row>
    <row r="9" spans="1:10" x14ac:dyDescent="0.2">
      <c r="A9" s="1480"/>
      <c r="B9" s="1480"/>
      <c r="C9" s="1480"/>
      <c r="D9" s="1480"/>
      <c r="E9" s="1480"/>
      <c r="F9" s="1480"/>
      <c r="G9" s="1480"/>
      <c r="H9" s="1480"/>
      <c r="I9" s="1480"/>
      <c r="J9" s="1480"/>
    </row>
    <row r="10" spans="1:10" x14ac:dyDescent="0.2">
      <c r="A10" s="1480"/>
      <c r="B10" s="1480"/>
      <c r="C10" s="1480"/>
      <c r="D10" s="1480"/>
      <c r="E10" s="1480"/>
      <c r="F10" s="1480"/>
      <c r="G10" s="1480"/>
      <c r="H10" s="1480"/>
      <c r="I10" s="1480"/>
      <c r="J10" s="1480"/>
    </row>
    <row r="11" spans="1:10" x14ac:dyDescent="0.2">
      <c r="A11" s="1480"/>
      <c r="B11" s="1480"/>
      <c r="C11" s="1480"/>
      <c r="D11" s="1480"/>
      <c r="E11" s="1480"/>
      <c r="F11" s="1480"/>
      <c r="G11" s="1480"/>
      <c r="H11" s="1480"/>
      <c r="I11" s="1480"/>
      <c r="J11" s="1480"/>
    </row>
    <row r="12" spans="1:10" x14ac:dyDescent="0.2">
      <c r="A12" s="1480"/>
      <c r="B12" s="1480"/>
      <c r="C12" s="1480"/>
      <c r="D12" s="1480"/>
      <c r="E12" s="1480"/>
      <c r="F12" s="1480"/>
      <c r="G12" s="1480"/>
      <c r="H12" s="1480"/>
      <c r="I12" s="1480"/>
      <c r="J12" s="1480"/>
    </row>
    <row r="13" spans="1:10" x14ac:dyDescent="0.2">
      <c r="A13" s="1480"/>
      <c r="B13" s="1480"/>
      <c r="C13" s="1480"/>
      <c r="D13" s="1480"/>
      <c r="E13" s="1480"/>
      <c r="F13" s="1480"/>
      <c r="G13" s="1480"/>
      <c r="H13" s="1480"/>
      <c r="I13" s="1480"/>
      <c r="J13" s="1480"/>
    </row>
    <row r="14" spans="1:10" x14ac:dyDescent="0.2">
      <c r="A14" s="1480"/>
      <c r="B14" s="1480"/>
      <c r="C14" s="1480"/>
      <c r="D14" s="1480"/>
      <c r="E14" s="1480"/>
      <c r="F14" s="1480"/>
      <c r="G14" s="1480"/>
      <c r="H14" s="1480"/>
      <c r="I14" s="1480"/>
      <c r="J14" s="1480"/>
    </row>
    <row r="15" spans="1:10" x14ac:dyDescent="0.2">
      <c r="A15" s="1480"/>
      <c r="B15" s="1480"/>
      <c r="C15" s="1480"/>
      <c r="D15" s="1480"/>
      <c r="E15" s="1480"/>
      <c r="F15" s="1480"/>
      <c r="G15" s="1480"/>
      <c r="H15" s="1480"/>
      <c r="I15" s="1480"/>
      <c r="J15" s="1480"/>
    </row>
    <row r="16" spans="1:10" x14ac:dyDescent="0.2">
      <c r="A16" s="1480"/>
      <c r="B16" s="1480"/>
      <c r="C16" s="1480"/>
      <c r="D16" s="1480"/>
      <c r="E16" s="1480"/>
      <c r="F16" s="1480"/>
      <c r="G16" s="1480"/>
      <c r="H16" s="1480"/>
      <c r="I16" s="1480"/>
      <c r="J16" s="1480"/>
    </row>
    <row r="17" spans="1:10" x14ac:dyDescent="0.2">
      <c r="A17" s="1480"/>
      <c r="B17" s="1480"/>
      <c r="C17" s="1480"/>
      <c r="D17" s="1480"/>
      <c r="E17" s="1480"/>
      <c r="F17" s="1480"/>
      <c r="G17" s="1480"/>
      <c r="H17" s="1480"/>
      <c r="I17" s="1480"/>
      <c r="J17" s="1480"/>
    </row>
    <row r="18" spans="1:10" x14ac:dyDescent="0.2">
      <c r="A18" s="1480"/>
      <c r="B18" s="1480"/>
      <c r="C18" s="1480"/>
      <c r="D18" s="1480"/>
      <c r="E18" s="1480"/>
      <c r="F18" s="1480"/>
      <c r="G18" s="1480"/>
      <c r="H18" s="1480"/>
      <c r="I18" s="1480"/>
      <c r="J18" s="1480"/>
    </row>
    <row r="19" spans="1:10" x14ac:dyDescent="0.2">
      <c r="A19" s="1480"/>
      <c r="B19" s="1480"/>
      <c r="C19" s="1481"/>
      <c r="D19" s="1480"/>
      <c r="E19" s="1480"/>
      <c r="F19" s="1480"/>
      <c r="G19" s="1480"/>
      <c r="H19" s="1480"/>
      <c r="I19" s="1480"/>
      <c r="J19" s="1480"/>
    </row>
    <row r="20" spans="1:10" x14ac:dyDescent="0.2">
      <c r="A20" s="1480"/>
      <c r="B20" s="1480"/>
      <c r="C20" s="1480"/>
      <c r="D20" s="1480"/>
      <c r="E20" s="1480"/>
      <c r="F20" s="1480"/>
      <c r="G20" s="1480"/>
      <c r="H20" s="1480"/>
      <c r="I20" s="1480"/>
      <c r="J20" s="1480"/>
    </row>
    <row r="21" spans="1:10" x14ac:dyDescent="0.2">
      <c r="A21" s="1480"/>
      <c r="B21" s="1480"/>
      <c r="C21" s="1480"/>
      <c r="D21" s="1480"/>
      <c r="E21" s="1480"/>
      <c r="F21" s="1480"/>
      <c r="G21" s="1480"/>
      <c r="H21" s="1480"/>
      <c r="I21" s="1480"/>
      <c r="J21" s="1480"/>
    </row>
    <row r="22" spans="1:10" x14ac:dyDescent="0.2">
      <c r="A22" s="1480"/>
      <c r="B22" s="1480"/>
      <c r="C22" s="1480"/>
      <c r="D22" s="1480"/>
      <c r="E22" s="1480"/>
      <c r="F22" s="1480"/>
      <c r="G22" s="1480"/>
      <c r="H22" s="1480"/>
      <c r="I22" s="1480"/>
      <c r="J22" s="1480"/>
    </row>
    <row r="23" spans="1:10" x14ac:dyDescent="0.2">
      <c r="A23" s="1480"/>
      <c r="B23" s="1480"/>
      <c r="C23" s="1480"/>
      <c r="D23" s="1480"/>
      <c r="E23" s="1480"/>
      <c r="F23" s="1480"/>
      <c r="G23" s="1480"/>
      <c r="H23" s="1480"/>
      <c r="I23" s="1480"/>
      <c r="J23" s="1480"/>
    </row>
    <row r="24" spans="1:10" x14ac:dyDescent="0.2">
      <c r="A24" s="1480"/>
      <c r="B24" s="1480"/>
      <c r="C24" s="1480"/>
      <c r="D24" s="1480"/>
      <c r="E24" s="1480"/>
      <c r="F24" s="1480"/>
      <c r="G24" s="1480"/>
      <c r="H24" s="1480"/>
      <c r="I24" s="1480"/>
      <c r="J24" s="1480"/>
    </row>
  </sheetData>
  <mergeCells count="2">
    <mergeCell ref="A1:J1"/>
    <mergeCell ref="A8:J8"/>
  </mergeCells>
  <pageMargins left="0.7" right="0.7" top="0.75" bottom="0.75" header="0.3" footer="0.3"/>
  <pageSetup paperSize="9" orientation="portrait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CBDF-DA88-486E-B0E1-3B25712AF19E}">
  <sheetPr>
    <pageSetUpPr fitToPage="1"/>
  </sheetPr>
  <dimension ref="A1:M9"/>
  <sheetViews>
    <sheetView showGridLines="0" workbookViewId="0">
      <selection sqref="A1:K1"/>
    </sheetView>
  </sheetViews>
  <sheetFormatPr defaultRowHeight="15" x14ac:dyDescent="0.25"/>
  <cols>
    <col min="1" max="10" width="9.140625" style="1482"/>
    <col min="11" max="11" width="17.28515625" style="1482" customWidth="1"/>
    <col min="12" max="241" width="9.140625" style="1482"/>
    <col min="242" max="242" width="14.85546875" style="1482" bestFit="1" customWidth="1"/>
    <col min="243" max="247" width="9.140625" style="1482"/>
    <col min="248" max="248" width="29.28515625" style="1482" bestFit="1" customWidth="1"/>
    <col min="249" max="497" width="9.140625" style="1482"/>
    <col min="498" max="498" width="14.85546875" style="1482" bestFit="1" customWidth="1"/>
    <col min="499" max="503" width="9.140625" style="1482"/>
    <col min="504" max="504" width="29.28515625" style="1482" bestFit="1" customWidth="1"/>
    <col min="505" max="753" width="9.140625" style="1482"/>
    <col min="754" max="754" width="14.85546875" style="1482" bestFit="1" customWidth="1"/>
    <col min="755" max="759" width="9.140625" style="1482"/>
    <col min="760" max="760" width="29.28515625" style="1482" bestFit="1" customWidth="1"/>
    <col min="761" max="1009" width="9.140625" style="1482"/>
    <col min="1010" max="1010" width="14.85546875" style="1482" bestFit="1" customWidth="1"/>
    <col min="1011" max="1015" width="9.140625" style="1482"/>
    <col min="1016" max="1016" width="29.28515625" style="1482" bestFit="1" customWidth="1"/>
    <col min="1017" max="1265" width="9.140625" style="1482"/>
    <col min="1266" max="1266" width="14.85546875" style="1482" bestFit="1" customWidth="1"/>
    <col min="1267" max="1271" width="9.140625" style="1482"/>
    <col min="1272" max="1272" width="29.28515625" style="1482" bestFit="1" customWidth="1"/>
    <col min="1273" max="1521" width="9.140625" style="1482"/>
    <col min="1522" max="1522" width="14.85546875" style="1482" bestFit="1" customWidth="1"/>
    <col min="1523" max="1527" width="9.140625" style="1482"/>
    <col min="1528" max="1528" width="29.28515625" style="1482" bestFit="1" customWidth="1"/>
    <col min="1529" max="1777" width="9.140625" style="1482"/>
    <col min="1778" max="1778" width="14.85546875" style="1482" bestFit="1" customWidth="1"/>
    <col min="1779" max="1783" width="9.140625" style="1482"/>
    <col min="1784" max="1784" width="29.28515625" style="1482" bestFit="1" customWidth="1"/>
    <col min="1785" max="2033" width="9.140625" style="1482"/>
    <col min="2034" max="2034" width="14.85546875" style="1482" bestFit="1" customWidth="1"/>
    <col min="2035" max="2039" width="9.140625" style="1482"/>
    <col min="2040" max="2040" width="29.28515625" style="1482" bestFit="1" customWidth="1"/>
    <col min="2041" max="2289" width="9.140625" style="1482"/>
    <col min="2290" max="2290" width="14.85546875" style="1482" bestFit="1" customWidth="1"/>
    <col min="2291" max="2295" width="9.140625" style="1482"/>
    <col min="2296" max="2296" width="29.28515625" style="1482" bestFit="1" customWidth="1"/>
    <col min="2297" max="2545" width="9.140625" style="1482"/>
    <col min="2546" max="2546" width="14.85546875" style="1482" bestFit="1" customWidth="1"/>
    <col min="2547" max="2551" width="9.140625" style="1482"/>
    <col min="2552" max="2552" width="29.28515625" style="1482" bestFit="1" customWidth="1"/>
    <col min="2553" max="2801" width="9.140625" style="1482"/>
    <col min="2802" max="2802" width="14.85546875" style="1482" bestFit="1" customWidth="1"/>
    <col min="2803" max="2807" width="9.140625" style="1482"/>
    <col min="2808" max="2808" width="29.28515625" style="1482" bestFit="1" customWidth="1"/>
    <col min="2809" max="3057" width="9.140625" style="1482"/>
    <col min="3058" max="3058" width="14.85546875" style="1482" bestFit="1" customWidth="1"/>
    <col min="3059" max="3063" width="9.140625" style="1482"/>
    <col min="3064" max="3064" width="29.28515625" style="1482" bestFit="1" customWidth="1"/>
    <col min="3065" max="3313" width="9.140625" style="1482"/>
    <col min="3314" max="3314" width="14.85546875" style="1482" bestFit="1" customWidth="1"/>
    <col min="3315" max="3319" width="9.140625" style="1482"/>
    <col min="3320" max="3320" width="29.28515625" style="1482" bestFit="1" customWidth="1"/>
    <col min="3321" max="3569" width="9.140625" style="1482"/>
    <col min="3570" max="3570" width="14.85546875" style="1482" bestFit="1" customWidth="1"/>
    <col min="3571" max="3575" width="9.140625" style="1482"/>
    <col min="3576" max="3576" width="29.28515625" style="1482" bestFit="1" customWidth="1"/>
    <col min="3577" max="3825" width="9.140625" style="1482"/>
    <col min="3826" max="3826" width="14.85546875" style="1482" bestFit="1" customWidth="1"/>
    <col min="3827" max="3831" width="9.140625" style="1482"/>
    <col min="3832" max="3832" width="29.28515625" style="1482" bestFit="1" customWidth="1"/>
    <col min="3833" max="4081" width="9.140625" style="1482"/>
    <col min="4082" max="4082" width="14.85546875" style="1482" bestFit="1" customWidth="1"/>
    <col min="4083" max="4087" width="9.140625" style="1482"/>
    <col min="4088" max="4088" width="29.28515625" style="1482" bestFit="1" customWidth="1"/>
    <col min="4089" max="4337" width="9.140625" style="1482"/>
    <col min="4338" max="4338" width="14.85546875" style="1482" bestFit="1" customWidth="1"/>
    <col min="4339" max="4343" width="9.140625" style="1482"/>
    <col min="4344" max="4344" width="29.28515625" style="1482" bestFit="1" customWidth="1"/>
    <col min="4345" max="4593" width="9.140625" style="1482"/>
    <col min="4594" max="4594" width="14.85546875" style="1482" bestFit="1" customWidth="1"/>
    <col min="4595" max="4599" width="9.140625" style="1482"/>
    <col min="4600" max="4600" width="29.28515625" style="1482" bestFit="1" customWidth="1"/>
    <col min="4601" max="4849" width="9.140625" style="1482"/>
    <col min="4850" max="4850" width="14.85546875" style="1482" bestFit="1" customWidth="1"/>
    <col min="4851" max="4855" width="9.140625" style="1482"/>
    <col min="4856" max="4856" width="29.28515625" style="1482" bestFit="1" customWidth="1"/>
    <col min="4857" max="5105" width="9.140625" style="1482"/>
    <col min="5106" max="5106" width="14.85546875" style="1482" bestFit="1" customWidth="1"/>
    <col min="5107" max="5111" width="9.140625" style="1482"/>
    <col min="5112" max="5112" width="29.28515625" style="1482" bestFit="1" customWidth="1"/>
    <col min="5113" max="5361" width="9.140625" style="1482"/>
    <col min="5362" max="5362" width="14.85546875" style="1482" bestFit="1" customWidth="1"/>
    <col min="5363" max="5367" width="9.140625" style="1482"/>
    <col min="5368" max="5368" width="29.28515625" style="1482" bestFit="1" customWidth="1"/>
    <col min="5369" max="5617" width="9.140625" style="1482"/>
    <col min="5618" max="5618" width="14.85546875" style="1482" bestFit="1" customWidth="1"/>
    <col min="5619" max="5623" width="9.140625" style="1482"/>
    <col min="5624" max="5624" width="29.28515625" style="1482" bestFit="1" customWidth="1"/>
    <col min="5625" max="5873" width="9.140625" style="1482"/>
    <col min="5874" max="5874" width="14.85546875" style="1482" bestFit="1" customWidth="1"/>
    <col min="5875" max="5879" width="9.140625" style="1482"/>
    <col min="5880" max="5880" width="29.28515625" style="1482" bestFit="1" customWidth="1"/>
    <col min="5881" max="6129" width="9.140625" style="1482"/>
    <col min="6130" max="6130" width="14.85546875" style="1482" bestFit="1" customWidth="1"/>
    <col min="6131" max="6135" width="9.140625" style="1482"/>
    <col min="6136" max="6136" width="29.28515625" style="1482" bestFit="1" customWidth="1"/>
    <col min="6137" max="6385" width="9.140625" style="1482"/>
    <col min="6386" max="6386" width="14.85546875" style="1482" bestFit="1" customWidth="1"/>
    <col min="6387" max="6391" width="9.140625" style="1482"/>
    <col min="6392" max="6392" width="29.28515625" style="1482" bestFit="1" customWidth="1"/>
    <col min="6393" max="6641" width="9.140625" style="1482"/>
    <col min="6642" max="6642" width="14.85546875" style="1482" bestFit="1" customWidth="1"/>
    <col min="6643" max="6647" width="9.140625" style="1482"/>
    <col min="6648" max="6648" width="29.28515625" style="1482" bestFit="1" customWidth="1"/>
    <col min="6649" max="6897" width="9.140625" style="1482"/>
    <col min="6898" max="6898" width="14.85546875" style="1482" bestFit="1" customWidth="1"/>
    <col min="6899" max="6903" width="9.140625" style="1482"/>
    <col min="6904" max="6904" width="29.28515625" style="1482" bestFit="1" customWidth="1"/>
    <col min="6905" max="7153" width="9.140625" style="1482"/>
    <col min="7154" max="7154" width="14.85546875" style="1482" bestFit="1" customWidth="1"/>
    <col min="7155" max="7159" width="9.140625" style="1482"/>
    <col min="7160" max="7160" width="29.28515625" style="1482" bestFit="1" customWidth="1"/>
    <col min="7161" max="7409" width="9.140625" style="1482"/>
    <col min="7410" max="7410" width="14.85546875" style="1482" bestFit="1" customWidth="1"/>
    <col min="7411" max="7415" width="9.140625" style="1482"/>
    <col min="7416" max="7416" width="29.28515625" style="1482" bestFit="1" customWidth="1"/>
    <col min="7417" max="7665" width="9.140625" style="1482"/>
    <col min="7666" max="7666" width="14.85546875" style="1482" bestFit="1" customWidth="1"/>
    <col min="7667" max="7671" width="9.140625" style="1482"/>
    <col min="7672" max="7672" width="29.28515625" style="1482" bestFit="1" customWidth="1"/>
    <col min="7673" max="7921" width="9.140625" style="1482"/>
    <col min="7922" max="7922" width="14.85546875" style="1482" bestFit="1" customWidth="1"/>
    <col min="7923" max="7927" width="9.140625" style="1482"/>
    <col min="7928" max="7928" width="29.28515625" style="1482" bestFit="1" customWidth="1"/>
    <col min="7929" max="8177" width="9.140625" style="1482"/>
    <col min="8178" max="8178" width="14.85546875" style="1482" bestFit="1" customWidth="1"/>
    <col min="8179" max="8183" width="9.140625" style="1482"/>
    <col min="8184" max="8184" width="29.28515625" style="1482" bestFit="1" customWidth="1"/>
    <col min="8185" max="8433" width="9.140625" style="1482"/>
    <col min="8434" max="8434" width="14.85546875" style="1482" bestFit="1" customWidth="1"/>
    <col min="8435" max="8439" width="9.140625" style="1482"/>
    <col min="8440" max="8440" width="29.28515625" style="1482" bestFit="1" customWidth="1"/>
    <col min="8441" max="8689" width="9.140625" style="1482"/>
    <col min="8690" max="8690" width="14.85546875" style="1482" bestFit="1" customWidth="1"/>
    <col min="8691" max="8695" width="9.140625" style="1482"/>
    <col min="8696" max="8696" width="29.28515625" style="1482" bestFit="1" customWidth="1"/>
    <col min="8697" max="8945" width="9.140625" style="1482"/>
    <col min="8946" max="8946" width="14.85546875" style="1482" bestFit="1" customWidth="1"/>
    <col min="8947" max="8951" width="9.140625" style="1482"/>
    <col min="8952" max="8952" width="29.28515625" style="1482" bestFit="1" customWidth="1"/>
    <col min="8953" max="9201" width="9.140625" style="1482"/>
    <col min="9202" max="9202" width="14.85546875" style="1482" bestFit="1" customWidth="1"/>
    <col min="9203" max="9207" width="9.140625" style="1482"/>
    <col min="9208" max="9208" width="29.28515625" style="1482" bestFit="1" customWidth="1"/>
    <col min="9209" max="9457" width="9.140625" style="1482"/>
    <col min="9458" max="9458" width="14.85546875" style="1482" bestFit="1" customWidth="1"/>
    <col min="9459" max="9463" width="9.140625" style="1482"/>
    <col min="9464" max="9464" width="29.28515625" style="1482" bestFit="1" customWidth="1"/>
    <col min="9465" max="9713" width="9.140625" style="1482"/>
    <col min="9714" max="9714" width="14.85546875" style="1482" bestFit="1" customWidth="1"/>
    <col min="9715" max="9719" width="9.140625" style="1482"/>
    <col min="9720" max="9720" width="29.28515625" style="1482" bestFit="1" customWidth="1"/>
    <col min="9721" max="9969" width="9.140625" style="1482"/>
    <col min="9970" max="9970" width="14.85546875" style="1482" bestFit="1" customWidth="1"/>
    <col min="9971" max="9975" width="9.140625" style="1482"/>
    <col min="9976" max="9976" width="29.28515625" style="1482" bestFit="1" customWidth="1"/>
    <col min="9977" max="10225" width="9.140625" style="1482"/>
    <col min="10226" max="10226" width="14.85546875" style="1482" bestFit="1" customWidth="1"/>
    <col min="10227" max="10231" width="9.140625" style="1482"/>
    <col min="10232" max="10232" width="29.28515625" style="1482" bestFit="1" customWidth="1"/>
    <col min="10233" max="10481" width="9.140625" style="1482"/>
    <col min="10482" max="10482" width="14.85546875" style="1482" bestFit="1" customWidth="1"/>
    <col min="10483" max="10487" width="9.140625" style="1482"/>
    <col min="10488" max="10488" width="29.28515625" style="1482" bestFit="1" customWidth="1"/>
    <col min="10489" max="10737" width="9.140625" style="1482"/>
    <col min="10738" max="10738" width="14.85546875" style="1482" bestFit="1" customWidth="1"/>
    <col min="10739" max="10743" width="9.140625" style="1482"/>
    <col min="10744" max="10744" width="29.28515625" style="1482" bestFit="1" customWidth="1"/>
    <col min="10745" max="10993" width="9.140625" style="1482"/>
    <col min="10994" max="10994" width="14.85546875" style="1482" bestFit="1" customWidth="1"/>
    <col min="10995" max="10999" width="9.140625" style="1482"/>
    <col min="11000" max="11000" width="29.28515625" style="1482" bestFit="1" customWidth="1"/>
    <col min="11001" max="11249" width="9.140625" style="1482"/>
    <col min="11250" max="11250" width="14.85546875" style="1482" bestFit="1" customWidth="1"/>
    <col min="11251" max="11255" width="9.140625" style="1482"/>
    <col min="11256" max="11256" width="29.28515625" style="1482" bestFit="1" customWidth="1"/>
    <col min="11257" max="11505" width="9.140625" style="1482"/>
    <col min="11506" max="11506" width="14.85546875" style="1482" bestFit="1" customWidth="1"/>
    <col min="11507" max="11511" width="9.140625" style="1482"/>
    <col min="11512" max="11512" width="29.28515625" style="1482" bestFit="1" customWidth="1"/>
    <col min="11513" max="11761" width="9.140625" style="1482"/>
    <col min="11762" max="11762" width="14.85546875" style="1482" bestFit="1" customWidth="1"/>
    <col min="11763" max="11767" width="9.140625" style="1482"/>
    <col min="11768" max="11768" width="29.28515625" style="1482" bestFit="1" customWidth="1"/>
    <col min="11769" max="12017" width="9.140625" style="1482"/>
    <col min="12018" max="12018" width="14.85546875" style="1482" bestFit="1" customWidth="1"/>
    <col min="12019" max="12023" width="9.140625" style="1482"/>
    <col min="12024" max="12024" width="29.28515625" style="1482" bestFit="1" customWidth="1"/>
    <col min="12025" max="12273" width="9.140625" style="1482"/>
    <col min="12274" max="12274" width="14.85546875" style="1482" bestFit="1" customWidth="1"/>
    <col min="12275" max="12279" width="9.140625" style="1482"/>
    <col min="12280" max="12280" width="29.28515625" style="1482" bestFit="1" customWidth="1"/>
    <col min="12281" max="12529" width="9.140625" style="1482"/>
    <col min="12530" max="12530" width="14.85546875" style="1482" bestFit="1" customWidth="1"/>
    <col min="12531" max="12535" width="9.140625" style="1482"/>
    <col min="12536" max="12536" width="29.28515625" style="1482" bestFit="1" customWidth="1"/>
    <col min="12537" max="12785" width="9.140625" style="1482"/>
    <col min="12786" max="12786" width="14.85546875" style="1482" bestFit="1" customWidth="1"/>
    <col min="12787" max="12791" width="9.140625" style="1482"/>
    <col min="12792" max="12792" width="29.28515625" style="1482" bestFit="1" customWidth="1"/>
    <col min="12793" max="13041" width="9.140625" style="1482"/>
    <col min="13042" max="13042" width="14.85546875" style="1482" bestFit="1" customWidth="1"/>
    <col min="13043" max="13047" width="9.140625" style="1482"/>
    <col min="13048" max="13048" width="29.28515625" style="1482" bestFit="1" customWidth="1"/>
    <col min="13049" max="13297" width="9.140625" style="1482"/>
    <col min="13298" max="13298" width="14.85546875" style="1482" bestFit="1" customWidth="1"/>
    <col min="13299" max="13303" width="9.140625" style="1482"/>
    <col min="13304" max="13304" width="29.28515625" style="1482" bestFit="1" customWidth="1"/>
    <col min="13305" max="13553" width="9.140625" style="1482"/>
    <col min="13554" max="13554" width="14.85546875" style="1482" bestFit="1" customWidth="1"/>
    <col min="13555" max="13559" width="9.140625" style="1482"/>
    <col min="13560" max="13560" width="29.28515625" style="1482" bestFit="1" customWidth="1"/>
    <col min="13561" max="13809" width="9.140625" style="1482"/>
    <col min="13810" max="13810" width="14.85546875" style="1482" bestFit="1" customWidth="1"/>
    <col min="13811" max="13815" width="9.140625" style="1482"/>
    <col min="13816" max="13816" width="29.28515625" style="1482" bestFit="1" customWidth="1"/>
    <col min="13817" max="14065" width="9.140625" style="1482"/>
    <col min="14066" max="14066" width="14.85546875" style="1482" bestFit="1" customWidth="1"/>
    <col min="14067" max="14071" width="9.140625" style="1482"/>
    <col min="14072" max="14072" width="29.28515625" style="1482" bestFit="1" customWidth="1"/>
    <col min="14073" max="14321" width="9.140625" style="1482"/>
    <col min="14322" max="14322" width="14.85546875" style="1482" bestFit="1" customWidth="1"/>
    <col min="14323" max="14327" width="9.140625" style="1482"/>
    <col min="14328" max="14328" width="29.28515625" style="1482" bestFit="1" customWidth="1"/>
    <col min="14329" max="14577" width="9.140625" style="1482"/>
    <col min="14578" max="14578" width="14.85546875" style="1482" bestFit="1" customWidth="1"/>
    <col min="14579" max="14583" width="9.140625" style="1482"/>
    <col min="14584" max="14584" width="29.28515625" style="1482" bestFit="1" customWidth="1"/>
    <col min="14585" max="14833" width="9.140625" style="1482"/>
    <col min="14834" max="14834" width="14.85546875" style="1482" bestFit="1" customWidth="1"/>
    <col min="14835" max="14839" width="9.140625" style="1482"/>
    <col min="14840" max="14840" width="29.28515625" style="1482" bestFit="1" customWidth="1"/>
    <col min="14841" max="15089" width="9.140625" style="1482"/>
    <col min="15090" max="15090" width="14.85546875" style="1482" bestFit="1" customWidth="1"/>
    <col min="15091" max="15095" width="9.140625" style="1482"/>
    <col min="15096" max="15096" width="29.28515625" style="1482" bestFit="1" customWidth="1"/>
    <col min="15097" max="15345" width="9.140625" style="1482"/>
    <col min="15346" max="15346" width="14.85546875" style="1482" bestFit="1" customWidth="1"/>
    <col min="15347" max="15351" width="9.140625" style="1482"/>
    <col min="15352" max="15352" width="29.28515625" style="1482" bestFit="1" customWidth="1"/>
    <col min="15353" max="15601" width="9.140625" style="1482"/>
    <col min="15602" max="15602" width="14.85546875" style="1482" bestFit="1" customWidth="1"/>
    <col min="15603" max="15607" width="9.140625" style="1482"/>
    <col min="15608" max="15608" width="29.28515625" style="1482" bestFit="1" customWidth="1"/>
    <col min="15609" max="15857" width="9.140625" style="1482"/>
    <col min="15858" max="15858" width="14.85546875" style="1482" bestFit="1" customWidth="1"/>
    <col min="15859" max="15863" width="9.140625" style="1482"/>
    <col min="15864" max="15864" width="29.28515625" style="1482" bestFit="1" customWidth="1"/>
    <col min="15865" max="16113" width="9.140625" style="1482"/>
    <col min="16114" max="16114" width="14.85546875" style="1482" bestFit="1" customWidth="1"/>
    <col min="16115" max="16119" width="9.140625" style="1482"/>
    <col min="16120" max="16120" width="29.28515625" style="1482" bestFit="1" customWidth="1"/>
    <col min="16121" max="16384" width="9.140625" style="1482"/>
  </cols>
  <sheetData>
    <row r="1" spans="1:13" x14ac:dyDescent="0.25">
      <c r="A1" s="1614" t="s">
        <v>683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</row>
    <row r="2" spans="1:13" ht="25.5" x14ac:dyDescent="0.25">
      <c r="A2" s="1434"/>
      <c r="B2" s="1466" t="s">
        <v>1164</v>
      </c>
      <c r="C2" s="1466" t="s">
        <v>1165</v>
      </c>
      <c r="D2" s="1466" t="s">
        <v>1166</v>
      </c>
      <c r="E2" s="1466" t="s">
        <v>1167</v>
      </c>
      <c r="F2" s="1466" t="s">
        <v>1168</v>
      </c>
      <c r="G2" s="1466" t="s">
        <v>1169</v>
      </c>
      <c r="H2" s="1466" t="s">
        <v>1170</v>
      </c>
      <c r="I2" s="1466" t="s">
        <v>1171</v>
      </c>
      <c r="J2" s="1466" t="s">
        <v>1172</v>
      </c>
      <c r="K2" s="1435" t="s">
        <v>1173</v>
      </c>
    </row>
    <row r="3" spans="1:13" x14ac:dyDescent="0.25">
      <c r="A3" s="1483">
        <v>2016</v>
      </c>
      <c r="B3" s="1476">
        <v>3.1253624557722333</v>
      </c>
      <c r="C3" s="1476"/>
      <c r="D3" s="1476"/>
      <c r="E3" s="1476"/>
      <c r="F3" s="1476"/>
      <c r="G3" s="1476"/>
      <c r="H3" s="1476"/>
      <c r="I3" s="1476"/>
      <c r="J3" s="1476"/>
      <c r="K3" s="1476">
        <v>3.1253624557722333</v>
      </c>
      <c r="M3" s="1484"/>
    </row>
    <row r="4" spans="1:13" x14ac:dyDescent="0.25">
      <c r="A4" s="1483">
        <v>2017</v>
      </c>
      <c r="B4" s="1476">
        <v>3.1883556147536325</v>
      </c>
      <c r="C4" s="1476"/>
      <c r="D4" s="1476"/>
      <c r="E4" s="1476"/>
      <c r="F4" s="1476"/>
      <c r="G4" s="1476"/>
      <c r="H4" s="1476"/>
      <c r="I4" s="1476"/>
      <c r="J4" s="1476"/>
      <c r="K4" s="1476">
        <v>3.1883556147536325</v>
      </c>
    </row>
    <row r="5" spans="1:13" x14ac:dyDescent="0.25">
      <c r="A5" s="1483">
        <v>2018</v>
      </c>
      <c r="B5" s="1476">
        <v>3.2610190941817789</v>
      </c>
      <c r="C5" s="1476">
        <v>0.27933249734347132</v>
      </c>
      <c r="D5" s="1476">
        <v>0.20141838315886912</v>
      </c>
      <c r="E5" s="1476">
        <v>0.17210458180944402</v>
      </c>
      <c r="F5" s="1476">
        <v>0.16086201352947774</v>
      </c>
      <c r="G5" s="1476">
        <v>0.16086201352947774</v>
      </c>
      <c r="H5" s="1476">
        <v>0.17210458180944402</v>
      </c>
      <c r="I5" s="1476">
        <v>0.20141838315886912</v>
      </c>
      <c r="J5" s="1476">
        <v>0.27933249734347132</v>
      </c>
      <c r="K5" s="1476">
        <v>4.0747365700230409</v>
      </c>
    </row>
    <row r="6" spans="1:13" x14ac:dyDescent="0.25">
      <c r="A6" s="1483">
        <v>2019</v>
      </c>
      <c r="B6" s="1476">
        <v>2.8437232234124545</v>
      </c>
      <c r="C6" s="1476">
        <v>0.56839850772684852</v>
      </c>
      <c r="D6" s="1476">
        <v>0.40985531402557229</v>
      </c>
      <c r="E6" s="1476">
        <v>0.35020625385078447</v>
      </c>
      <c r="F6" s="1476">
        <v>0.32732936306964316</v>
      </c>
      <c r="G6" s="1476">
        <v>0.32732936306964316</v>
      </c>
      <c r="H6" s="1476">
        <v>0.35020625385078447</v>
      </c>
      <c r="I6" s="1476">
        <v>0.40985531402557229</v>
      </c>
      <c r="J6" s="1476">
        <v>0.56839850772684852</v>
      </c>
      <c r="K6" s="1476">
        <v>4.4995126620853032</v>
      </c>
    </row>
    <row r="7" spans="1:13" x14ac:dyDescent="0.25">
      <c r="A7" s="1483">
        <v>2020</v>
      </c>
      <c r="B7" s="1476">
        <v>2.1266839258610073</v>
      </c>
      <c r="C7" s="1476">
        <v>0.61385385866014719</v>
      </c>
      <c r="D7" s="1476">
        <v>0.44263182008188762</v>
      </c>
      <c r="E7" s="1476">
        <v>0.37821256975665457</v>
      </c>
      <c r="F7" s="1476">
        <v>0.35350619299941838</v>
      </c>
      <c r="G7" s="1476">
        <v>0.35350619299941838</v>
      </c>
      <c r="H7" s="1476">
        <v>0.37821256975665457</v>
      </c>
      <c r="I7" s="1476">
        <v>0.44263182008188762</v>
      </c>
      <c r="J7" s="1476">
        <v>0.61385385866014719</v>
      </c>
      <c r="K7" s="1476">
        <v>3.9148883673591151</v>
      </c>
    </row>
    <row r="8" spans="1:13" x14ac:dyDescent="0.25">
      <c r="A8" s="1485">
        <v>2021</v>
      </c>
      <c r="B8" s="1478">
        <v>0.68682913507462473</v>
      </c>
      <c r="C8" s="1478">
        <v>0.90572533950027201</v>
      </c>
      <c r="D8" s="1478">
        <v>0.65309169252814958</v>
      </c>
      <c r="E8" s="1478">
        <v>0.55804277078881825</v>
      </c>
      <c r="F8" s="1478">
        <v>0.52158915701645925</v>
      </c>
      <c r="G8" s="1478">
        <v>0.52158915701645925</v>
      </c>
      <c r="H8" s="1478">
        <v>0.55804277078881825</v>
      </c>
      <c r="I8" s="1478">
        <v>0.65309169252814958</v>
      </c>
      <c r="J8" s="1478">
        <v>0.90572533950027201</v>
      </c>
      <c r="K8" s="1478">
        <v>3.3252780949083238</v>
      </c>
    </row>
    <row r="9" spans="1:13" x14ac:dyDescent="0.25">
      <c r="K9" s="1442" t="s">
        <v>1163</v>
      </c>
    </row>
  </sheetData>
  <mergeCells count="1">
    <mergeCell ref="A1:K1"/>
  </mergeCells>
  <pageMargins left="0.25" right="0.25" top="0.75" bottom="0.75" header="0.3" footer="0.3"/>
  <pageSetup scale="95" fitToHeight="0" orientation="portrait" horizontalDpi="4294967294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E54E-7344-41FB-9CB5-E85E6517DE9F}">
  <sheetPr codeName="Sheet2"/>
  <dimension ref="A1:I21"/>
  <sheetViews>
    <sheetView topLeftCell="B1" zoomScaleNormal="100" workbookViewId="0">
      <selection activeCell="G1" sqref="G1"/>
    </sheetView>
  </sheetViews>
  <sheetFormatPr defaultColWidth="11.42578125" defaultRowHeight="15" x14ac:dyDescent="0.25"/>
  <cols>
    <col min="1" max="1" width="10.5703125" style="1320" customWidth="1"/>
    <col min="2" max="2" width="10" style="1320" bestFit="1" customWidth="1"/>
    <col min="3" max="3" width="14.140625" style="1320" bestFit="1" customWidth="1"/>
    <col min="4" max="4" width="17.28515625" style="1320" bestFit="1" customWidth="1"/>
    <col min="5" max="5" width="17.28515625" style="1320" customWidth="1"/>
    <col min="6" max="6" width="12.42578125" style="1320" customWidth="1"/>
    <col min="7" max="7" width="107.28515625" style="1320" bestFit="1" customWidth="1"/>
    <col min="8" max="255" width="11.42578125" style="1320"/>
    <col min="256" max="256" width="13.140625" style="1320" bestFit="1" customWidth="1"/>
    <col min="257" max="257" width="10.5703125" style="1320" customWidth="1"/>
    <col min="258" max="258" width="10" style="1320" bestFit="1" customWidth="1"/>
    <col min="259" max="259" width="14.140625" style="1320" bestFit="1" customWidth="1"/>
    <col min="260" max="260" width="17.28515625" style="1320" bestFit="1" customWidth="1"/>
    <col min="261" max="261" width="17.28515625" style="1320" customWidth="1"/>
    <col min="262" max="262" width="12.42578125" style="1320" customWidth="1"/>
    <col min="263" max="263" width="107.28515625" style="1320" bestFit="1" customWidth="1"/>
    <col min="264" max="511" width="11.42578125" style="1320"/>
    <col min="512" max="512" width="13.140625" style="1320" bestFit="1" customWidth="1"/>
    <col min="513" max="513" width="10.5703125" style="1320" customWidth="1"/>
    <col min="514" max="514" width="10" style="1320" bestFit="1" customWidth="1"/>
    <col min="515" max="515" width="14.140625" style="1320" bestFit="1" customWidth="1"/>
    <col min="516" max="516" width="17.28515625" style="1320" bestFit="1" customWidth="1"/>
    <col min="517" max="517" width="17.28515625" style="1320" customWidth="1"/>
    <col min="518" max="518" width="12.42578125" style="1320" customWidth="1"/>
    <col min="519" max="519" width="107.28515625" style="1320" bestFit="1" customWidth="1"/>
    <col min="520" max="767" width="11.42578125" style="1320"/>
    <col min="768" max="768" width="13.140625" style="1320" bestFit="1" customWidth="1"/>
    <col min="769" max="769" width="10.5703125" style="1320" customWidth="1"/>
    <col min="770" max="770" width="10" style="1320" bestFit="1" customWidth="1"/>
    <col min="771" max="771" width="14.140625" style="1320" bestFit="1" customWidth="1"/>
    <col min="772" max="772" width="17.28515625" style="1320" bestFit="1" customWidth="1"/>
    <col min="773" max="773" width="17.28515625" style="1320" customWidth="1"/>
    <col min="774" max="774" width="12.42578125" style="1320" customWidth="1"/>
    <col min="775" max="775" width="107.28515625" style="1320" bestFit="1" customWidth="1"/>
    <col min="776" max="1023" width="11.42578125" style="1320"/>
    <col min="1024" max="1024" width="13.140625" style="1320" bestFit="1" customWidth="1"/>
    <col min="1025" max="1025" width="10.5703125" style="1320" customWidth="1"/>
    <col min="1026" max="1026" width="10" style="1320" bestFit="1" customWidth="1"/>
    <col min="1027" max="1027" width="14.140625" style="1320" bestFit="1" customWidth="1"/>
    <col min="1028" max="1028" width="17.28515625" style="1320" bestFit="1" customWidth="1"/>
    <col min="1029" max="1029" width="17.28515625" style="1320" customWidth="1"/>
    <col min="1030" max="1030" width="12.42578125" style="1320" customWidth="1"/>
    <col min="1031" max="1031" width="107.28515625" style="1320" bestFit="1" customWidth="1"/>
    <col min="1032" max="1279" width="11.42578125" style="1320"/>
    <col min="1280" max="1280" width="13.140625" style="1320" bestFit="1" customWidth="1"/>
    <col min="1281" max="1281" width="10.5703125" style="1320" customWidth="1"/>
    <col min="1282" max="1282" width="10" style="1320" bestFit="1" customWidth="1"/>
    <col min="1283" max="1283" width="14.140625" style="1320" bestFit="1" customWidth="1"/>
    <col min="1284" max="1284" width="17.28515625" style="1320" bestFit="1" customWidth="1"/>
    <col min="1285" max="1285" width="17.28515625" style="1320" customWidth="1"/>
    <col min="1286" max="1286" width="12.42578125" style="1320" customWidth="1"/>
    <col min="1287" max="1287" width="107.28515625" style="1320" bestFit="1" customWidth="1"/>
    <col min="1288" max="1535" width="11.42578125" style="1320"/>
    <col min="1536" max="1536" width="13.140625" style="1320" bestFit="1" customWidth="1"/>
    <col min="1537" max="1537" width="10.5703125" style="1320" customWidth="1"/>
    <col min="1538" max="1538" width="10" style="1320" bestFit="1" customWidth="1"/>
    <col min="1539" max="1539" width="14.140625" style="1320" bestFit="1" customWidth="1"/>
    <col min="1540" max="1540" width="17.28515625" style="1320" bestFit="1" customWidth="1"/>
    <col min="1541" max="1541" width="17.28515625" style="1320" customWidth="1"/>
    <col min="1542" max="1542" width="12.42578125" style="1320" customWidth="1"/>
    <col min="1543" max="1543" width="107.28515625" style="1320" bestFit="1" customWidth="1"/>
    <col min="1544" max="1791" width="11.42578125" style="1320"/>
    <col min="1792" max="1792" width="13.140625" style="1320" bestFit="1" customWidth="1"/>
    <col min="1793" max="1793" width="10.5703125" style="1320" customWidth="1"/>
    <col min="1794" max="1794" width="10" style="1320" bestFit="1" customWidth="1"/>
    <col min="1795" max="1795" width="14.140625" style="1320" bestFit="1" customWidth="1"/>
    <col min="1796" max="1796" width="17.28515625" style="1320" bestFit="1" customWidth="1"/>
    <col min="1797" max="1797" width="17.28515625" style="1320" customWidth="1"/>
    <col min="1798" max="1798" width="12.42578125" style="1320" customWidth="1"/>
    <col min="1799" max="1799" width="107.28515625" style="1320" bestFit="1" customWidth="1"/>
    <col min="1800" max="2047" width="11.42578125" style="1320"/>
    <col min="2048" max="2048" width="13.140625" style="1320" bestFit="1" customWidth="1"/>
    <col min="2049" max="2049" width="10.5703125" style="1320" customWidth="1"/>
    <col min="2050" max="2050" width="10" style="1320" bestFit="1" customWidth="1"/>
    <col min="2051" max="2051" width="14.140625" style="1320" bestFit="1" customWidth="1"/>
    <col min="2052" max="2052" width="17.28515625" style="1320" bestFit="1" customWidth="1"/>
    <col min="2053" max="2053" width="17.28515625" style="1320" customWidth="1"/>
    <col min="2054" max="2054" width="12.42578125" style="1320" customWidth="1"/>
    <col min="2055" max="2055" width="107.28515625" style="1320" bestFit="1" customWidth="1"/>
    <col min="2056" max="2303" width="11.42578125" style="1320"/>
    <col min="2304" max="2304" width="13.140625" style="1320" bestFit="1" customWidth="1"/>
    <col min="2305" max="2305" width="10.5703125" style="1320" customWidth="1"/>
    <col min="2306" max="2306" width="10" style="1320" bestFit="1" customWidth="1"/>
    <col min="2307" max="2307" width="14.140625" style="1320" bestFit="1" customWidth="1"/>
    <col min="2308" max="2308" width="17.28515625" style="1320" bestFit="1" customWidth="1"/>
    <col min="2309" max="2309" width="17.28515625" style="1320" customWidth="1"/>
    <col min="2310" max="2310" width="12.42578125" style="1320" customWidth="1"/>
    <col min="2311" max="2311" width="107.28515625" style="1320" bestFit="1" customWidth="1"/>
    <col min="2312" max="2559" width="11.42578125" style="1320"/>
    <col min="2560" max="2560" width="13.140625" style="1320" bestFit="1" customWidth="1"/>
    <col min="2561" max="2561" width="10.5703125" style="1320" customWidth="1"/>
    <col min="2562" max="2562" width="10" style="1320" bestFit="1" customWidth="1"/>
    <col min="2563" max="2563" width="14.140625" style="1320" bestFit="1" customWidth="1"/>
    <col min="2564" max="2564" width="17.28515625" style="1320" bestFit="1" customWidth="1"/>
    <col min="2565" max="2565" width="17.28515625" style="1320" customWidth="1"/>
    <col min="2566" max="2566" width="12.42578125" style="1320" customWidth="1"/>
    <col min="2567" max="2567" width="107.28515625" style="1320" bestFit="1" customWidth="1"/>
    <col min="2568" max="2815" width="11.42578125" style="1320"/>
    <col min="2816" max="2816" width="13.140625" style="1320" bestFit="1" customWidth="1"/>
    <col min="2817" max="2817" width="10.5703125" style="1320" customWidth="1"/>
    <col min="2818" max="2818" width="10" style="1320" bestFit="1" customWidth="1"/>
    <col min="2819" max="2819" width="14.140625" style="1320" bestFit="1" customWidth="1"/>
    <col min="2820" max="2820" width="17.28515625" style="1320" bestFit="1" customWidth="1"/>
    <col min="2821" max="2821" width="17.28515625" style="1320" customWidth="1"/>
    <col min="2822" max="2822" width="12.42578125" style="1320" customWidth="1"/>
    <col min="2823" max="2823" width="107.28515625" style="1320" bestFit="1" customWidth="1"/>
    <col min="2824" max="3071" width="11.42578125" style="1320"/>
    <col min="3072" max="3072" width="13.140625" style="1320" bestFit="1" customWidth="1"/>
    <col min="3073" max="3073" width="10.5703125" style="1320" customWidth="1"/>
    <col min="3074" max="3074" width="10" style="1320" bestFit="1" customWidth="1"/>
    <col min="3075" max="3075" width="14.140625" style="1320" bestFit="1" customWidth="1"/>
    <col min="3076" max="3076" width="17.28515625" style="1320" bestFit="1" customWidth="1"/>
    <col min="3077" max="3077" width="17.28515625" style="1320" customWidth="1"/>
    <col min="3078" max="3078" width="12.42578125" style="1320" customWidth="1"/>
    <col min="3079" max="3079" width="107.28515625" style="1320" bestFit="1" customWidth="1"/>
    <col min="3080" max="3327" width="11.42578125" style="1320"/>
    <col min="3328" max="3328" width="13.140625" style="1320" bestFit="1" customWidth="1"/>
    <col min="3329" max="3329" width="10.5703125" style="1320" customWidth="1"/>
    <col min="3330" max="3330" width="10" style="1320" bestFit="1" customWidth="1"/>
    <col min="3331" max="3331" width="14.140625" style="1320" bestFit="1" customWidth="1"/>
    <col min="3332" max="3332" width="17.28515625" style="1320" bestFit="1" customWidth="1"/>
    <col min="3333" max="3333" width="17.28515625" style="1320" customWidth="1"/>
    <col min="3334" max="3334" width="12.42578125" style="1320" customWidth="1"/>
    <col min="3335" max="3335" width="107.28515625" style="1320" bestFit="1" customWidth="1"/>
    <col min="3336" max="3583" width="11.42578125" style="1320"/>
    <col min="3584" max="3584" width="13.140625" style="1320" bestFit="1" customWidth="1"/>
    <col min="3585" max="3585" width="10.5703125" style="1320" customWidth="1"/>
    <col min="3586" max="3586" width="10" style="1320" bestFit="1" customWidth="1"/>
    <col min="3587" max="3587" width="14.140625" style="1320" bestFit="1" customWidth="1"/>
    <col min="3588" max="3588" width="17.28515625" style="1320" bestFit="1" customWidth="1"/>
    <col min="3589" max="3589" width="17.28515625" style="1320" customWidth="1"/>
    <col min="3590" max="3590" width="12.42578125" style="1320" customWidth="1"/>
    <col min="3591" max="3591" width="107.28515625" style="1320" bestFit="1" customWidth="1"/>
    <col min="3592" max="3839" width="11.42578125" style="1320"/>
    <col min="3840" max="3840" width="13.140625" style="1320" bestFit="1" customWidth="1"/>
    <col min="3841" max="3841" width="10.5703125" style="1320" customWidth="1"/>
    <col min="3842" max="3842" width="10" style="1320" bestFit="1" customWidth="1"/>
    <col min="3843" max="3843" width="14.140625" style="1320" bestFit="1" customWidth="1"/>
    <col min="3844" max="3844" width="17.28515625" style="1320" bestFit="1" customWidth="1"/>
    <col min="3845" max="3845" width="17.28515625" style="1320" customWidth="1"/>
    <col min="3846" max="3846" width="12.42578125" style="1320" customWidth="1"/>
    <col min="3847" max="3847" width="107.28515625" style="1320" bestFit="1" customWidth="1"/>
    <col min="3848" max="4095" width="11.42578125" style="1320"/>
    <col min="4096" max="4096" width="13.140625" style="1320" bestFit="1" customWidth="1"/>
    <col min="4097" max="4097" width="10.5703125" style="1320" customWidth="1"/>
    <col min="4098" max="4098" width="10" style="1320" bestFit="1" customWidth="1"/>
    <col min="4099" max="4099" width="14.140625" style="1320" bestFit="1" customWidth="1"/>
    <col min="4100" max="4100" width="17.28515625" style="1320" bestFit="1" customWidth="1"/>
    <col min="4101" max="4101" width="17.28515625" style="1320" customWidth="1"/>
    <col min="4102" max="4102" width="12.42578125" style="1320" customWidth="1"/>
    <col min="4103" max="4103" width="107.28515625" style="1320" bestFit="1" customWidth="1"/>
    <col min="4104" max="4351" width="11.42578125" style="1320"/>
    <col min="4352" max="4352" width="13.140625" style="1320" bestFit="1" customWidth="1"/>
    <col min="4353" max="4353" width="10.5703125" style="1320" customWidth="1"/>
    <col min="4354" max="4354" width="10" style="1320" bestFit="1" customWidth="1"/>
    <col min="4355" max="4355" width="14.140625" style="1320" bestFit="1" customWidth="1"/>
    <col min="4356" max="4356" width="17.28515625" style="1320" bestFit="1" customWidth="1"/>
    <col min="4357" max="4357" width="17.28515625" style="1320" customWidth="1"/>
    <col min="4358" max="4358" width="12.42578125" style="1320" customWidth="1"/>
    <col min="4359" max="4359" width="107.28515625" style="1320" bestFit="1" customWidth="1"/>
    <col min="4360" max="4607" width="11.42578125" style="1320"/>
    <col min="4608" max="4608" width="13.140625" style="1320" bestFit="1" customWidth="1"/>
    <col min="4609" max="4609" width="10.5703125" style="1320" customWidth="1"/>
    <col min="4610" max="4610" width="10" style="1320" bestFit="1" customWidth="1"/>
    <col min="4611" max="4611" width="14.140625" style="1320" bestFit="1" customWidth="1"/>
    <col min="4612" max="4612" width="17.28515625" style="1320" bestFit="1" customWidth="1"/>
    <col min="4613" max="4613" width="17.28515625" style="1320" customWidth="1"/>
    <col min="4614" max="4614" width="12.42578125" style="1320" customWidth="1"/>
    <col min="4615" max="4615" width="107.28515625" style="1320" bestFit="1" customWidth="1"/>
    <col min="4616" max="4863" width="11.42578125" style="1320"/>
    <col min="4864" max="4864" width="13.140625" style="1320" bestFit="1" customWidth="1"/>
    <col min="4865" max="4865" width="10.5703125" style="1320" customWidth="1"/>
    <col min="4866" max="4866" width="10" style="1320" bestFit="1" customWidth="1"/>
    <col min="4867" max="4867" width="14.140625" style="1320" bestFit="1" customWidth="1"/>
    <col min="4868" max="4868" width="17.28515625" style="1320" bestFit="1" customWidth="1"/>
    <col min="4869" max="4869" width="17.28515625" style="1320" customWidth="1"/>
    <col min="4870" max="4870" width="12.42578125" style="1320" customWidth="1"/>
    <col min="4871" max="4871" width="107.28515625" style="1320" bestFit="1" customWidth="1"/>
    <col min="4872" max="5119" width="11.42578125" style="1320"/>
    <col min="5120" max="5120" width="13.140625" style="1320" bestFit="1" customWidth="1"/>
    <col min="5121" max="5121" width="10.5703125" style="1320" customWidth="1"/>
    <col min="5122" max="5122" width="10" style="1320" bestFit="1" customWidth="1"/>
    <col min="5123" max="5123" width="14.140625" style="1320" bestFit="1" customWidth="1"/>
    <col min="5124" max="5124" width="17.28515625" style="1320" bestFit="1" customWidth="1"/>
    <col min="5125" max="5125" width="17.28515625" style="1320" customWidth="1"/>
    <col min="5126" max="5126" width="12.42578125" style="1320" customWidth="1"/>
    <col min="5127" max="5127" width="107.28515625" style="1320" bestFit="1" customWidth="1"/>
    <col min="5128" max="5375" width="11.42578125" style="1320"/>
    <col min="5376" max="5376" width="13.140625" style="1320" bestFit="1" customWidth="1"/>
    <col min="5377" max="5377" width="10.5703125" style="1320" customWidth="1"/>
    <col min="5378" max="5378" width="10" style="1320" bestFit="1" customWidth="1"/>
    <col min="5379" max="5379" width="14.140625" style="1320" bestFit="1" customWidth="1"/>
    <col min="5380" max="5380" width="17.28515625" style="1320" bestFit="1" customWidth="1"/>
    <col min="5381" max="5381" width="17.28515625" style="1320" customWidth="1"/>
    <col min="5382" max="5382" width="12.42578125" style="1320" customWidth="1"/>
    <col min="5383" max="5383" width="107.28515625" style="1320" bestFit="1" customWidth="1"/>
    <col min="5384" max="5631" width="11.42578125" style="1320"/>
    <col min="5632" max="5632" width="13.140625" style="1320" bestFit="1" customWidth="1"/>
    <col min="5633" max="5633" width="10.5703125" style="1320" customWidth="1"/>
    <col min="5634" max="5634" width="10" style="1320" bestFit="1" customWidth="1"/>
    <col min="5635" max="5635" width="14.140625" style="1320" bestFit="1" customWidth="1"/>
    <col min="5636" max="5636" width="17.28515625" style="1320" bestFit="1" customWidth="1"/>
    <col min="5637" max="5637" width="17.28515625" style="1320" customWidth="1"/>
    <col min="5638" max="5638" width="12.42578125" style="1320" customWidth="1"/>
    <col min="5639" max="5639" width="107.28515625" style="1320" bestFit="1" customWidth="1"/>
    <col min="5640" max="5887" width="11.42578125" style="1320"/>
    <col min="5888" max="5888" width="13.140625" style="1320" bestFit="1" customWidth="1"/>
    <col min="5889" max="5889" width="10.5703125" style="1320" customWidth="1"/>
    <col min="5890" max="5890" width="10" style="1320" bestFit="1" customWidth="1"/>
    <col min="5891" max="5891" width="14.140625" style="1320" bestFit="1" customWidth="1"/>
    <col min="5892" max="5892" width="17.28515625" style="1320" bestFit="1" customWidth="1"/>
    <col min="5893" max="5893" width="17.28515625" style="1320" customWidth="1"/>
    <col min="5894" max="5894" width="12.42578125" style="1320" customWidth="1"/>
    <col min="5895" max="5895" width="107.28515625" style="1320" bestFit="1" customWidth="1"/>
    <col min="5896" max="6143" width="11.42578125" style="1320"/>
    <col min="6144" max="6144" width="13.140625" style="1320" bestFit="1" customWidth="1"/>
    <col min="6145" max="6145" width="10.5703125" style="1320" customWidth="1"/>
    <col min="6146" max="6146" width="10" style="1320" bestFit="1" customWidth="1"/>
    <col min="6147" max="6147" width="14.140625" style="1320" bestFit="1" customWidth="1"/>
    <col min="6148" max="6148" width="17.28515625" style="1320" bestFit="1" customWidth="1"/>
    <col min="6149" max="6149" width="17.28515625" style="1320" customWidth="1"/>
    <col min="6150" max="6150" width="12.42578125" style="1320" customWidth="1"/>
    <col min="6151" max="6151" width="107.28515625" style="1320" bestFit="1" customWidth="1"/>
    <col min="6152" max="6399" width="11.42578125" style="1320"/>
    <col min="6400" max="6400" width="13.140625" style="1320" bestFit="1" customWidth="1"/>
    <col min="6401" max="6401" width="10.5703125" style="1320" customWidth="1"/>
    <col min="6402" max="6402" width="10" style="1320" bestFit="1" customWidth="1"/>
    <col min="6403" max="6403" width="14.140625" style="1320" bestFit="1" customWidth="1"/>
    <col min="6404" max="6404" width="17.28515625" style="1320" bestFit="1" customWidth="1"/>
    <col min="6405" max="6405" width="17.28515625" style="1320" customWidth="1"/>
    <col min="6406" max="6406" width="12.42578125" style="1320" customWidth="1"/>
    <col min="6407" max="6407" width="107.28515625" style="1320" bestFit="1" customWidth="1"/>
    <col min="6408" max="6655" width="11.42578125" style="1320"/>
    <col min="6656" max="6656" width="13.140625" style="1320" bestFit="1" customWidth="1"/>
    <col min="6657" max="6657" width="10.5703125" style="1320" customWidth="1"/>
    <col min="6658" max="6658" width="10" style="1320" bestFit="1" customWidth="1"/>
    <col min="6659" max="6659" width="14.140625" style="1320" bestFit="1" customWidth="1"/>
    <col min="6660" max="6660" width="17.28515625" style="1320" bestFit="1" customWidth="1"/>
    <col min="6661" max="6661" width="17.28515625" style="1320" customWidth="1"/>
    <col min="6662" max="6662" width="12.42578125" style="1320" customWidth="1"/>
    <col min="6663" max="6663" width="107.28515625" style="1320" bestFit="1" customWidth="1"/>
    <col min="6664" max="6911" width="11.42578125" style="1320"/>
    <col min="6912" max="6912" width="13.140625" style="1320" bestFit="1" customWidth="1"/>
    <col min="6913" max="6913" width="10.5703125" style="1320" customWidth="1"/>
    <col min="6914" max="6914" width="10" style="1320" bestFit="1" customWidth="1"/>
    <col min="6915" max="6915" width="14.140625" style="1320" bestFit="1" customWidth="1"/>
    <col min="6916" max="6916" width="17.28515625" style="1320" bestFit="1" customWidth="1"/>
    <col min="6917" max="6917" width="17.28515625" style="1320" customWidth="1"/>
    <col min="6918" max="6918" width="12.42578125" style="1320" customWidth="1"/>
    <col min="6919" max="6919" width="107.28515625" style="1320" bestFit="1" customWidth="1"/>
    <col min="6920" max="7167" width="11.42578125" style="1320"/>
    <col min="7168" max="7168" width="13.140625" style="1320" bestFit="1" customWidth="1"/>
    <col min="7169" max="7169" width="10.5703125" style="1320" customWidth="1"/>
    <col min="7170" max="7170" width="10" style="1320" bestFit="1" customWidth="1"/>
    <col min="7171" max="7171" width="14.140625" style="1320" bestFit="1" customWidth="1"/>
    <col min="7172" max="7172" width="17.28515625" style="1320" bestFit="1" customWidth="1"/>
    <col min="7173" max="7173" width="17.28515625" style="1320" customWidth="1"/>
    <col min="7174" max="7174" width="12.42578125" style="1320" customWidth="1"/>
    <col min="7175" max="7175" width="107.28515625" style="1320" bestFit="1" customWidth="1"/>
    <col min="7176" max="7423" width="11.42578125" style="1320"/>
    <col min="7424" max="7424" width="13.140625" style="1320" bestFit="1" customWidth="1"/>
    <col min="7425" max="7425" width="10.5703125" style="1320" customWidth="1"/>
    <col min="7426" max="7426" width="10" style="1320" bestFit="1" customWidth="1"/>
    <col min="7427" max="7427" width="14.140625" style="1320" bestFit="1" customWidth="1"/>
    <col min="7428" max="7428" width="17.28515625" style="1320" bestFit="1" customWidth="1"/>
    <col min="7429" max="7429" width="17.28515625" style="1320" customWidth="1"/>
    <col min="7430" max="7430" width="12.42578125" style="1320" customWidth="1"/>
    <col min="7431" max="7431" width="107.28515625" style="1320" bestFit="1" customWidth="1"/>
    <col min="7432" max="7679" width="11.42578125" style="1320"/>
    <col min="7680" max="7680" width="13.140625" style="1320" bestFit="1" customWidth="1"/>
    <col min="7681" max="7681" width="10.5703125" style="1320" customWidth="1"/>
    <col min="7682" max="7682" width="10" style="1320" bestFit="1" customWidth="1"/>
    <col min="7683" max="7683" width="14.140625" style="1320" bestFit="1" customWidth="1"/>
    <col min="7684" max="7684" width="17.28515625" style="1320" bestFit="1" customWidth="1"/>
    <col min="7685" max="7685" width="17.28515625" style="1320" customWidth="1"/>
    <col min="7686" max="7686" width="12.42578125" style="1320" customWidth="1"/>
    <col min="7687" max="7687" width="107.28515625" style="1320" bestFit="1" customWidth="1"/>
    <col min="7688" max="7935" width="11.42578125" style="1320"/>
    <col min="7936" max="7936" width="13.140625" style="1320" bestFit="1" customWidth="1"/>
    <col min="7937" max="7937" width="10.5703125" style="1320" customWidth="1"/>
    <col min="7938" max="7938" width="10" style="1320" bestFit="1" customWidth="1"/>
    <col min="7939" max="7939" width="14.140625" style="1320" bestFit="1" customWidth="1"/>
    <col min="7940" max="7940" width="17.28515625" style="1320" bestFit="1" customWidth="1"/>
    <col min="7941" max="7941" width="17.28515625" style="1320" customWidth="1"/>
    <col min="7942" max="7942" width="12.42578125" style="1320" customWidth="1"/>
    <col min="7943" max="7943" width="107.28515625" style="1320" bestFit="1" customWidth="1"/>
    <col min="7944" max="8191" width="11.42578125" style="1320"/>
    <col min="8192" max="8192" width="13.140625" style="1320" bestFit="1" customWidth="1"/>
    <col min="8193" max="8193" width="10.5703125" style="1320" customWidth="1"/>
    <col min="8194" max="8194" width="10" style="1320" bestFit="1" customWidth="1"/>
    <col min="8195" max="8195" width="14.140625" style="1320" bestFit="1" customWidth="1"/>
    <col min="8196" max="8196" width="17.28515625" style="1320" bestFit="1" customWidth="1"/>
    <col min="8197" max="8197" width="17.28515625" style="1320" customWidth="1"/>
    <col min="8198" max="8198" width="12.42578125" style="1320" customWidth="1"/>
    <col min="8199" max="8199" width="107.28515625" style="1320" bestFit="1" customWidth="1"/>
    <col min="8200" max="8447" width="11.42578125" style="1320"/>
    <col min="8448" max="8448" width="13.140625" style="1320" bestFit="1" customWidth="1"/>
    <col min="8449" max="8449" width="10.5703125" style="1320" customWidth="1"/>
    <col min="8450" max="8450" width="10" style="1320" bestFit="1" customWidth="1"/>
    <col min="8451" max="8451" width="14.140625" style="1320" bestFit="1" customWidth="1"/>
    <col min="8452" max="8452" width="17.28515625" style="1320" bestFit="1" customWidth="1"/>
    <col min="8453" max="8453" width="17.28515625" style="1320" customWidth="1"/>
    <col min="8454" max="8454" width="12.42578125" style="1320" customWidth="1"/>
    <col min="8455" max="8455" width="107.28515625" style="1320" bestFit="1" customWidth="1"/>
    <col min="8456" max="8703" width="11.42578125" style="1320"/>
    <col min="8704" max="8704" width="13.140625" style="1320" bestFit="1" customWidth="1"/>
    <col min="8705" max="8705" width="10.5703125" style="1320" customWidth="1"/>
    <col min="8706" max="8706" width="10" style="1320" bestFit="1" customWidth="1"/>
    <col min="8707" max="8707" width="14.140625" style="1320" bestFit="1" customWidth="1"/>
    <col min="8708" max="8708" width="17.28515625" style="1320" bestFit="1" customWidth="1"/>
    <col min="8709" max="8709" width="17.28515625" style="1320" customWidth="1"/>
    <col min="8710" max="8710" width="12.42578125" style="1320" customWidth="1"/>
    <col min="8711" max="8711" width="107.28515625" style="1320" bestFit="1" customWidth="1"/>
    <col min="8712" max="8959" width="11.42578125" style="1320"/>
    <col min="8960" max="8960" width="13.140625" style="1320" bestFit="1" customWidth="1"/>
    <col min="8961" max="8961" width="10.5703125" style="1320" customWidth="1"/>
    <col min="8962" max="8962" width="10" style="1320" bestFit="1" customWidth="1"/>
    <col min="8963" max="8963" width="14.140625" style="1320" bestFit="1" customWidth="1"/>
    <col min="8964" max="8964" width="17.28515625" style="1320" bestFit="1" customWidth="1"/>
    <col min="8965" max="8965" width="17.28515625" style="1320" customWidth="1"/>
    <col min="8966" max="8966" width="12.42578125" style="1320" customWidth="1"/>
    <col min="8967" max="8967" width="107.28515625" style="1320" bestFit="1" customWidth="1"/>
    <col min="8968" max="9215" width="11.42578125" style="1320"/>
    <col min="9216" max="9216" width="13.140625" style="1320" bestFit="1" customWidth="1"/>
    <col min="9217" max="9217" width="10.5703125" style="1320" customWidth="1"/>
    <col min="9218" max="9218" width="10" style="1320" bestFit="1" customWidth="1"/>
    <col min="9219" max="9219" width="14.140625" style="1320" bestFit="1" customWidth="1"/>
    <col min="9220" max="9220" width="17.28515625" style="1320" bestFit="1" customWidth="1"/>
    <col min="9221" max="9221" width="17.28515625" style="1320" customWidth="1"/>
    <col min="9222" max="9222" width="12.42578125" style="1320" customWidth="1"/>
    <col min="9223" max="9223" width="107.28515625" style="1320" bestFit="1" customWidth="1"/>
    <col min="9224" max="9471" width="11.42578125" style="1320"/>
    <col min="9472" max="9472" width="13.140625" style="1320" bestFit="1" customWidth="1"/>
    <col min="9473" max="9473" width="10.5703125" style="1320" customWidth="1"/>
    <col min="9474" max="9474" width="10" style="1320" bestFit="1" customWidth="1"/>
    <col min="9475" max="9475" width="14.140625" style="1320" bestFit="1" customWidth="1"/>
    <col min="9476" max="9476" width="17.28515625" style="1320" bestFit="1" customWidth="1"/>
    <col min="9477" max="9477" width="17.28515625" style="1320" customWidth="1"/>
    <col min="9478" max="9478" width="12.42578125" style="1320" customWidth="1"/>
    <col min="9479" max="9479" width="107.28515625" style="1320" bestFit="1" customWidth="1"/>
    <col min="9480" max="9727" width="11.42578125" style="1320"/>
    <col min="9728" max="9728" width="13.140625" style="1320" bestFit="1" customWidth="1"/>
    <col min="9729" max="9729" width="10.5703125" style="1320" customWidth="1"/>
    <col min="9730" max="9730" width="10" style="1320" bestFit="1" customWidth="1"/>
    <col min="9731" max="9731" width="14.140625" style="1320" bestFit="1" customWidth="1"/>
    <col min="9732" max="9732" width="17.28515625" style="1320" bestFit="1" customWidth="1"/>
    <col min="9733" max="9733" width="17.28515625" style="1320" customWidth="1"/>
    <col min="9734" max="9734" width="12.42578125" style="1320" customWidth="1"/>
    <col min="9735" max="9735" width="107.28515625" style="1320" bestFit="1" customWidth="1"/>
    <col min="9736" max="9983" width="11.42578125" style="1320"/>
    <col min="9984" max="9984" width="13.140625" style="1320" bestFit="1" customWidth="1"/>
    <col min="9985" max="9985" width="10.5703125" style="1320" customWidth="1"/>
    <col min="9986" max="9986" width="10" style="1320" bestFit="1" customWidth="1"/>
    <col min="9987" max="9987" width="14.140625" style="1320" bestFit="1" customWidth="1"/>
    <col min="9988" max="9988" width="17.28515625" style="1320" bestFit="1" customWidth="1"/>
    <col min="9989" max="9989" width="17.28515625" style="1320" customWidth="1"/>
    <col min="9990" max="9990" width="12.42578125" style="1320" customWidth="1"/>
    <col min="9991" max="9991" width="107.28515625" style="1320" bestFit="1" customWidth="1"/>
    <col min="9992" max="10239" width="11.42578125" style="1320"/>
    <col min="10240" max="10240" width="13.140625" style="1320" bestFit="1" customWidth="1"/>
    <col min="10241" max="10241" width="10.5703125" style="1320" customWidth="1"/>
    <col min="10242" max="10242" width="10" style="1320" bestFit="1" customWidth="1"/>
    <col min="10243" max="10243" width="14.140625" style="1320" bestFit="1" customWidth="1"/>
    <col min="10244" max="10244" width="17.28515625" style="1320" bestFit="1" customWidth="1"/>
    <col min="10245" max="10245" width="17.28515625" style="1320" customWidth="1"/>
    <col min="10246" max="10246" width="12.42578125" style="1320" customWidth="1"/>
    <col min="10247" max="10247" width="107.28515625" style="1320" bestFit="1" customWidth="1"/>
    <col min="10248" max="10495" width="11.42578125" style="1320"/>
    <col min="10496" max="10496" width="13.140625" style="1320" bestFit="1" customWidth="1"/>
    <col min="10497" max="10497" width="10.5703125" style="1320" customWidth="1"/>
    <col min="10498" max="10498" width="10" style="1320" bestFit="1" customWidth="1"/>
    <col min="10499" max="10499" width="14.140625" style="1320" bestFit="1" customWidth="1"/>
    <col min="10500" max="10500" width="17.28515625" style="1320" bestFit="1" customWidth="1"/>
    <col min="10501" max="10501" width="17.28515625" style="1320" customWidth="1"/>
    <col min="10502" max="10502" width="12.42578125" style="1320" customWidth="1"/>
    <col min="10503" max="10503" width="107.28515625" style="1320" bestFit="1" customWidth="1"/>
    <col min="10504" max="10751" width="11.42578125" style="1320"/>
    <col min="10752" max="10752" width="13.140625" style="1320" bestFit="1" customWidth="1"/>
    <col min="10753" max="10753" width="10.5703125" style="1320" customWidth="1"/>
    <col min="10754" max="10754" width="10" style="1320" bestFit="1" customWidth="1"/>
    <col min="10755" max="10755" width="14.140625" style="1320" bestFit="1" customWidth="1"/>
    <col min="10756" max="10756" width="17.28515625" style="1320" bestFit="1" customWidth="1"/>
    <col min="10757" max="10757" width="17.28515625" style="1320" customWidth="1"/>
    <col min="10758" max="10758" width="12.42578125" style="1320" customWidth="1"/>
    <col min="10759" max="10759" width="107.28515625" style="1320" bestFit="1" customWidth="1"/>
    <col min="10760" max="11007" width="11.42578125" style="1320"/>
    <col min="11008" max="11008" width="13.140625" style="1320" bestFit="1" customWidth="1"/>
    <col min="11009" max="11009" width="10.5703125" style="1320" customWidth="1"/>
    <col min="11010" max="11010" width="10" style="1320" bestFit="1" customWidth="1"/>
    <col min="11011" max="11011" width="14.140625" style="1320" bestFit="1" customWidth="1"/>
    <col min="11012" max="11012" width="17.28515625" style="1320" bestFit="1" customWidth="1"/>
    <col min="11013" max="11013" width="17.28515625" style="1320" customWidth="1"/>
    <col min="11014" max="11014" width="12.42578125" style="1320" customWidth="1"/>
    <col min="11015" max="11015" width="107.28515625" style="1320" bestFit="1" customWidth="1"/>
    <col min="11016" max="11263" width="11.42578125" style="1320"/>
    <col min="11264" max="11264" width="13.140625" style="1320" bestFit="1" customWidth="1"/>
    <col min="11265" max="11265" width="10.5703125" style="1320" customWidth="1"/>
    <col min="11266" max="11266" width="10" style="1320" bestFit="1" customWidth="1"/>
    <col min="11267" max="11267" width="14.140625" style="1320" bestFit="1" customWidth="1"/>
    <col min="11268" max="11268" width="17.28515625" style="1320" bestFit="1" customWidth="1"/>
    <col min="11269" max="11269" width="17.28515625" style="1320" customWidth="1"/>
    <col min="11270" max="11270" width="12.42578125" style="1320" customWidth="1"/>
    <col min="11271" max="11271" width="107.28515625" style="1320" bestFit="1" customWidth="1"/>
    <col min="11272" max="11519" width="11.42578125" style="1320"/>
    <col min="11520" max="11520" width="13.140625" style="1320" bestFit="1" customWidth="1"/>
    <col min="11521" max="11521" width="10.5703125" style="1320" customWidth="1"/>
    <col min="11522" max="11522" width="10" style="1320" bestFit="1" customWidth="1"/>
    <col min="11523" max="11523" width="14.140625" style="1320" bestFit="1" customWidth="1"/>
    <col min="11524" max="11524" width="17.28515625" style="1320" bestFit="1" customWidth="1"/>
    <col min="11525" max="11525" width="17.28515625" style="1320" customWidth="1"/>
    <col min="11526" max="11526" width="12.42578125" style="1320" customWidth="1"/>
    <col min="11527" max="11527" width="107.28515625" style="1320" bestFit="1" customWidth="1"/>
    <col min="11528" max="11775" width="11.42578125" style="1320"/>
    <col min="11776" max="11776" width="13.140625" style="1320" bestFit="1" customWidth="1"/>
    <col min="11777" max="11777" width="10.5703125" style="1320" customWidth="1"/>
    <col min="11778" max="11778" width="10" style="1320" bestFit="1" customWidth="1"/>
    <col min="11779" max="11779" width="14.140625" style="1320" bestFit="1" customWidth="1"/>
    <col min="11780" max="11780" width="17.28515625" style="1320" bestFit="1" customWidth="1"/>
    <col min="11781" max="11781" width="17.28515625" style="1320" customWidth="1"/>
    <col min="11782" max="11782" width="12.42578125" style="1320" customWidth="1"/>
    <col min="11783" max="11783" width="107.28515625" style="1320" bestFit="1" customWidth="1"/>
    <col min="11784" max="12031" width="11.42578125" style="1320"/>
    <col min="12032" max="12032" width="13.140625" style="1320" bestFit="1" customWidth="1"/>
    <col min="12033" max="12033" width="10.5703125" style="1320" customWidth="1"/>
    <col min="12034" max="12034" width="10" style="1320" bestFit="1" customWidth="1"/>
    <col min="12035" max="12035" width="14.140625" style="1320" bestFit="1" customWidth="1"/>
    <col min="12036" max="12036" width="17.28515625" style="1320" bestFit="1" customWidth="1"/>
    <col min="12037" max="12037" width="17.28515625" style="1320" customWidth="1"/>
    <col min="12038" max="12038" width="12.42578125" style="1320" customWidth="1"/>
    <col min="12039" max="12039" width="107.28515625" style="1320" bestFit="1" customWidth="1"/>
    <col min="12040" max="12287" width="11.42578125" style="1320"/>
    <col min="12288" max="12288" width="13.140625" style="1320" bestFit="1" customWidth="1"/>
    <col min="12289" max="12289" width="10.5703125" style="1320" customWidth="1"/>
    <col min="12290" max="12290" width="10" style="1320" bestFit="1" customWidth="1"/>
    <col min="12291" max="12291" width="14.140625" style="1320" bestFit="1" customWidth="1"/>
    <col min="12292" max="12292" width="17.28515625" style="1320" bestFit="1" customWidth="1"/>
    <col min="12293" max="12293" width="17.28515625" style="1320" customWidth="1"/>
    <col min="12294" max="12294" width="12.42578125" style="1320" customWidth="1"/>
    <col min="12295" max="12295" width="107.28515625" style="1320" bestFit="1" customWidth="1"/>
    <col min="12296" max="12543" width="11.42578125" style="1320"/>
    <col min="12544" max="12544" width="13.140625" style="1320" bestFit="1" customWidth="1"/>
    <col min="12545" max="12545" width="10.5703125" style="1320" customWidth="1"/>
    <col min="12546" max="12546" width="10" style="1320" bestFit="1" customWidth="1"/>
    <col min="12547" max="12547" width="14.140625" style="1320" bestFit="1" customWidth="1"/>
    <col min="12548" max="12548" width="17.28515625" style="1320" bestFit="1" customWidth="1"/>
    <col min="12549" max="12549" width="17.28515625" style="1320" customWidth="1"/>
    <col min="12550" max="12550" width="12.42578125" style="1320" customWidth="1"/>
    <col min="12551" max="12551" width="107.28515625" style="1320" bestFit="1" customWidth="1"/>
    <col min="12552" max="12799" width="11.42578125" style="1320"/>
    <col min="12800" max="12800" width="13.140625" style="1320" bestFit="1" customWidth="1"/>
    <col min="12801" max="12801" width="10.5703125" style="1320" customWidth="1"/>
    <col min="12802" max="12802" width="10" style="1320" bestFit="1" customWidth="1"/>
    <col min="12803" max="12803" width="14.140625" style="1320" bestFit="1" customWidth="1"/>
    <col min="12804" max="12804" width="17.28515625" style="1320" bestFit="1" customWidth="1"/>
    <col min="12805" max="12805" width="17.28515625" style="1320" customWidth="1"/>
    <col min="12806" max="12806" width="12.42578125" style="1320" customWidth="1"/>
    <col min="12807" max="12807" width="107.28515625" style="1320" bestFit="1" customWidth="1"/>
    <col min="12808" max="13055" width="11.42578125" style="1320"/>
    <col min="13056" max="13056" width="13.140625" style="1320" bestFit="1" customWidth="1"/>
    <col min="13057" max="13057" width="10.5703125" style="1320" customWidth="1"/>
    <col min="13058" max="13058" width="10" style="1320" bestFit="1" customWidth="1"/>
    <col min="13059" max="13059" width="14.140625" style="1320" bestFit="1" customWidth="1"/>
    <col min="13060" max="13060" width="17.28515625" style="1320" bestFit="1" customWidth="1"/>
    <col min="13061" max="13061" width="17.28515625" style="1320" customWidth="1"/>
    <col min="13062" max="13062" width="12.42578125" style="1320" customWidth="1"/>
    <col min="13063" max="13063" width="107.28515625" style="1320" bestFit="1" customWidth="1"/>
    <col min="13064" max="13311" width="11.42578125" style="1320"/>
    <col min="13312" max="13312" width="13.140625" style="1320" bestFit="1" customWidth="1"/>
    <col min="13313" max="13313" width="10.5703125" style="1320" customWidth="1"/>
    <col min="13314" max="13314" width="10" style="1320" bestFit="1" customWidth="1"/>
    <col min="13315" max="13315" width="14.140625" style="1320" bestFit="1" customWidth="1"/>
    <col min="13316" max="13316" width="17.28515625" style="1320" bestFit="1" customWidth="1"/>
    <col min="13317" max="13317" width="17.28515625" style="1320" customWidth="1"/>
    <col min="13318" max="13318" width="12.42578125" style="1320" customWidth="1"/>
    <col min="13319" max="13319" width="107.28515625" style="1320" bestFit="1" customWidth="1"/>
    <col min="13320" max="13567" width="11.42578125" style="1320"/>
    <col min="13568" max="13568" width="13.140625" style="1320" bestFit="1" customWidth="1"/>
    <col min="13569" max="13569" width="10.5703125" style="1320" customWidth="1"/>
    <col min="13570" max="13570" width="10" style="1320" bestFit="1" customWidth="1"/>
    <col min="13571" max="13571" width="14.140625" style="1320" bestFit="1" customWidth="1"/>
    <col min="13572" max="13572" width="17.28515625" style="1320" bestFit="1" customWidth="1"/>
    <col min="13573" max="13573" width="17.28515625" style="1320" customWidth="1"/>
    <col min="13574" max="13574" width="12.42578125" style="1320" customWidth="1"/>
    <col min="13575" max="13575" width="107.28515625" style="1320" bestFit="1" customWidth="1"/>
    <col min="13576" max="13823" width="11.42578125" style="1320"/>
    <col min="13824" max="13824" width="13.140625" style="1320" bestFit="1" customWidth="1"/>
    <col min="13825" max="13825" width="10.5703125" style="1320" customWidth="1"/>
    <col min="13826" max="13826" width="10" style="1320" bestFit="1" customWidth="1"/>
    <col min="13827" max="13827" width="14.140625" style="1320" bestFit="1" customWidth="1"/>
    <col min="13828" max="13828" width="17.28515625" style="1320" bestFit="1" customWidth="1"/>
    <col min="13829" max="13829" width="17.28515625" style="1320" customWidth="1"/>
    <col min="13830" max="13830" width="12.42578125" style="1320" customWidth="1"/>
    <col min="13831" max="13831" width="107.28515625" style="1320" bestFit="1" customWidth="1"/>
    <col min="13832" max="14079" width="11.42578125" style="1320"/>
    <col min="14080" max="14080" width="13.140625" style="1320" bestFit="1" customWidth="1"/>
    <col min="14081" max="14081" width="10.5703125" style="1320" customWidth="1"/>
    <col min="14082" max="14082" width="10" style="1320" bestFit="1" customWidth="1"/>
    <col min="14083" max="14083" width="14.140625" style="1320" bestFit="1" customWidth="1"/>
    <col min="14084" max="14084" width="17.28515625" style="1320" bestFit="1" customWidth="1"/>
    <col min="14085" max="14085" width="17.28515625" style="1320" customWidth="1"/>
    <col min="14086" max="14086" width="12.42578125" style="1320" customWidth="1"/>
    <col min="14087" max="14087" width="107.28515625" style="1320" bestFit="1" customWidth="1"/>
    <col min="14088" max="14335" width="11.42578125" style="1320"/>
    <col min="14336" max="14336" width="13.140625" style="1320" bestFit="1" customWidth="1"/>
    <col min="14337" max="14337" width="10.5703125" style="1320" customWidth="1"/>
    <col min="14338" max="14338" width="10" style="1320" bestFit="1" customWidth="1"/>
    <col min="14339" max="14339" width="14.140625" style="1320" bestFit="1" customWidth="1"/>
    <col min="14340" max="14340" width="17.28515625" style="1320" bestFit="1" customWidth="1"/>
    <col min="14341" max="14341" width="17.28515625" style="1320" customWidth="1"/>
    <col min="14342" max="14342" width="12.42578125" style="1320" customWidth="1"/>
    <col min="14343" max="14343" width="107.28515625" style="1320" bestFit="1" customWidth="1"/>
    <col min="14344" max="14591" width="11.42578125" style="1320"/>
    <col min="14592" max="14592" width="13.140625" style="1320" bestFit="1" customWidth="1"/>
    <col min="14593" max="14593" width="10.5703125" style="1320" customWidth="1"/>
    <col min="14594" max="14594" width="10" style="1320" bestFit="1" customWidth="1"/>
    <col min="14595" max="14595" width="14.140625" style="1320" bestFit="1" customWidth="1"/>
    <col min="14596" max="14596" width="17.28515625" style="1320" bestFit="1" customWidth="1"/>
    <col min="14597" max="14597" width="17.28515625" style="1320" customWidth="1"/>
    <col min="14598" max="14598" width="12.42578125" style="1320" customWidth="1"/>
    <col min="14599" max="14599" width="107.28515625" style="1320" bestFit="1" customWidth="1"/>
    <col min="14600" max="14847" width="11.42578125" style="1320"/>
    <col min="14848" max="14848" width="13.140625" style="1320" bestFit="1" customWidth="1"/>
    <col min="14849" max="14849" width="10.5703125" style="1320" customWidth="1"/>
    <col min="14850" max="14850" width="10" style="1320" bestFit="1" customWidth="1"/>
    <col min="14851" max="14851" width="14.140625" style="1320" bestFit="1" customWidth="1"/>
    <col min="14852" max="14852" width="17.28515625" style="1320" bestFit="1" customWidth="1"/>
    <col min="14853" max="14853" width="17.28515625" style="1320" customWidth="1"/>
    <col min="14854" max="14854" width="12.42578125" style="1320" customWidth="1"/>
    <col min="14855" max="14855" width="107.28515625" style="1320" bestFit="1" customWidth="1"/>
    <col min="14856" max="15103" width="11.42578125" style="1320"/>
    <col min="15104" max="15104" width="13.140625" style="1320" bestFit="1" customWidth="1"/>
    <col min="15105" max="15105" width="10.5703125" style="1320" customWidth="1"/>
    <col min="15106" max="15106" width="10" style="1320" bestFit="1" customWidth="1"/>
    <col min="15107" max="15107" width="14.140625" style="1320" bestFit="1" customWidth="1"/>
    <col min="15108" max="15108" width="17.28515625" style="1320" bestFit="1" customWidth="1"/>
    <col min="15109" max="15109" width="17.28515625" style="1320" customWidth="1"/>
    <col min="15110" max="15110" width="12.42578125" style="1320" customWidth="1"/>
    <col min="15111" max="15111" width="107.28515625" style="1320" bestFit="1" customWidth="1"/>
    <col min="15112" max="15359" width="11.42578125" style="1320"/>
    <col min="15360" max="15360" width="13.140625" style="1320" bestFit="1" customWidth="1"/>
    <col min="15361" max="15361" width="10.5703125" style="1320" customWidth="1"/>
    <col min="15362" max="15362" width="10" style="1320" bestFit="1" customWidth="1"/>
    <col min="15363" max="15363" width="14.140625" style="1320" bestFit="1" customWidth="1"/>
    <col min="15364" max="15364" width="17.28515625" style="1320" bestFit="1" customWidth="1"/>
    <col min="15365" max="15365" width="17.28515625" style="1320" customWidth="1"/>
    <col min="15366" max="15366" width="12.42578125" style="1320" customWidth="1"/>
    <col min="15367" max="15367" width="107.28515625" style="1320" bestFit="1" customWidth="1"/>
    <col min="15368" max="15615" width="11.42578125" style="1320"/>
    <col min="15616" max="15616" width="13.140625" style="1320" bestFit="1" customWidth="1"/>
    <col min="15617" max="15617" width="10.5703125" style="1320" customWidth="1"/>
    <col min="15618" max="15618" width="10" style="1320" bestFit="1" customWidth="1"/>
    <col min="15619" max="15619" width="14.140625" style="1320" bestFit="1" customWidth="1"/>
    <col min="15620" max="15620" width="17.28515625" style="1320" bestFit="1" customWidth="1"/>
    <col min="15621" max="15621" width="17.28515625" style="1320" customWidth="1"/>
    <col min="15622" max="15622" width="12.42578125" style="1320" customWidth="1"/>
    <col min="15623" max="15623" width="107.28515625" style="1320" bestFit="1" customWidth="1"/>
    <col min="15624" max="15871" width="11.42578125" style="1320"/>
    <col min="15872" max="15872" width="13.140625" style="1320" bestFit="1" customWidth="1"/>
    <col min="15873" max="15873" width="10.5703125" style="1320" customWidth="1"/>
    <col min="15874" max="15874" width="10" style="1320" bestFit="1" customWidth="1"/>
    <col min="15875" max="15875" width="14.140625" style="1320" bestFit="1" customWidth="1"/>
    <col min="15876" max="15876" width="17.28515625" style="1320" bestFit="1" customWidth="1"/>
    <col min="15877" max="15877" width="17.28515625" style="1320" customWidth="1"/>
    <col min="15878" max="15878" width="12.42578125" style="1320" customWidth="1"/>
    <col min="15879" max="15879" width="107.28515625" style="1320" bestFit="1" customWidth="1"/>
    <col min="15880" max="16127" width="11.42578125" style="1320"/>
    <col min="16128" max="16128" width="13.140625" style="1320" bestFit="1" customWidth="1"/>
    <col min="16129" max="16129" width="10.5703125" style="1320" customWidth="1"/>
    <col min="16130" max="16130" width="10" style="1320" bestFit="1" customWidth="1"/>
    <col min="16131" max="16131" width="14.140625" style="1320" bestFit="1" customWidth="1"/>
    <col min="16132" max="16132" width="17.28515625" style="1320" bestFit="1" customWidth="1"/>
    <col min="16133" max="16133" width="17.28515625" style="1320" customWidth="1"/>
    <col min="16134" max="16134" width="12.42578125" style="1320" customWidth="1"/>
    <col min="16135" max="16135" width="107.28515625" style="1320" bestFit="1" customWidth="1"/>
    <col min="16136" max="16384" width="11.42578125" style="1320"/>
  </cols>
  <sheetData>
    <row r="1" spans="1:9" x14ac:dyDescent="0.25">
      <c r="A1" s="30" t="s">
        <v>1177</v>
      </c>
      <c r="G1" s="30" t="s">
        <v>1177</v>
      </c>
    </row>
    <row r="2" spans="1:9" ht="51" x14ac:dyDescent="0.25">
      <c r="A2" s="1494" t="s">
        <v>1178</v>
      </c>
      <c r="B2" s="1494" t="s">
        <v>1179</v>
      </c>
      <c r="C2" s="1494" t="s">
        <v>1180</v>
      </c>
      <c r="D2" s="1494" t="s">
        <v>1181</v>
      </c>
      <c r="E2" s="1494" t="s">
        <v>1182</v>
      </c>
    </row>
    <row r="3" spans="1:9" x14ac:dyDescent="0.25">
      <c r="D3" s="1489"/>
      <c r="E3" s="1490"/>
    </row>
    <row r="4" spans="1:9" x14ac:dyDescent="0.25">
      <c r="A4" s="1495">
        <v>2004</v>
      </c>
      <c r="B4" s="1496">
        <v>7462490.871672309</v>
      </c>
      <c r="C4" s="1496">
        <v>7725278.5442705685</v>
      </c>
      <c r="D4" s="1497">
        <f>-(C4/B4-1)*100</f>
        <v>-3.5214471564153582</v>
      </c>
      <c r="E4" s="1497">
        <v>-1.0393987470784352</v>
      </c>
      <c r="G4" s="1491"/>
      <c r="H4" s="1320">
        <v>-2</v>
      </c>
      <c r="I4" s="1320">
        <v>2</v>
      </c>
    </row>
    <row r="5" spans="1:9" x14ac:dyDescent="0.25">
      <c r="A5" s="1495">
        <v>2005</v>
      </c>
      <c r="B5" s="1496">
        <v>7784837.0178583283</v>
      </c>
      <c r="C5" s="1496">
        <v>8564294.2334884293</v>
      </c>
      <c r="D5" s="1497">
        <f t="shared" ref="D5:D16" si="0">-(C5/B5-1)*100</f>
        <v>-10.01250525659092</v>
      </c>
      <c r="E5" s="1497">
        <v>-0.65823557798648002</v>
      </c>
      <c r="G5" s="1491"/>
      <c r="H5" s="1320">
        <v>-2</v>
      </c>
      <c r="I5" s="1320">
        <v>2</v>
      </c>
    </row>
    <row r="6" spans="1:9" x14ac:dyDescent="0.25">
      <c r="A6" s="1495">
        <v>2006</v>
      </c>
      <c r="B6" s="1496">
        <v>8507700.9891787823</v>
      </c>
      <c r="C6" s="1496">
        <v>8973788.1154238842</v>
      </c>
      <c r="D6" s="1497">
        <f t="shared" si="0"/>
        <v>-5.4784145192447786</v>
      </c>
      <c r="E6" s="1497">
        <v>0.82125159114503299</v>
      </c>
      <c r="G6" s="1491"/>
      <c r="H6" s="1320">
        <v>-2</v>
      </c>
      <c r="I6" s="1320">
        <v>2</v>
      </c>
    </row>
    <row r="7" spans="1:9" x14ac:dyDescent="0.25">
      <c r="A7" s="1495">
        <v>2007</v>
      </c>
      <c r="B7" s="1496">
        <v>9747958.5739892442</v>
      </c>
      <c r="C7" s="1496">
        <v>10100090.779007172</v>
      </c>
      <c r="D7" s="1497">
        <f t="shared" si="0"/>
        <v>-3.612368706177449</v>
      </c>
      <c r="E7" s="1497">
        <v>3.6442160878187106</v>
      </c>
      <c r="G7" s="1491"/>
      <c r="H7" s="1320">
        <v>-2</v>
      </c>
      <c r="I7" s="1320">
        <v>2</v>
      </c>
    </row>
    <row r="8" spans="1:9" x14ac:dyDescent="0.25">
      <c r="A8" s="1495">
        <v>2008</v>
      </c>
      <c r="B8" s="1496">
        <v>10648808.338312421</v>
      </c>
      <c r="C8" s="1496">
        <v>10695752.157154292</v>
      </c>
      <c r="D8" s="1497">
        <f t="shared" si="0"/>
        <v>-0.44083635793290554</v>
      </c>
      <c r="E8" s="1497">
        <v>3.734524986117679</v>
      </c>
      <c r="G8" s="1491"/>
      <c r="H8" s="1320">
        <v>-2</v>
      </c>
      <c r="I8" s="1320">
        <v>2</v>
      </c>
    </row>
    <row r="9" spans="1:9" x14ac:dyDescent="0.25">
      <c r="A9" s="1495">
        <v>2009</v>
      </c>
      <c r="B9" s="1496">
        <v>11636354</v>
      </c>
      <c r="C9" s="1496">
        <v>9346148</v>
      </c>
      <c r="D9" s="1497">
        <f t="shared" si="0"/>
        <v>19.681474111220755</v>
      </c>
      <c r="E9" s="1497">
        <v>-3.2405689676077958</v>
      </c>
      <c r="G9" s="1492"/>
      <c r="H9" s="1320">
        <v>-2</v>
      </c>
      <c r="I9" s="1320">
        <v>2</v>
      </c>
    </row>
    <row r="10" spans="1:9" x14ac:dyDescent="0.25">
      <c r="A10" s="1495">
        <v>2010</v>
      </c>
      <c r="B10" s="1496">
        <v>10209813</v>
      </c>
      <c r="C10" s="1496">
        <v>9551850.6688700002</v>
      </c>
      <c r="D10" s="1497">
        <f t="shared" si="0"/>
        <v>6.4444111868650289</v>
      </c>
      <c r="E10" s="1497">
        <v>-1.0555165928530508</v>
      </c>
      <c r="G10" s="1491"/>
      <c r="H10" s="1320">
        <v>-2</v>
      </c>
      <c r="I10" s="1320">
        <v>2</v>
      </c>
    </row>
    <row r="11" spans="1:9" x14ac:dyDescent="0.25">
      <c r="A11" s="1495">
        <v>2011</v>
      </c>
      <c r="B11" s="1496">
        <v>18167924.618086994</v>
      </c>
      <c r="C11" s="1496">
        <v>17947464.570870198</v>
      </c>
      <c r="D11" s="1497">
        <f t="shared" si="0"/>
        <v>1.213457518407568</v>
      </c>
      <c r="E11" s="1497">
        <v>-0.65887986289817191</v>
      </c>
      <c r="G11" s="1491"/>
      <c r="H11" s="1320">
        <v>-2</v>
      </c>
      <c r="I11" s="1320">
        <v>2</v>
      </c>
    </row>
    <row r="12" spans="1:9" x14ac:dyDescent="0.25">
      <c r="A12" s="1495">
        <v>2012</v>
      </c>
      <c r="B12" s="1496">
        <v>18641939.373</v>
      </c>
      <c r="C12" s="1496">
        <v>18200905.595017239</v>
      </c>
      <c r="D12" s="1497">
        <f t="shared" si="0"/>
        <v>2.3658148927441003</v>
      </c>
      <c r="E12" s="1497">
        <v>-1.1832205814007202</v>
      </c>
      <c r="G12" s="1491"/>
      <c r="H12" s="1320">
        <v>-2</v>
      </c>
      <c r="I12" s="1320">
        <v>2</v>
      </c>
    </row>
    <row r="13" spans="1:9" x14ac:dyDescent="0.25">
      <c r="A13" s="1495">
        <v>2013</v>
      </c>
      <c r="B13" s="1496">
        <v>20140176</v>
      </c>
      <c r="C13" s="1496">
        <v>20229283</v>
      </c>
      <c r="D13" s="1497">
        <f t="shared" si="0"/>
        <v>-0.44243406810346997</v>
      </c>
      <c r="E13" s="1497">
        <v>-1.6465332238945225</v>
      </c>
      <c r="G13" s="1491"/>
      <c r="H13" s="1320">
        <v>-2</v>
      </c>
      <c r="I13" s="1320">
        <v>2</v>
      </c>
    </row>
    <row r="14" spans="1:9" x14ac:dyDescent="0.25">
      <c r="A14" s="1495">
        <v>2014</v>
      </c>
      <c r="B14" s="1496">
        <v>19974417</v>
      </c>
      <c r="C14" s="1496">
        <v>21433726.972797845</v>
      </c>
      <c r="D14" s="1497">
        <f t="shared" si="0"/>
        <v>-7.3058951998340893</v>
      </c>
      <c r="E14" s="1497">
        <v>-0.98398375249319192</v>
      </c>
      <c r="G14" s="1491"/>
      <c r="H14" s="1320">
        <v>-2</v>
      </c>
      <c r="I14" s="1320">
        <v>2</v>
      </c>
    </row>
    <row r="15" spans="1:9" x14ac:dyDescent="0.25">
      <c r="A15" s="1495">
        <v>2015</v>
      </c>
      <c r="B15" s="1496">
        <v>21622181</v>
      </c>
      <c r="C15" s="1496">
        <v>22990384</v>
      </c>
      <c r="D15" s="1497">
        <f t="shared" si="0"/>
        <v>-6.3277751675467009</v>
      </c>
      <c r="E15" s="1497">
        <v>-0.13047111146680723</v>
      </c>
      <c r="G15" s="1491"/>
      <c r="H15" s="1320">
        <v>-2</v>
      </c>
      <c r="I15" s="1320">
        <v>2</v>
      </c>
    </row>
    <row r="16" spans="1:9" x14ac:dyDescent="0.25">
      <c r="A16" s="1495">
        <v>2016</v>
      </c>
      <c r="B16" s="1496">
        <v>22995236</v>
      </c>
      <c r="C16" s="1496">
        <v>23726601.440099489</v>
      </c>
      <c r="D16" s="1497">
        <f t="shared" si="0"/>
        <v>-3.1805085196755067</v>
      </c>
      <c r="E16" s="1497">
        <v>0.15827207909817198</v>
      </c>
      <c r="G16" s="1491"/>
      <c r="H16" s="1320">
        <v>-2</v>
      </c>
      <c r="I16" s="1320">
        <v>2</v>
      </c>
    </row>
    <row r="17" spans="1:9" x14ac:dyDescent="0.25">
      <c r="A17" s="1495">
        <v>2017</v>
      </c>
      <c r="B17" s="1496">
        <v>25190694</v>
      </c>
      <c r="C17" s="1496">
        <v>25375462.40484</v>
      </c>
      <c r="D17" s="1497">
        <f>-(C17/B17-1)*100</f>
        <v>-0.73347881896386191</v>
      </c>
      <c r="E17" s="1497">
        <v>0.55156160455017667</v>
      </c>
      <c r="H17" s="1320">
        <v>-2</v>
      </c>
      <c r="I17" s="1320">
        <v>2</v>
      </c>
    </row>
    <row r="18" spans="1:9" x14ac:dyDescent="0.25">
      <c r="A18" s="1495">
        <v>2018</v>
      </c>
      <c r="B18" s="1496"/>
      <c r="C18" s="1496"/>
      <c r="D18" s="1497"/>
      <c r="E18" s="1497">
        <v>0.75538746534938961</v>
      </c>
      <c r="H18" s="1320">
        <v>-2</v>
      </c>
      <c r="I18" s="1320">
        <v>2</v>
      </c>
    </row>
    <row r="19" spans="1:9" x14ac:dyDescent="0.25">
      <c r="A19" s="1495">
        <v>2019</v>
      </c>
      <c r="B19" s="1496"/>
      <c r="C19" s="1496"/>
      <c r="D19" s="1497"/>
      <c r="E19" s="1497">
        <v>1.0104015259348129</v>
      </c>
      <c r="G19" s="1492"/>
      <c r="H19" s="1320">
        <v>-2</v>
      </c>
      <c r="I19" s="1320">
        <v>2</v>
      </c>
    </row>
    <row r="20" spans="1:9" x14ac:dyDescent="0.25">
      <c r="A20" s="1495">
        <v>2020</v>
      </c>
      <c r="B20" s="1496"/>
      <c r="C20" s="1496"/>
      <c r="D20" s="1497"/>
      <c r="E20" s="1497">
        <v>1.0535118541309312</v>
      </c>
      <c r="H20" s="1320">
        <v>-2</v>
      </c>
      <c r="I20" s="1320">
        <v>2</v>
      </c>
    </row>
    <row r="21" spans="1:9" x14ac:dyDescent="0.25">
      <c r="A21" s="1498">
        <v>2021</v>
      </c>
      <c r="B21" s="1499"/>
      <c r="C21" s="1499"/>
      <c r="D21" s="1500"/>
      <c r="E21" s="1500">
        <v>0.41287426611458161</v>
      </c>
      <c r="F21" s="1493"/>
      <c r="H21" s="1320">
        <v>-2</v>
      </c>
      <c r="I21" s="1320">
        <v>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C2F8-26ED-454F-A158-F04ADA84AF0F}">
  <dimension ref="A1:P79"/>
  <sheetViews>
    <sheetView showGridLines="0" workbookViewId="0"/>
  </sheetViews>
  <sheetFormatPr defaultRowHeight="13.5" customHeight="1" x14ac:dyDescent="0.25"/>
  <cols>
    <col min="1" max="1" width="26.28515625" style="1317" customWidth="1"/>
    <col min="2" max="4" width="12.5703125" style="1317" customWidth="1"/>
    <col min="5" max="5" width="18.140625" style="1314" customWidth="1"/>
    <col min="6" max="6" width="45.28515625" style="1314" customWidth="1"/>
    <col min="7" max="8" width="12.5703125" style="1315" customWidth="1"/>
    <col min="9" max="12" width="12.5703125" style="1314" customWidth="1"/>
    <col min="13" max="13" width="10.28515625" style="1314" customWidth="1"/>
    <col min="14" max="14" width="47.85546875" style="1314" customWidth="1"/>
    <col min="15" max="16" width="12.5703125" style="1315" customWidth="1"/>
    <col min="17" max="21" width="12.5703125" style="1314" customWidth="1"/>
    <col min="22" max="16384" width="9.140625" style="1314"/>
  </cols>
  <sheetData>
    <row r="1" spans="1:4" ht="13.5" customHeight="1" x14ac:dyDescent="0.25">
      <c r="A1" s="1318" t="s">
        <v>1042</v>
      </c>
    </row>
    <row r="2" spans="1:4" ht="13.5" customHeight="1" x14ac:dyDescent="0.25">
      <c r="A2" s="157"/>
      <c r="B2" s="157">
        <v>2019</v>
      </c>
      <c r="C2" s="157">
        <v>2020</v>
      </c>
      <c r="D2" s="157">
        <v>2021</v>
      </c>
    </row>
    <row r="3" spans="1:4" ht="13.5" customHeight="1" x14ac:dyDescent="0.25">
      <c r="A3" s="8" t="s">
        <v>1043</v>
      </c>
      <c r="B3" s="168">
        <v>581.47533999999996</v>
      </c>
      <c r="C3" s="168">
        <v>615.54125999999997</v>
      </c>
      <c r="D3" s="168">
        <v>644.19151999999997</v>
      </c>
    </row>
    <row r="4" spans="1:4" ht="13.5" customHeight="1" x14ac:dyDescent="0.25">
      <c r="A4" s="1319"/>
      <c r="B4" s="1319">
        <v>6.0013749826119565E-3</v>
      </c>
      <c r="C4" s="1319">
        <v>5.965204743313246E-3</v>
      </c>
      <c r="D4" s="1319">
        <v>5.8952559681650181E-3</v>
      </c>
    </row>
    <row r="5" spans="1:4" ht="13.5" customHeight="1" x14ac:dyDescent="0.25">
      <c r="A5" s="1316"/>
      <c r="B5" s="1316"/>
      <c r="C5" s="1316"/>
      <c r="D5" s="169" t="s">
        <v>84</v>
      </c>
    </row>
    <row r="6" spans="1:4" ht="13.5" customHeight="1" x14ac:dyDescent="0.25">
      <c r="A6" s="1316"/>
      <c r="B6" s="1316"/>
      <c r="C6" s="1316"/>
      <c r="D6" s="1316"/>
    </row>
    <row r="7" spans="1:4" ht="13.5" customHeight="1" x14ac:dyDescent="0.25">
      <c r="A7" s="1318" t="s">
        <v>1042</v>
      </c>
      <c r="B7" s="1316"/>
      <c r="C7" s="1316"/>
      <c r="D7" s="1316"/>
    </row>
    <row r="8" spans="1:4" ht="13.5" customHeight="1" x14ac:dyDescent="0.25">
      <c r="A8" s="1316"/>
      <c r="B8" s="1316"/>
      <c r="C8" s="1316"/>
      <c r="D8" s="1316"/>
    </row>
    <row r="9" spans="1:4" ht="13.5" customHeight="1" x14ac:dyDescent="0.25">
      <c r="A9" s="1316"/>
      <c r="B9" s="1316"/>
      <c r="C9" s="1316"/>
      <c r="D9" s="1316"/>
    </row>
    <row r="10" spans="1:4" ht="13.5" customHeight="1" x14ac:dyDescent="0.25">
      <c r="A10" s="1316"/>
      <c r="B10" s="1316"/>
      <c r="C10" s="1316"/>
      <c r="D10" s="1316"/>
    </row>
    <row r="11" spans="1:4" ht="13.5" customHeight="1" x14ac:dyDescent="0.25">
      <c r="A11" s="1316"/>
      <c r="B11" s="1316"/>
      <c r="C11" s="1316"/>
      <c r="D11" s="1316"/>
    </row>
    <row r="12" spans="1:4" ht="13.5" customHeight="1" x14ac:dyDescent="0.25">
      <c r="A12" s="1316"/>
      <c r="B12" s="1316"/>
      <c r="C12" s="1316"/>
      <c r="D12" s="1316"/>
    </row>
    <row r="13" spans="1:4" ht="13.5" customHeight="1" x14ac:dyDescent="0.25">
      <c r="A13" s="1316"/>
      <c r="B13" s="1316"/>
      <c r="C13" s="1316"/>
      <c r="D13" s="1316"/>
    </row>
    <row r="14" spans="1:4" ht="13.5" customHeight="1" x14ac:dyDescent="0.25">
      <c r="A14" s="1316"/>
      <c r="B14" s="1316"/>
      <c r="C14" s="1316"/>
      <c r="D14" s="1316"/>
    </row>
    <row r="15" spans="1:4" ht="13.5" customHeight="1" x14ac:dyDescent="0.25">
      <c r="A15" s="1316"/>
      <c r="B15" s="1316"/>
      <c r="C15" s="1316"/>
      <c r="D15" s="1316"/>
    </row>
    <row r="16" spans="1:4" ht="13.5" customHeight="1" x14ac:dyDescent="0.25">
      <c r="A16" s="1316"/>
      <c r="B16" s="1316"/>
      <c r="C16" s="1316"/>
      <c r="D16" s="1316"/>
    </row>
    <row r="17" spans="1:4" ht="13.5" customHeight="1" x14ac:dyDescent="0.25">
      <c r="A17" s="1316"/>
      <c r="B17" s="1316"/>
      <c r="C17" s="1316"/>
      <c r="D17" s="1316"/>
    </row>
    <row r="18" spans="1:4" ht="13.5" customHeight="1" x14ac:dyDescent="0.25">
      <c r="A18" s="1316"/>
      <c r="B18" s="1316"/>
      <c r="C18" s="1316"/>
      <c r="D18" s="1316"/>
    </row>
    <row r="19" spans="1:4" ht="13.5" customHeight="1" x14ac:dyDescent="0.25">
      <c r="A19" s="1316"/>
      <c r="B19" s="1316"/>
      <c r="C19" s="1316"/>
      <c r="D19" s="1316"/>
    </row>
    <row r="20" spans="1:4" ht="13.5" customHeight="1" x14ac:dyDescent="0.25">
      <c r="A20" s="1316"/>
      <c r="B20" s="1316"/>
      <c r="C20" s="1316"/>
      <c r="D20" s="1316"/>
    </row>
    <row r="21" spans="1:4" ht="13.5" customHeight="1" x14ac:dyDescent="0.25">
      <c r="A21" s="1316"/>
      <c r="B21" s="1316"/>
      <c r="C21" s="1316"/>
      <c r="D21" s="1316"/>
    </row>
    <row r="22" spans="1:4" ht="13.5" customHeight="1" x14ac:dyDescent="0.25">
      <c r="A22" s="1316"/>
      <c r="B22" s="1316"/>
      <c r="C22" s="1316"/>
      <c r="D22" s="1316"/>
    </row>
    <row r="23" spans="1:4" ht="13.5" customHeight="1" x14ac:dyDescent="0.25">
      <c r="A23" s="1316"/>
      <c r="B23" s="1316"/>
      <c r="C23" s="1316"/>
      <c r="D23" s="1316"/>
    </row>
    <row r="24" spans="1:4" ht="13.5" customHeight="1" x14ac:dyDescent="0.25">
      <c r="A24" s="1316"/>
      <c r="B24" s="1316"/>
      <c r="C24" s="1316"/>
      <c r="D24" s="1316"/>
    </row>
    <row r="25" spans="1:4" ht="13.5" customHeight="1" x14ac:dyDescent="0.25">
      <c r="A25" s="1316"/>
      <c r="B25" s="1316"/>
      <c r="C25" s="1316"/>
      <c r="D25" s="1316"/>
    </row>
    <row r="26" spans="1:4" ht="13.5" customHeight="1" x14ac:dyDescent="0.25">
      <c r="A26" s="1316"/>
      <c r="B26" s="1316"/>
      <c r="C26" s="1316"/>
      <c r="D26" s="1316"/>
    </row>
    <row r="27" spans="1:4" ht="13.5" customHeight="1" x14ac:dyDescent="0.25">
      <c r="A27" s="1316"/>
      <c r="B27" s="1316"/>
      <c r="C27" s="1316"/>
      <c r="D27" s="1316"/>
    </row>
    <row r="28" spans="1:4" ht="13.5" customHeight="1" x14ac:dyDescent="0.25">
      <c r="A28" s="1316"/>
      <c r="B28" s="1316"/>
      <c r="C28" s="1316"/>
      <c r="D28" s="1316"/>
    </row>
    <row r="29" spans="1:4" ht="13.5" customHeight="1" x14ac:dyDescent="0.25">
      <c r="A29" s="1316"/>
      <c r="B29" s="1316"/>
      <c r="C29" s="1316"/>
      <c r="D29" s="1316"/>
    </row>
    <row r="30" spans="1:4" ht="13.5" customHeight="1" x14ac:dyDescent="0.25">
      <c r="A30" s="1316"/>
      <c r="B30" s="1316"/>
      <c r="C30" s="1316"/>
      <c r="D30" s="1316"/>
    </row>
    <row r="31" spans="1:4" ht="13.5" customHeight="1" x14ac:dyDescent="0.25">
      <c r="A31" s="1316"/>
      <c r="B31" s="1316"/>
      <c r="C31" s="1316"/>
      <c r="D31" s="1316"/>
    </row>
    <row r="32" spans="1:4" ht="13.5" customHeight="1" x14ac:dyDescent="0.25">
      <c r="A32" s="1316"/>
      <c r="B32" s="1316"/>
      <c r="C32" s="1316"/>
      <c r="D32" s="1316"/>
    </row>
    <row r="33" spans="1:4" ht="13.5" customHeight="1" x14ac:dyDescent="0.25">
      <c r="A33" s="1316"/>
      <c r="B33" s="1316"/>
      <c r="C33" s="1316"/>
      <c r="D33" s="1316"/>
    </row>
    <row r="34" spans="1:4" ht="13.5" customHeight="1" x14ac:dyDescent="0.25">
      <c r="A34" s="1316"/>
      <c r="B34" s="1316"/>
      <c r="C34" s="1316"/>
      <c r="D34" s="1316"/>
    </row>
    <row r="35" spans="1:4" ht="13.5" customHeight="1" x14ac:dyDescent="0.25">
      <c r="A35" s="1316"/>
      <c r="B35" s="1316"/>
      <c r="C35" s="1316"/>
      <c r="D35" s="1316"/>
    </row>
    <row r="36" spans="1:4" ht="13.5" customHeight="1" x14ac:dyDescent="0.25">
      <c r="A36" s="1316"/>
      <c r="B36" s="1316"/>
      <c r="C36" s="1316"/>
      <c r="D36" s="1316"/>
    </row>
    <row r="37" spans="1:4" ht="13.5" customHeight="1" x14ac:dyDescent="0.25">
      <c r="A37" s="1316"/>
      <c r="B37" s="1316"/>
      <c r="C37" s="1316"/>
      <c r="D37" s="1316"/>
    </row>
    <row r="38" spans="1:4" ht="13.5" customHeight="1" x14ac:dyDescent="0.25">
      <c r="A38" s="1316"/>
      <c r="B38" s="1316"/>
      <c r="C38" s="1316"/>
      <c r="D38" s="1316"/>
    </row>
    <row r="39" spans="1:4" ht="13.5" customHeight="1" x14ac:dyDescent="0.25">
      <c r="A39" s="1316"/>
      <c r="B39" s="1316"/>
      <c r="C39" s="1316"/>
      <c r="D39" s="1316"/>
    </row>
    <row r="40" spans="1:4" ht="13.5" customHeight="1" x14ac:dyDescent="0.25">
      <c r="A40" s="1316"/>
      <c r="B40" s="1316"/>
      <c r="C40" s="1316"/>
      <c r="D40" s="1316"/>
    </row>
    <row r="41" spans="1:4" ht="13.5" customHeight="1" x14ac:dyDescent="0.25">
      <c r="A41" s="1316"/>
      <c r="B41" s="1316"/>
      <c r="C41" s="1316"/>
      <c r="D41" s="1316"/>
    </row>
    <row r="42" spans="1:4" ht="13.5" customHeight="1" x14ac:dyDescent="0.25">
      <c r="A42" s="1316"/>
      <c r="B42" s="1316"/>
      <c r="C42" s="1316"/>
      <c r="D42" s="1316"/>
    </row>
    <row r="43" spans="1:4" ht="13.5" customHeight="1" x14ac:dyDescent="0.25">
      <c r="A43" s="1316"/>
      <c r="B43" s="1316"/>
      <c r="C43" s="1316"/>
      <c r="D43" s="1316"/>
    </row>
    <row r="44" spans="1:4" ht="13.5" customHeight="1" x14ac:dyDescent="0.25">
      <c r="A44" s="1316"/>
      <c r="B44" s="1316"/>
      <c r="C44" s="1316"/>
      <c r="D44" s="1316"/>
    </row>
    <row r="45" spans="1:4" ht="13.5" customHeight="1" x14ac:dyDescent="0.25">
      <c r="A45" s="1316"/>
      <c r="B45" s="1316"/>
      <c r="C45" s="1316"/>
      <c r="D45" s="1316"/>
    </row>
    <row r="46" spans="1:4" ht="13.5" customHeight="1" x14ac:dyDescent="0.25">
      <c r="A46" s="1316"/>
      <c r="B46" s="1316"/>
      <c r="C46" s="1316"/>
      <c r="D46" s="1316"/>
    </row>
    <row r="47" spans="1:4" ht="13.5" customHeight="1" x14ac:dyDescent="0.25">
      <c r="A47" s="1316"/>
      <c r="B47" s="1316"/>
      <c r="C47" s="1316"/>
      <c r="D47" s="1316"/>
    </row>
    <row r="48" spans="1:4" ht="13.5" customHeight="1" x14ac:dyDescent="0.25">
      <c r="A48" s="1316"/>
      <c r="B48" s="1316"/>
      <c r="C48" s="1316"/>
      <c r="D48" s="1316"/>
    </row>
    <row r="49" spans="1:4" ht="13.5" customHeight="1" x14ac:dyDescent="0.25">
      <c r="A49" s="1316"/>
      <c r="B49" s="1316"/>
      <c r="C49" s="1316"/>
      <c r="D49" s="1316"/>
    </row>
    <row r="50" spans="1:4" ht="13.5" customHeight="1" x14ac:dyDescent="0.25">
      <c r="A50" s="1316"/>
      <c r="B50" s="1316"/>
      <c r="C50" s="1316"/>
      <c r="D50" s="1316"/>
    </row>
    <row r="51" spans="1:4" ht="13.5" customHeight="1" x14ac:dyDescent="0.25">
      <c r="A51" s="1316"/>
      <c r="B51" s="1316"/>
      <c r="C51" s="1316"/>
      <c r="D51" s="1316"/>
    </row>
    <row r="52" spans="1:4" ht="13.5" customHeight="1" x14ac:dyDescent="0.25">
      <c r="A52" s="1316"/>
      <c r="B52" s="1316"/>
      <c r="C52" s="1316"/>
      <c r="D52" s="1316"/>
    </row>
    <row r="53" spans="1:4" ht="13.5" customHeight="1" x14ac:dyDescent="0.25">
      <c r="A53" s="1316"/>
      <c r="B53" s="1316"/>
      <c r="C53" s="1316"/>
      <c r="D53" s="1316"/>
    </row>
    <row r="54" spans="1:4" ht="13.5" customHeight="1" x14ac:dyDescent="0.25">
      <c r="A54" s="1316"/>
      <c r="B54" s="1316"/>
      <c r="C54" s="1316"/>
      <c r="D54" s="1316"/>
    </row>
    <row r="55" spans="1:4" ht="13.5" customHeight="1" x14ac:dyDescent="0.25">
      <c r="A55" s="1316"/>
      <c r="B55" s="1316"/>
      <c r="C55" s="1316"/>
      <c r="D55" s="1316"/>
    </row>
    <row r="56" spans="1:4" ht="13.5" customHeight="1" x14ac:dyDescent="0.25">
      <c r="A56" s="1316"/>
      <c r="B56" s="1316"/>
      <c r="C56" s="1316"/>
      <c r="D56" s="1316"/>
    </row>
    <row r="57" spans="1:4" ht="13.5" customHeight="1" x14ac:dyDescent="0.25">
      <c r="A57" s="1316"/>
      <c r="B57" s="1316"/>
      <c r="C57" s="1316"/>
      <c r="D57" s="1316"/>
    </row>
    <row r="58" spans="1:4" ht="13.5" customHeight="1" x14ac:dyDescent="0.25">
      <c r="A58" s="1316"/>
      <c r="B58" s="1316"/>
      <c r="C58" s="1316"/>
      <c r="D58" s="1316"/>
    </row>
    <row r="59" spans="1:4" ht="13.5" customHeight="1" x14ac:dyDescent="0.25">
      <c r="A59" s="1316"/>
      <c r="B59" s="1316"/>
      <c r="C59" s="1316"/>
      <c r="D59" s="1316"/>
    </row>
    <row r="60" spans="1:4" ht="13.5" customHeight="1" x14ac:dyDescent="0.25">
      <c r="A60" s="1316"/>
      <c r="B60" s="1316"/>
      <c r="C60" s="1316"/>
      <c r="D60" s="1316"/>
    </row>
    <row r="61" spans="1:4" ht="13.5" customHeight="1" x14ac:dyDescent="0.25">
      <c r="A61" s="1316"/>
      <c r="B61" s="1316"/>
      <c r="C61" s="1316"/>
      <c r="D61" s="1316"/>
    </row>
    <row r="62" spans="1:4" ht="13.5" customHeight="1" x14ac:dyDescent="0.25">
      <c r="A62" s="1316"/>
      <c r="B62" s="1316"/>
      <c r="C62" s="1316"/>
      <c r="D62" s="1316"/>
    </row>
    <row r="63" spans="1:4" ht="13.5" customHeight="1" x14ac:dyDescent="0.25">
      <c r="A63" s="1316"/>
      <c r="B63" s="1316"/>
      <c r="C63" s="1316"/>
      <c r="D63" s="1316"/>
    </row>
    <row r="64" spans="1:4" ht="13.5" customHeight="1" x14ac:dyDescent="0.25">
      <c r="A64" s="1316"/>
      <c r="B64" s="1316"/>
      <c r="C64" s="1316"/>
      <c r="D64" s="1316"/>
    </row>
    <row r="65" spans="1:4" ht="13.5" customHeight="1" x14ac:dyDescent="0.25">
      <c r="A65" s="1316"/>
      <c r="B65" s="1316"/>
      <c r="C65" s="1316"/>
      <c r="D65" s="1316"/>
    </row>
    <row r="66" spans="1:4" ht="13.5" customHeight="1" x14ac:dyDescent="0.25">
      <c r="A66" s="1316"/>
      <c r="B66" s="1316"/>
      <c r="C66" s="1316"/>
      <c r="D66" s="1316"/>
    </row>
    <row r="67" spans="1:4" ht="13.5" customHeight="1" x14ac:dyDescent="0.25">
      <c r="A67" s="1316"/>
      <c r="B67" s="1316"/>
      <c r="C67" s="1316"/>
      <c r="D67" s="1316"/>
    </row>
    <row r="68" spans="1:4" ht="13.5" customHeight="1" x14ac:dyDescent="0.25">
      <c r="A68" s="1316"/>
      <c r="B68" s="1316"/>
      <c r="C68" s="1316"/>
      <c r="D68" s="1316"/>
    </row>
    <row r="69" spans="1:4" ht="13.5" customHeight="1" x14ac:dyDescent="0.25">
      <c r="A69" s="1316"/>
      <c r="B69" s="1316"/>
      <c r="C69" s="1316"/>
      <c r="D69" s="1316"/>
    </row>
    <row r="70" spans="1:4" ht="13.5" customHeight="1" x14ac:dyDescent="0.25">
      <c r="A70" s="1316"/>
      <c r="B70" s="1316"/>
      <c r="C70" s="1316"/>
      <c r="D70" s="1316"/>
    </row>
    <row r="71" spans="1:4" ht="13.5" customHeight="1" x14ac:dyDescent="0.25">
      <c r="A71" s="1316"/>
      <c r="B71" s="1316"/>
      <c r="C71" s="1316"/>
      <c r="D71" s="1316"/>
    </row>
    <row r="72" spans="1:4" ht="13.5" customHeight="1" x14ac:dyDescent="0.25">
      <c r="A72" s="1316"/>
      <c r="B72" s="1316"/>
      <c r="C72" s="1316"/>
      <c r="D72" s="1316"/>
    </row>
    <row r="73" spans="1:4" ht="13.5" customHeight="1" x14ac:dyDescent="0.25">
      <c r="A73" s="1316"/>
      <c r="B73" s="1316"/>
      <c r="C73" s="1316"/>
      <c r="D73" s="1316"/>
    </row>
    <row r="74" spans="1:4" ht="13.5" customHeight="1" x14ac:dyDescent="0.25">
      <c r="A74" s="1316"/>
      <c r="B74" s="1316"/>
      <c r="C74" s="1316"/>
      <c r="D74" s="1316"/>
    </row>
    <row r="75" spans="1:4" ht="13.5" customHeight="1" x14ac:dyDescent="0.25">
      <c r="A75" s="1316"/>
      <c r="B75" s="1316"/>
      <c r="C75" s="1316"/>
      <c r="D75" s="1316"/>
    </row>
    <row r="76" spans="1:4" ht="13.5" customHeight="1" x14ac:dyDescent="0.25">
      <c r="A76" s="1316"/>
      <c r="B76" s="1316"/>
      <c r="C76" s="1316"/>
      <c r="D76" s="1316"/>
    </row>
    <row r="77" spans="1:4" ht="13.5" customHeight="1" x14ac:dyDescent="0.25">
      <c r="A77" s="1316"/>
      <c r="B77" s="1316"/>
      <c r="C77" s="1316"/>
      <c r="D77" s="1316"/>
    </row>
    <row r="78" spans="1:4" ht="13.5" customHeight="1" x14ac:dyDescent="0.25">
      <c r="A78" s="1316"/>
      <c r="B78" s="1316"/>
      <c r="C78" s="1316"/>
      <c r="D78" s="1316"/>
    </row>
    <row r="79" spans="1:4" ht="13.5" customHeight="1" x14ac:dyDescent="0.25">
      <c r="A79" s="1316"/>
      <c r="B79" s="1316"/>
      <c r="C79" s="1316"/>
      <c r="D79" s="1316"/>
    </row>
  </sheetData>
  <pageMargins left="0.43307086614173229" right="0.43307086614173229" top="0.35433070866141736" bottom="0.15748031496062992" header="0.11811023622047245" footer="0.11811023622047245"/>
  <pageSetup paperSize="9" scale="63" fitToWidth="3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5BFD3-E0AD-4361-B00C-AD1174901C64}">
  <sheetPr codeName="Sheet31"/>
  <dimension ref="A1:H26"/>
  <sheetViews>
    <sheetView showGridLines="0" workbookViewId="0">
      <selection activeCell="H1" sqref="H1"/>
    </sheetView>
  </sheetViews>
  <sheetFormatPr defaultRowHeight="15" x14ac:dyDescent="0.25"/>
  <cols>
    <col min="1" max="1" width="31.28515625" customWidth="1"/>
  </cols>
  <sheetData>
    <row r="1" spans="1:8" x14ac:dyDescent="0.25">
      <c r="A1" s="165" t="s">
        <v>138</v>
      </c>
      <c r="B1" s="161"/>
      <c r="C1" s="161"/>
      <c r="D1" s="161"/>
      <c r="E1" s="161"/>
      <c r="F1" s="161"/>
      <c r="G1" s="158"/>
      <c r="H1" s="30" t="s">
        <v>137</v>
      </c>
    </row>
    <row r="2" spans="1:8" x14ac:dyDescent="0.25">
      <c r="A2" s="157"/>
      <c r="B2" s="157">
        <v>2019</v>
      </c>
      <c r="C2" s="157">
        <v>2020</v>
      </c>
      <c r="D2" s="157">
        <v>2021</v>
      </c>
      <c r="E2" s="157" t="s">
        <v>118</v>
      </c>
      <c r="G2" s="158"/>
    </row>
    <row r="3" spans="1:8" x14ac:dyDescent="0.25">
      <c r="A3" s="166" t="s">
        <v>119</v>
      </c>
      <c r="B3" s="167">
        <f>SUM(B4:B10)</f>
        <v>0.53281701428606076</v>
      </c>
      <c r="C3" s="167">
        <f t="shared" ref="C3:E3" si="0">SUM(C4:C10)</f>
        <v>0.40481679704050888</v>
      </c>
      <c r="D3" s="167">
        <f t="shared" si="0"/>
        <v>0.23186824427958375</v>
      </c>
      <c r="E3" s="167">
        <f t="shared" si="0"/>
        <v>1.1695020556061535</v>
      </c>
      <c r="G3" s="158"/>
    </row>
    <row r="4" spans="1:8" x14ac:dyDescent="0.25">
      <c r="A4" s="158" t="s">
        <v>120</v>
      </c>
      <c r="B4" s="168">
        <v>-0.47218126235913971</v>
      </c>
      <c r="C4" s="168">
        <v>-0.17399047819843361</v>
      </c>
      <c r="D4" s="168">
        <v>-0.38021507235275465</v>
      </c>
      <c r="E4" s="168">
        <v>-1.026386812910328</v>
      </c>
      <c r="G4" s="158"/>
    </row>
    <row r="5" spans="1:8" x14ac:dyDescent="0.25">
      <c r="A5" s="158" t="s">
        <v>121</v>
      </c>
      <c r="B5" s="168">
        <v>-6.7923722780507845E-2</v>
      </c>
      <c r="C5" s="168">
        <v>-6.5413553006546721E-2</v>
      </c>
      <c r="D5" s="168">
        <v>-0.13930981525965525</v>
      </c>
      <c r="E5" s="168">
        <v>-0.27264709104670981</v>
      </c>
      <c r="G5" s="158"/>
    </row>
    <row r="6" spans="1:8" x14ac:dyDescent="0.25">
      <c r="A6" s="158" t="s">
        <v>122</v>
      </c>
      <c r="B6" s="168">
        <v>0.43867275369964709</v>
      </c>
      <c r="C6" s="168">
        <v>0.32363399617447541</v>
      </c>
      <c r="D6" s="168">
        <v>0.34999280636505858</v>
      </c>
      <c r="E6" s="168">
        <v>1.1122995562391811</v>
      </c>
      <c r="G6" s="158"/>
    </row>
    <row r="7" spans="1:8" x14ac:dyDescent="0.25">
      <c r="A7" s="158" t="s">
        <v>123</v>
      </c>
      <c r="B7" s="168">
        <v>0.17472113056078165</v>
      </c>
      <c r="C7" s="168">
        <v>0.17700374135898667</v>
      </c>
      <c r="D7" s="168">
        <v>0.1716724914591925</v>
      </c>
      <c r="E7" s="168">
        <v>0.52339736337896081</v>
      </c>
      <c r="G7" s="158"/>
    </row>
    <row r="8" spans="1:8" x14ac:dyDescent="0.25">
      <c r="A8" s="158" t="s">
        <v>124</v>
      </c>
      <c r="B8" s="168">
        <v>5.4797970469018242E-2</v>
      </c>
      <c r="C8" s="168">
        <v>5.2097075104839075E-2</v>
      </c>
      <c r="D8" s="168">
        <v>0.11061257240325206</v>
      </c>
      <c r="E8" s="168">
        <v>0.21750761797710938</v>
      </c>
      <c r="G8" s="158"/>
    </row>
    <row r="9" spans="1:8" x14ac:dyDescent="0.25">
      <c r="A9" s="158" t="s">
        <v>125</v>
      </c>
      <c r="B9" s="168">
        <v>9.7566882298763202E-2</v>
      </c>
      <c r="C9" s="168">
        <v>0.11382602254808183</v>
      </c>
      <c r="D9" s="168">
        <v>5.7061802906936077E-2</v>
      </c>
      <c r="E9" s="168">
        <v>0.26845470775378111</v>
      </c>
      <c r="G9" s="158"/>
    </row>
    <row r="10" spans="1:8" x14ac:dyDescent="0.25">
      <c r="A10" s="163" t="s">
        <v>7</v>
      </c>
      <c r="B10" s="164">
        <v>0.30716326239749814</v>
      </c>
      <c r="C10" s="164">
        <v>-2.2340006940893799E-2</v>
      </c>
      <c r="D10" s="164">
        <v>6.2053458757554414E-2</v>
      </c>
      <c r="E10" s="164">
        <v>0.34687671421415878</v>
      </c>
      <c r="G10" s="158"/>
    </row>
    <row r="11" spans="1:8" x14ac:dyDescent="0.25">
      <c r="A11" s="158"/>
      <c r="B11" s="168"/>
      <c r="C11" s="168"/>
      <c r="D11" s="168"/>
      <c r="E11" s="169" t="s">
        <v>84</v>
      </c>
      <c r="G11" s="158"/>
    </row>
    <row r="12" spans="1:8" x14ac:dyDescent="0.25">
      <c r="A12" s="183"/>
      <c r="B12" s="184"/>
      <c r="C12" s="185"/>
      <c r="D12" s="185"/>
      <c r="E12" s="185"/>
      <c r="F12" s="168"/>
      <c r="G12" s="158"/>
    </row>
    <row r="13" spans="1:8" x14ac:dyDescent="0.25">
      <c r="A13" s="186"/>
      <c r="B13" s="186"/>
      <c r="C13" s="186"/>
      <c r="D13" s="186"/>
      <c r="E13" s="186"/>
      <c r="F13" s="168"/>
      <c r="G13" s="158"/>
    </row>
    <row r="14" spans="1:8" x14ac:dyDescent="0.25">
      <c r="A14" s="162"/>
      <c r="B14" s="184"/>
      <c r="C14" s="181"/>
      <c r="D14" s="181"/>
      <c r="E14" s="181"/>
      <c r="F14" s="158"/>
      <c r="G14" s="158"/>
    </row>
    <row r="15" spans="1:8" x14ac:dyDescent="0.25">
      <c r="A15" s="162"/>
      <c r="B15" s="184"/>
      <c r="C15" s="184"/>
      <c r="D15" s="184"/>
      <c r="E15" s="184"/>
      <c r="F15" s="158"/>
      <c r="G15" s="158"/>
    </row>
    <row r="16" spans="1:8" x14ac:dyDescent="0.25">
      <c r="A16" s="187"/>
      <c r="B16" s="188"/>
      <c r="C16" s="188"/>
      <c r="D16" s="188"/>
      <c r="E16" s="188"/>
      <c r="F16" s="158"/>
      <c r="G16" s="158"/>
    </row>
    <row r="17" spans="1:7" ht="23.25" customHeight="1" x14ac:dyDescent="0.25">
      <c r="A17" s="187"/>
      <c r="B17" s="188"/>
      <c r="C17" s="188"/>
      <c r="D17" s="188"/>
      <c r="E17" s="188"/>
      <c r="F17" s="158"/>
      <c r="G17" s="158"/>
    </row>
    <row r="18" spans="1:7" x14ac:dyDescent="0.25">
      <c r="A18" s="189"/>
      <c r="B18" s="189"/>
      <c r="C18" s="189"/>
      <c r="D18" s="189"/>
      <c r="E18" s="189"/>
      <c r="F18" s="158"/>
      <c r="G18" s="158"/>
    </row>
    <row r="19" spans="1:7" x14ac:dyDescent="0.25">
      <c r="A19" s="162"/>
      <c r="B19" s="162"/>
      <c r="C19" s="162"/>
      <c r="D19" s="162"/>
      <c r="E19" s="162"/>
      <c r="F19" s="158"/>
      <c r="G19" s="158"/>
    </row>
    <row r="20" spans="1:7" x14ac:dyDescent="0.25">
      <c r="A20" s="162"/>
      <c r="B20" s="182"/>
      <c r="C20" s="182"/>
      <c r="D20" s="182"/>
      <c r="E20" s="182"/>
      <c r="F20" s="158"/>
      <c r="G20" s="158"/>
    </row>
    <row r="21" spans="1:7" x14ac:dyDescent="0.25">
      <c r="A21" s="162"/>
      <c r="B21" s="162"/>
      <c r="C21" s="162"/>
      <c r="D21" s="162"/>
      <c r="E21" s="162"/>
      <c r="F21" s="158"/>
      <c r="G21" s="158"/>
    </row>
    <row r="22" spans="1:7" x14ac:dyDescent="0.25">
      <c r="A22" s="162"/>
      <c r="B22" s="162"/>
      <c r="C22" s="162"/>
      <c r="D22" s="162"/>
      <c r="E22" s="162"/>
      <c r="F22" s="158"/>
      <c r="G22" s="158"/>
    </row>
    <row r="23" spans="1:7" x14ac:dyDescent="0.25">
      <c r="A23" s="162"/>
      <c r="B23" s="162"/>
      <c r="C23" s="162"/>
      <c r="D23" s="162"/>
      <c r="E23" s="162"/>
      <c r="F23" s="158"/>
    </row>
    <row r="24" spans="1:7" x14ac:dyDescent="0.25">
      <c r="A24" s="65"/>
      <c r="B24" s="65"/>
      <c r="C24" s="65"/>
      <c r="D24" s="65"/>
      <c r="E24" s="65"/>
    </row>
    <row r="25" spans="1:7" x14ac:dyDescent="0.25">
      <c r="A25" s="65"/>
      <c r="B25" s="65"/>
      <c r="C25" s="65"/>
      <c r="D25" s="65"/>
      <c r="E25" s="65"/>
    </row>
    <row r="26" spans="1:7" x14ac:dyDescent="0.25">
      <c r="A26" s="65"/>
      <c r="B26" s="65"/>
      <c r="C26" s="65"/>
      <c r="D26" s="65"/>
      <c r="E26" s="65"/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2E58-5A7D-4DDD-B03C-45243004CE94}">
  <sheetPr codeName="Sheet32"/>
  <dimension ref="A1:H31"/>
  <sheetViews>
    <sheetView showGridLines="0" workbookViewId="0">
      <selection activeCell="F1" sqref="F1"/>
    </sheetView>
  </sheetViews>
  <sheetFormatPr defaultRowHeight="15" x14ac:dyDescent="0.25"/>
  <cols>
    <col min="1" max="1" width="32.140625" customWidth="1"/>
  </cols>
  <sheetData>
    <row r="1" spans="1:6" x14ac:dyDescent="0.25">
      <c r="F1" s="30" t="s">
        <v>139</v>
      </c>
    </row>
    <row r="2" spans="1:6" x14ac:dyDescent="0.25">
      <c r="A2" s="172" t="s">
        <v>10</v>
      </c>
      <c r="B2" s="172"/>
      <c r="C2" s="172">
        <v>2019</v>
      </c>
      <c r="D2" s="124"/>
    </row>
    <row r="3" spans="1:6" x14ac:dyDescent="0.25">
      <c r="A3" s="118" t="s">
        <v>131</v>
      </c>
      <c r="B3" s="173"/>
      <c r="C3" s="190">
        <f>SUM(C4:C12)</f>
        <v>0.16254549035709442</v>
      </c>
      <c r="D3" s="124"/>
    </row>
    <row r="4" spans="1:6" x14ac:dyDescent="0.25">
      <c r="A4" s="124" t="s">
        <v>7</v>
      </c>
      <c r="B4" s="124"/>
      <c r="C4" s="174">
        <v>3.7827118469494048E-2</v>
      </c>
      <c r="D4" s="175"/>
    </row>
    <row r="5" spans="1:6" x14ac:dyDescent="0.25">
      <c r="A5" s="124" t="s">
        <v>132</v>
      </c>
      <c r="B5" s="124"/>
      <c r="C5" s="175">
        <v>-0.43025084319763557</v>
      </c>
      <c r="D5" s="124"/>
    </row>
    <row r="6" spans="1:6" x14ac:dyDescent="0.25">
      <c r="A6" s="124" t="s">
        <v>133</v>
      </c>
      <c r="B6" s="174"/>
      <c r="C6" s="175">
        <v>-0.35822557113779602</v>
      </c>
      <c r="D6" s="124"/>
    </row>
    <row r="7" spans="1:6" x14ac:dyDescent="0.25">
      <c r="A7" s="124" t="s">
        <v>134</v>
      </c>
      <c r="B7" s="174"/>
      <c r="C7" s="174">
        <v>1.1367943414298106E-2</v>
      </c>
      <c r="D7" s="124"/>
    </row>
    <row r="8" spans="1:6" x14ac:dyDescent="0.25">
      <c r="A8" s="124" t="s">
        <v>4</v>
      </c>
      <c r="B8" s="124"/>
      <c r="C8" s="174">
        <v>5.1591827115740077E-2</v>
      </c>
      <c r="D8" s="175"/>
    </row>
    <row r="9" spans="1:6" x14ac:dyDescent="0.25">
      <c r="A9" s="124" t="s">
        <v>135</v>
      </c>
      <c r="B9" s="124"/>
      <c r="C9" s="175">
        <v>0.14828687997011036</v>
      </c>
      <c r="D9" s="124"/>
    </row>
    <row r="10" spans="1:6" x14ac:dyDescent="0.25">
      <c r="A10" s="124" t="s">
        <v>136</v>
      </c>
      <c r="B10" s="124"/>
      <c r="C10" s="175">
        <v>0.21309491156825117</v>
      </c>
      <c r="D10" s="124"/>
    </row>
    <row r="11" spans="1:6" x14ac:dyDescent="0.25">
      <c r="A11" s="124" t="s">
        <v>121</v>
      </c>
      <c r="B11" s="124"/>
      <c r="C11" s="175">
        <v>0.2365772613038325</v>
      </c>
      <c r="D11" s="124"/>
    </row>
    <row r="12" spans="1:6" x14ac:dyDescent="0.25">
      <c r="A12" s="191" t="s">
        <v>120</v>
      </c>
      <c r="B12" s="192"/>
      <c r="C12" s="193">
        <v>0.25227596285079973</v>
      </c>
      <c r="D12" s="124"/>
    </row>
    <row r="13" spans="1:6" x14ac:dyDescent="0.25">
      <c r="A13" s="1617" t="s">
        <v>140</v>
      </c>
      <c r="B13" s="1617"/>
      <c r="C13" s="1617"/>
      <c r="D13" s="124"/>
    </row>
    <row r="14" spans="1:6" x14ac:dyDescent="0.25">
      <c r="A14" s="124"/>
      <c r="B14" s="175"/>
      <c r="C14" s="174"/>
      <c r="D14" s="124"/>
    </row>
    <row r="16" spans="1:6" x14ac:dyDescent="0.25">
      <c r="A16" s="124"/>
      <c r="B16" s="175"/>
      <c r="C16" s="124"/>
      <c r="D16" s="124"/>
    </row>
    <row r="17" spans="1:8" x14ac:dyDescent="0.25">
      <c r="A17" s="124"/>
      <c r="B17" s="124"/>
      <c r="C17" s="124"/>
      <c r="D17" s="124"/>
    </row>
    <row r="19" spans="1:8" x14ac:dyDescent="0.25">
      <c r="A19" s="177"/>
      <c r="B19" s="178"/>
      <c r="C19" s="179"/>
      <c r="D19" s="177"/>
      <c r="E19" s="178"/>
    </row>
    <row r="20" spans="1:8" x14ac:dyDescent="0.25">
      <c r="A20" s="108"/>
      <c r="B20" s="180"/>
      <c r="C20" s="180"/>
      <c r="D20" s="180"/>
      <c r="E20" s="180"/>
    </row>
    <row r="21" spans="1:8" x14ac:dyDescent="0.25">
      <c r="A21" s="108"/>
      <c r="B21" s="180"/>
      <c r="C21" s="180"/>
      <c r="D21" s="180"/>
      <c r="E21" s="180"/>
    </row>
    <row r="22" spans="1:8" x14ac:dyDescent="0.25">
      <c r="A22" s="108"/>
      <c r="B22" s="180"/>
      <c r="C22" s="180"/>
      <c r="D22" s="180"/>
      <c r="E22" s="180"/>
    </row>
    <row r="23" spans="1:8" x14ac:dyDescent="0.25">
      <c r="A23" s="108"/>
      <c r="B23" s="180"/>
      <c r="C23" s="180"/>
      <c r="D23" s="180"/>
      <c r="E23" s="180"/>
    </row>
    <row r="24" spans="1:8" x14ac:dyDescent="0.25">
      <c r="A24" s="108"/>
      <c r="B24" s="180"/>
      <c r="C24" s="180"/>
      <c r="D24" s="180"/>
      <c r="E24" s="180"/>
    </row>
    <row r="25" spans="1:8" x14ac:dyDescent="0.25">
      <c r="A25" s="108"/>
      <c r="B25" s="180"/>
      <c r="C25" s="180"/>
      <c r="D25" s="180"/>
      <c r="E25" s="180"/>
    </row>
    <row r="26" spans="1:8" x14ac:dyDescent="0.25">
      <c r="A26" s="108"/>
      <c r="B26" s="180"/>
      <c r="C26" s="180"/>
      <c r="D26" s="180"/>
      <c r="E26" s="180"/>
    </row>
    <row r="27" spans="1:8" x14ac:dyDescent="0.25">
      <c r="A27" s="108"/>
      <c r="B27" s="180"/>
      <c r="C27" s="180"/>
      <c r="D27" s="180"/>
      <c r="E27" s="180"/>
      <c r="H27" s="34"/>
    </row>
    <row r="28" spans="1:8" x14ac:dyDescent="0.25">
      <c r="A28" s="108"/>
      <c r="B28" s="180"/>
      <c r="C28" s="180"/>
      <c r="D28" s="180"/>
      <c r="E28" s="180"/>
    </row>
    <row r="29" spans="1:8" x14ac:dyDescent="0.25">
      <c r="A29" s="108"/>
      <c r="B29" s="180"/>
      <c r="C29" s="180"/>
      <c r="D29" s="180"/>
      <c r="E29" s="180"/>
    </row>
    <row r="30" spans="1:8" x14ac:dyDescent="0.25">
      <c r="A30" s="108"/>
      <c r="B30" s="180"/>
      <c r="C30" s="180"/>
      <c r="D30" s="180"/>
      <c r="E30" s="180"/>
    </row>
    <row r="31" spans="1:8" x14ac:dyDescent="0.25">
      <c r="A31" s="108"/>
      <c r="B31" s="180"/>
      <c r="C31" s="180"/>
      <c r="D31" s="180"/>
      <c r="E31" s="180"/>
    </row>
  </sheetData>
  <mergeCells count="1">
    <mergeCell ref="A13:C13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EB73-DADA-46A8-BC80-FEDA58A1147D}">
  <sheetPr codeName="Sheet33">
    <pageSetUpPr fitToPage="1"/>
  </sheetPr>
  <dimension ref="A1:L22"/>
  <sheetViews>
    <sheetView showGridLines="0" workbookViewId="0">
      <selection activeCell="I1" sqref="I1"/>
    </sheetView>
  </sheetViews>
  <sheetFormatPr defaultColWidth="9.140625" defaultRowHeight="12.75" x14ac:dyDescent="0.2"/>
  <cols>
    <col min="1" max="1" width="39.28515625" style="195" customWidth="1"/>
    <col min="2" max="16384" width="9.140625" style="195"/>
  </cols>
  <sheetData>
    <row r="1" spans="1:9" x14ac:dyDescent="0.2">
      <c r="I1" s="30" t="s">
        <v>163</v>
      </c>
    </row>
    <row r="2" spans="1:9" x14ac:dyDescent="0.2">
      <c r="A2" s="194"/>
      <c r="B2" s="194">
        <v>2017</v>
      </c>
      <c r="C2" s="194">
        <f>B2+1</f>
        <v>2018</v>
      </c>
      <c r="D2" s="194">
        <f t="shared" ref="D2:F2" si="0">C2+1</f>
        <v>2019</v>
      </c>
      <c r="E2" s="194">
        <f t="shared" si="0"/>
        <v>2020</v>
      </c>
      <c r="F2" s="194">
        <f t="shared" si="0"/>
        <v>2021</v>
      </c>
    </row>
    <row r="3" spans="1:9" x14ac:dyDescent="0.2">
      <c r="A3" s="124" t="s">
        <v>143</v>
      </c>
      <c r="B3" s="116"/>
      <c r="C3" s="116">
        <v>43230</v>
      </c>
      <c r="D3" s="116">
        <v>44011.326326099319</v>
      </c>
      <c r="E3" s="116">
        <v>46218.406725659966</v>
      </c>
      <c r="F3" s="116">
        <v>45641.94367348573</v>
      </c>
    </row>
    <row r="4" spans="1:9" x14ac:dyDescent="0.2">
      <c r="A4" s="216" t="s">
        <v>144</v>
      </c>
      <c r="B4" s="116"/>
      <c r="C4" s="116">
        <v>738.22087743254133</v>
      </c>
      <c r="D4" s="116">
        <v>1751.5184766919351</v>
      </c>
      <c r="E4" s="116">
        <v>1661.8420736073565</v>
      </c>
      <c r="F4" s="116">
        <v>1512.2396274250932</v>
      </c>
    </row>
    <row r="5" spans="1:9" x14ac:dyDescent="0.2">
      <c r="A5" s="216" t="s">
        <v>145</v>
      </c>
      <c r="B5" s="116"/>
      <c r="C5" s="116">
        <v>0</v>
      </c>
      <c r="D5" s="116">
        <v>0</v>
      </c>
      <c r="E5" s="116">
        <v>0</v>
      </c>
      <c r="F5" s="116">
        <v>0</v>
      </c>
    </row>
    <row r="6" spans="1:9" x14ac:dyDescent="0.2">
      <c r="A6" s="216" t="s">
        <v>146</v>
      </c>
      <c r="B6" s="116"/>
      <c r="C6" s="116">
        <v>43.031051874701461</v>
      </c>
      <c r="D6" s="116">
        <v>69.486459479752668</v>
      </c>
      <c r="E6" s="116">
        <v>-182.37217019597975</v>
      </c>
      <c r="F6" s="116">
        <v>-210.41163558551841</v>
      </c>
    </row>
    <row r="7" spans="1:9" x14ac:dyDescent="0.2">
      <c r="A7" s="216" t="s">
        <v>147</v>
      </c>
      <c r="B7" s="116"/>
      <c r="C7" s="116">
        <v>7.4396792079830798E-2</v>
      </c>
      <c r="D7" s="116">
        <v>3.0259196452532526</v>
      </c>
      <c r="E7" s="116">
        <v>-14.103753371164146</v>
      </c>
      <c r="F7" s="116">
        <v>-24.593336843396962</v>
      </c>
    </row>
    <row r="8" spans="1:9" x14ac:dyDescent="0.2">
      <c r="A8" s="216" t="s">
        <v>148</v>
      </c>
      <c r="B8" s="116"/>
      <c r="C8" s="116">
        <v>0</v>
      </c>
      <c r="D8" s="116">
        <v>451.04954374370436</v>
      </c>
      <c r="E8" s="116">
        <v>-1973.8292022144435</v>
      </c>
      <c r="F8" s="116">
        <v>-818.91087626027343</v>
      </c>
    </row>
    <row r="9" spans="1:9" x14ac:dyDescent="0.2">
      <c r="A9" s="216" t="s">
        <v>149</v>
      </c>
      <c r="B9" s="116"/>
      <c r="C9" s="116">
        <v>0</v>
      </c>
      <c r="D9" s="116">
        <v>-68</v>
      </c>
      <c r="E9" s="116">
        <v>-68</v>
      </c>
      <c r="F9" s="116">
        <v>-68</v>
      </c>
    </row>
    <row r="10" spans="1:9" x14ac:dyDescent="0.2">
      <c r="A10" s="118" t="s">
        <v>150</v>
      </c>
      <c r="B10" s="217">
        <v>43230</v>
      </c>
      <c r="C10" s="217">
        <f>C3+C4+C6+C7+C8+C9+C5</f>
        <v>44011.326326099319</v>
      </c>
      <c r="D10" s="217">
        <f t="shared" ref="D10:F10" si="1">D3+D4+D6+D7+D8+D9+D5</f>
        <v>46218.406725659966</v>
      </c>
      <c r="E10" s="217">
        <f t="shared" si="1"/>
        <v>45641.94367348573</v>
      </c>
      <c r="F10" s="217">
        <f t="shared" si="1"/>
        <v>46032.26745222164</v>
      </c>
      <c r="G10" s="199"/>
    </row>
    <row r="11" spans="1:9" x14ac:dyDescent="0.2">
      <c r="A11" s="218" t="s">
        <v>39</v>
      </c>
      <c r="B11" s="219">
        <v>50.948192653230549</v>
      </c>
      <c r="C11" s="219">
        <v>48.667965866607659</v>
      </c>
      <c r="D11" s="219">
        <v>47.881812997145403</v>
      </c>
      <c r="E11" s="219">
        <v>44.518810628796132</v>
      </c>
      <c r="F11" s="219">
        <v>42.381228988423494</v>
      </c>
      <c r="G11" s="200"/>
    </row>
    <row r="12" spans="1:9" x14ac:dyDescent="0.2">
      <c r="A12" s="133" t="s">
        <v>160</v>
      </c>
      <c r="B12" s="220">
        <f>B10</f>
        <v>43230</v>
      </c>
      <c r="C12" s="220">
        <v>43967.757879122117</v>
      </c>
      <c r="D12" s="220">
        <v>45719.27635581405</v>
      </c>
      <c r="E12" s="220">
        <v>47381.118429421404</v>
      </c>
      <c r="F12" s="220">
        <v>48893.358056846497</v>
      </c>
    </row>
    <row r="13" spans="1:9" x14ac:dyDescent="0.2">
      <c r="A13" s="218" t="s">
        <v>161</v>
      </c>
      <c r="B13" s="219">
        <v>50.948208264772852</v>
      </c>
      <c r="C13" s="219">
        <v>48.60272037931356</v>
      </c>
      <c r="D13" s="219">
        <v>47.1866135105411</v>
      </c>
      <c r="E13" s="219">
        <v>45.916998707555564</v>
      </c>
      <c r="F13" s="219">
        <v>44.74428053449904</v>
      </c>
    </row>
    <row r="14" spans="1:9" x14ac:dyDescent="0.2">
      <c r="A14" s="215"/>
      <c r="B14" s="211"/>
      <c r="C14" s="211"/>
      <c r="D14" s="211"/>
      <c r="E14" s="1590" t="s">
        <v>164</v>
      </c>
      <c r="F14" s="1590"/>
    </row>
    <row r="15" spans="1:9" x14ac:dyDescent="0.2">
      <c r="A15" s="215"/>
      <c r="B15" s="211"/>
      <c r="C15" s="211"/>
      <c r="D15" s="211"/>
      <c r="E15" s="211"/>
      <c r="F15" s="211"/>
    </row>
    <row r="16" spans="1:9" x14ac:dyDescent="0.2">
      <c r="A16" s="215"/>
      <c r="B16" s="211"/>
      <c r="C16" s="211"/>
      <c r="D16" s="211"/>
      <c r="E16" s="211"/>
      <c r="F16" s="211"/>
    </row>
    <row r="17" spans="1:12" x14ac:dyDescent="0.2">
      <c r="A17" s="215"/>
      <c r="B17" s="211"/>
      <c r="C17" s="211"/>
      <c r="D17" s="211"/>
      <c r="E17" s="211"/>
      <c r="F17" s="211"/>
    </row>
    <row r="18" spans="1:12" x14ac:dyDescent="0.2">
      <c r="A18" s="124" t="s">
        <v>151</v>
      </c>
      <c r="B18" s="116">
        <v>84985.19200000001</v>
      </c>
      <c r="C18" s="116">
        <v>90463.573923396703</v>
      </c>
      <c r="D18" s="116">
        <v>96890.352908247471</v>
      </c>
      <c r="E18" s="116">
        <v>103188.62243412464</v>
      </c>
      <c r="F18" s="116">
        <v>109272.86677265579</v>
      </c>
      <c r="I18" s="199"/>
      <c r="J18" s="199"/>
      <c r="K18" s="199"/>
      <c r="L18" s="199"/>
    </row>
    <row r="19" spans="1:12" x14ac:dyDescent="0.2">
      <c r="A19" s="108" t="s">
        <v>162</v>
      </c>
      <c r="B19" s="116">
        <v>84850.873999999996</v>
      </c>
      <c r="C19" s="116">
        <v>90320.625087447464</v>
      </c>
      <c r="D19" s="116">
        <v>96737.248597172234</v>
      </c>
      <c r="E19" s="116">
        <v>103025.56571615045</v>
      </c>
      <c r="F19" s="116">
        <v>109100.19584635328</v>
      </c>
      <c r="I19" s="199"/>
      <c r="J19" s="199"/>
      <c r="K19" s="199"/>
      <c r="L19" s="199"/>
    </row>
    <row r="20" spans="1:12" x14ac:dyDescent="0.2">
      <c r="A20" s="124" t="s">
        <v>152</v>
      </c>
      <c r="B20" s="116">
        <v>84850.9</v>
      </c>
      <c r="C20" s="116">
        <v>90431.818019122555</v>
      </c>
      <c r="D20" s="116">
        <v>96526.016524093182</v>
      </c>
      <c r="E20" s="116">
        <v>102522.82805588502</v>
      </c>
      <c r="F20" s="116">
        <v>108614.75363254671</v>
      </c>
    </row>
    <row r="22" spans="1:12" x14ac:dyDescent="0.2">
      <c r="B22" s="196"/>
      <c r="C22" s="205"/>
      <c r="D22" s="205"/>
      <c r="E22" s="205"/>
      <c r="F22" s="205"/>
    </row>
  </sheetData>
  <mergeCells count="1">
    <mergeCell ref="E14:F14"/>
  </mergeCells>
  <pageMargins left="0.7" right="0.7" top="0.75" bottom="0.75" header="0.3" footer="0.3"/>
  <pageSetup paperSize="9" scale="49" orientation="portrait" r:id="rId1"/>
  <drawing r:id="rId2"/>
  <legacyDrawing r:id="rId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F424A-1CBB-4B51-9721-ADDA304DF12E}">
  <sheetPr codeName="Sheet34">
    <pageSetUpPr fitToPage="1"/>
  </sheetPr>
  <dimension ref="A1:I14"/>
  <sheetViews>
    <sheetView showGridLines="0" workbookViewId="0">
      <selection activeCell="I1" sqref="I1"/>
    </sheetView>
  </sheetViews>
  <sheetFormatPr defaultColWidth="9.140625" defaultRowHeight="12.75" x14ac:dyDescent="0.2"/>
  <cols>
    <col min="1" max="1" width="39.28515625" style="195" customWidth="1"/>
    <col min="2" max="16384" width="9.140625" style="195"/>
  </cols>
  <sheetData>
    <row r="1" spans="1:9" x14ac:dyDescent="0.2">
      <c r="C1" s="199"/>
      <c r="D1" s="199"/>
      <c r="E1" s="199"/>
      <c r="F1" s="199"/>
      <c r="I1" s="30" t="s">
        <v>165</v>
      </c>
    </row>
    <row r="2" spans="1:9" x14ac:dyDescent="0.2">
      <c r="A2" s="207"/>
      <c r="B2" s="172">
        <v>2017</v>
      </c>
      <c r="C2" s="172">
        <v>2018</v>
      </c>
      <c r="D2" s="172">
        <v>2019</v>
      </c>
      <c r="E2" s="172">
        <v>2020</v>
      </c>
      <c r="F2" s="172">
        <v>2021</v>
      </c>
      <c r="G2" s="222" t="s">
        <v>154</v>
      </c>
    </row>
    <row r="3" spans="1:9" x14ac:dyDescent="0.2">
      <c r="A3" s="118" t="s">
        <v>155</v>
      </c>
      <c r="B3" s="223"/>
      <c r="C3" s="223"/>
      <c r="D3" s="223"/>
      <c r="E3" s="223"/>
      <c r="F3" s="223"/>
      <c r="G3" s="124"/>
    </row>
    <row r="4" spans="1:9" x14ac:dyDescent="0.2">
      <c r="A4" s="124" t="s">
        <v>156</v>
      </c>
      <c r="B4" s="212"/>
      <c r="C4" s="212">
        <v>-2.2802267866228902</v>
      </c>
      <c r="D4" s="212">
        <v>-0.78615286946225638</v>
      </c>
      <c r="E4" s="212">
        <v>-3.3630023683492709</v>
      </c>
      <c r="F4" s="212">
        <v>-2.1375816403726375</v>
      </c>
      <c r="G4" s="212">
        <f>SUM(C4:F4)</f>
        <v>-8.5669636648070551</v>
      </c>
    </row>
    <row r="5" spans="1:9" x14ac:dyDescent="0.2">
      <c r="A5" s="124" t="s">
        <v>157</v>
      </c>
      <c r="B5" s="212"/>
      <c r="C5" s="212">
        <v>0</v>
      </c>
      <c r="D5" s="212">
        <v>0.43767252308026716</v>
      </c>
      <c r="E5" s="212">
        <v>0.67760820933517407</v>
      </c>
      <c r="F5" s="212">
        <v>0.64141265151174887</v>
      </c>
      <c r="G5" s="212">
        <f t="shared" ref="G5:G7" si="0">SUM(C5:F5)</f>
        <v>1.7566933839271901</v>
      </c>
    </row>
    <row r="6" spans="1:9" x14ac:dyDescent="0.2">
      <c r="A6" s="124" t="s">
        <v>158</v>
      </c>
      <c r="B6" s="212"/>
      <c r="C6" s="212">
        <v>-6.5261098836401743E-2</v>
      </c>
      <c r="D6" s="212">
        <v>-1.0676265223904702</v>
      </c>
      <c r="E6" s="212">
        <v>1.4157793560285603</v>
      </c>
      <c r="F6" s="212">
        <v>0.32345081580436519</v>
      </c>
      <c r="G6" s="212">
        <f t="shared" si="0"/>
        <v>0.60634255060605358</v>
      </c>
    </row>
    <row r="7" spans="1:9" x14ac:dyDescent="0.2">
      <c r="A7" s="191" t="s">
        <v>159</v>
      </c>
      <c r="B7" s="221"/>
      <c r="C7" s="221">
        <v>-2.345487885459292</v>
      </c>
      <c r="D7" s="221">
        <v>-1.4161068687724594</v>
      </c>
      <c r="E7" s="221">
        <v>-1.2696148029855365</v>
      </c>
      <c r="F7" s="221">
        <v>-1.1727181730565235</v>
      </c>
      <c r="G7" s="221">
        <f t="shared" si="0"/>
        <v>-6.2039277302738114</v>
      </c>
    </row>
    <row r="8" spans="1:9" ht="15" x14ac:dyDescent="0.25">
      <c r="A8"/>
      <c r="B8"/>
      <c r="C8"/>
      <c r="D8"/>
      <c r="E8"/>
      <c r="F8" s="1618" t="s">
        <v>164</v>
      </c>
      <c r="G8" s="1618"/>
    </row>
    <row r="9" spans="1:9" x14ac:dyDescent="0.2">
      <c r="C9" s="199"/>
      <c r="D9" s="199"/>
      <c r="E9" s="199"/>
      <c r="F9" s="199"/>
    </row>
    <row r="11" spans="1:9" x14ac:dyDescent="0.2">
      <c r="F11" s="213"/>
    </row>
    <row r="14" spans="1:9" x14ac:dyDescent="0.2">
      <c r="F14" s="213"/>
    </row>
  </sheetData>
  <mergeCells count="1">
    <mergeCell ref="F8:G8"/>
  </mergeCells>
  <pageMargins left="0.7" right="0.7" top="0.75" bottom="0.75" header="0.3" footer="0.3"/>
  <pageSetup paperSize="9" scale="4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4443-A7CB-4BA2-86D2-296C272732EC}">
  <sheetPr>
    <pageSetUpPr fitToPage="1"/>
  </sheetPr>
  <dimension ref="A1:K53"/>
  <sheetViews>
    <sheetView showGridLines="0" zoomScaleNormal="100" workbookViewId="0">
      <selection activeCell="K1" sqref="K1"/>
    </sheetView>
  </sheetViews>
  <sheetFormatPr defaultRowHeight="15" x14ac:dyDescent="0.25"/>
  <cols>
    <col min="1" max="1" width="52.7109375" customWidth="1"/>
    <col min="5" max="5" width="9.140625" customWidth="1"/>
  </cols>
  <sheetData>
    <row r="1" spans="1:11" x14ac:dyDescent="0.25">
      <c r="A1" s="30" t="s">
        <v>864</v>
      </c>
      <c r="B1" s="896"/>
      <c r="C1" s="896"/>
      <c r="D1" s="896"/>
      <c r="E1" s="896"/>
      <c r="K1" s="30" t="s">
        <v>864</v>
      </c>
    </row>
    <row r="2" spans="1:11" x14ac:dyDescent="0.25">
      <c r="A2" s="123"/>
      <c r="B2" s="409">
        <v>2012</v>
      </c>
      <c r="C2" s="409">
        <v>2013</v>
      </c>
      <c r="D2" s="409">
        <v>2014</v>
      </c>
      <c r="E2" s="409">
        <v>2015</v>
      </c>
      <c r="F2" s="409">
        <v>2016</v>
      </c>
      <c r="G2" s="409">
        <v>2017</v>
      </c>
      <c r="H2" s="409">
        <v>2018</v>
      </c>
      <c r="I2" s="409">
        <v>2019</v>
      </c>
    </row>
    <row r="3" spans="1:11" s="44" customFormat="1" x14ac:dyDescent="0.25">
      <c r="A3" s="898" t="s">
        <v>808</v>
      </c>
      <c r="B3" s="899">
        <v>0.23141011955408103</v>
      </c>
      <c r="C3" s="899">
        <v>0.73093474737618069</v>
      </c>
      <c r="D3" s="899">
        <v>2.3100838509018411</v>
      </c>
      <c r="E3" s="899">
        <v>1.5667709431046821</v>
      </c>
      <c r="F3" s="899">
        <v>1.2287141760961069</v>
      </c>
      <c r="G3" s="899">
        <v>0.5159454581271381</v>
      </c>
      <c r="H3" s="899">
        <v>0.70219498722867668</v>
      </c>
      <c r="I3" s="899">
        <v>1.2646254494556006</v>
      </c>
    </row>
    <row r="4" spans="1:11" s="44" customFormat="1" x14ac:dyDescent="0.25">
      <c r="A4" s="898" t="s">
        <v>809</v>
      </c>
      <c r="B4" s="899">
        <v>-4.6823829251685344E-3</v>
      </c>
      <c r="C4" s="899">
        <v>-0.50291637334574546</v>
      </c>
      <c r="D4" s="899">
        <v>-2.3833097819972311</v>
      </c>
      <c r="E4" s="899">
        <v>-1.6765017684203936</v>
      </c>
      <c r="F4" s="899">
        <v>-1.5342912184507194</v>
      </c>
      <c r="G4" s="899">
        <v>-1.6061544108547772E-2</v>
      </c>
      <c r="H4" s="899">
        <v>-0.4809342718132355</v>
      </c>
      <c r="I4" s="899">
        <v>-1.0449478503931984</v>
      </c>
    </row>
    <row r="5" spans="1:11" s="44" customFormat="1" x14ac:dyDescent="0.25">
      <c r="A5" s="951" t="s">
        <v>810</v>
      </c>
      <c r="B5" s="952">
        <v>0.25511289002592896</v>
      </c>
      <c r="C5" s="952">
        <v>0.18001251181409117</v>
      </c>
      <c r="D5" s="952">
        <v>-6.2293928855871705E-2</v>
      </c>
      <c r="E5" s="952">
        <v>-7.1264976964346527E-2</v>
      </c>
      <c r="F5" s="952">
        <v>-0.29183879319578288</v>
      </c>
      <c r="G5" s="952">
        <v>0.51295108242811804</v>
      </c>
      <c r="H5" s="952">
        <v>0.22884476458148251</v>
      </c>
      <c r="I5" s="952">
        <v>0.21984206591144748</v>
      </c>
      <c r="J5" s="65"/>
    </row>
    <row r="6" spans="1:11" x14ac:dyDescent="0.25">
      <c r="A6" s="897"/>
      <c r="B6" s="426"/>
      <c r="C6" s="426"/>
      <c r="D6" s="426"/>
      <c r="E6" s="426"/>
      <c r="I6" s="873" t="s">
        <v>164</v>
      </c>
      <c r="J6" s="953"/>
    </row>
    <row r="7" spans="1:11" x14ac:dyDescent="0.25">
      <c r="A7" s="897"/>
      <c r="B7" s="426"/>
      <c r="C7" s="426"/>
      <c r="D7" s="426"/>
      <c r="E7" s="426"/>
    </row>
    <row r="8" spans="1:11" x14ac:dyDescent="0.25">
      <c r="A8" s="897"/>
      <c r="B8" s="426"/>
      <c r="C8" s="426"/>
      <c r="D8" s="426"/>
      <c r="E8" s="426"/>
    </row>
    <row r="9" spans="1:11" x14ac:dyDescent="0.25">
      <c r="A9" s="897"/>
      <c r="B9" s="426"/>
      <c r="C9" s="426"/>
      <c r="D9" s="426"/>
      <c r="E9" s="900"/>
      <c r="F9" s="900"/>
      <c r="G9" s="900"/>
    </row>
    <row r="10" spans="1:11" x14ac:dyDescent="0.25">
      <c r="A10" s="897"/>
      <c r="B10" s="426"/>
      <c r="C10" s="426"/>
      <c r="D10" s="426"/>
      <c r="E10" s="426"/>
    </row>
    <row r="11" spans="1:11" x14ac:dyDescent="0.25">
      <c r="A11" s="897"/>
      <c r="B11" s="426"/>
      <c r="C11" s="426"/>
      <c r="D11" s="426"/>
      <c r="E11" s="426"/>
    </row>
    <row r="12" spans="1:11" x14ac:dyDescent="0.25">
      <c r="A12" s="897"/>
      <c r="B12" s="426"/>
      <c r="C12" s="426"/>
      <c r="D12" s="426"/>
      <c r="E12" s="426"/>
    </row>
    <row r="13" spans="1:11" x14ac:dyDescent="0.25">
      <c r="A13" s="897"/>
      <c r="B13" s="426"/>
      <c r="C13" s="426"/>
      <c r="D13" s="426"/>
      <c r="E13" s="426"/>
    </row>
    <row r="14" spans="1:11" x14ac:dyDescent="0.25">
      <c r="A14" s="897"/>
      <c r="B14" s="426"/>
      <c r="C14" s="426"/>
      <c r="D14" s="426"/>
      <c r="E14" s="426"/>
    </row>
    <row r="15" spans="1:11" x14ac:dyDescent="0.25">
      <c r="A15" s="897"/>
      <c r="B15" s="426"/>
      <c r="C15" s="426"/>
      <c r="D15" s="426"/>
      <c r="E15" s="426"/>
    </row>
    <row r="16" spans="1:11" x14ac:dyDescent="0.25">
      <c r="A16" s="897"/>
      <c r="B16" s="426"/>
      <c r="C16" s="426"/>
      <c r="D16" s="426"/>
      <c r="E16" s="426"/>
    </row>
    <row r="17" spans="1:5" x14ac:dyDescent="0.25">
      <c r="A17" s="897"/>
      <c r="B17" s="426"/>
      <c r="C17" s="426"/>
      <c r="D17" s="426"/>
      <c r="E17" s="426"/>
    </row>
    <row r="18" spans="1:5" x14ac:dyDescent="0.25">
      <c r="A18" s="897"/>
      <c r="B18" s="426"/>
      <c r="C18" s="426"/>
      <c r="D18" s="426"/>
      <c r="E18" s="426"/>
    </row>
    <row r="19" spans="1:5" x14ac:dyDescent="0.25">
      <c r="A19" s="897"/>
      <c r="B19" s="426"/>
      <c r="C19" s="426"/>
      <c r="D19" s="426"/>
      <c r="E19" s="426"/>
    </row>
    <row r="20" spans="1:5" x14ac:dyDescent="0.25">
      <c r="A20" s="897"/>
      <c r="B20" s="426"/>
      <c r="C20" s="426"/>
      <c r="D20" s="426"/>
      <c r="E20" s="426"/>
    </row>
    <row r="21" spans="1:5" x14ac:dyDescent="0.25">
      <c r="A21" s="897"/>
      <c r="B21" s="426"/>
      <c r="C21" s="426"/>
      <c r="D21" s="426"/>
      <c r="E21" s="426"/>
    </row>
    <row r="22" spans="1:5" x14ac:dyDescent="0.25">
      <c r="A22" s="897"/>
      <c r="B22" s="426"/>
      <c r="C22" s="426"/>
      <c r="D22" s="426"/>
      <c r="E22" s="426"/>
    </row>
    <row r="23" spans="1:5" x14ac:dyDescent="0.25">
      <c r="A23" s="897"/>
      <c r="B23" s="426"/>
      <c r="C23" s="426"/>
      <c r="D23" s="426"/>
      <c r="E23" s="426"/>
    </row>
    <row r="24" spans="1:5" x14ac:dyDescent="0.25">
      <c r="A24" s="897"/>
      <c r="B24" s="426"/>
      <c r="C24" s="426"/>
      <c r="D24" s="426"/>
      <c r="E24" s="426"/>
    </row>
    <row r="25" spans="1:5" x14ac:dyDescent="0.25">
      <c r="A25" s="897"/>
      <c r="B25" s="426"/>
      <c r="C25" s="426"/>
      <c r="D25" s="426"/>
      <c r="E25" s="426"/>
    </row>
    <row r="26" spans="1:5" x14ac:dyDescent="0.25">
      <c r="A26" s="897"/>
      <c r="B26" s="426"/>
      <c r="C26" s="426"/>
      <c r="D26" s="426"/>
      <c r="E26" s="426"/>
    </row>
    <row r="27" spans="1:5" x14ac:dyDescent="0.25">
      <c r="A27" s="897"/>
      <c r="B27" s="426"/>
      <c r="C27" s="426"/>
      <c r="D27" s="426"/>
      <c r="E27" s="426"/>
    </row>
    <row r="28" spans="1:5" x14ac:dyDescent="0.25">
      <c r="A28" s="897"/>
      <c r="B28" s="426"/>
      <c r="C28" s="426"/>
      <c r="D28" s="426"/>
      <c r="E28" s="426"/>
    </row>
    <row r="29" spans="1:5" x14ac:dyDescent="0.25">
      <c r="A29" s="897"/>
      <c r="B29" s="426"/>
      <c r="C29" s="426"/>
      <c r="D29" s="426"/>
      <c r="E29" s="426"/>
    </row>
    <row r="30" spans="1:5" x14ac:dyDescent="0.25">
      <c r="A30" s="897"/>
      <c r="B30" s="426"/>
      <c r="C30" s="426"/>
      <c r="D30" s="426"/>
      <c r="E30" s="426"/>
    </row>
    <row r="31" spans="1:5" x14ac:dyDescent="0.25">
      <c r="A31" s="897"/>
      <c r="B31" s="426"/>
      <c r="C31" s="426"/>
      <c r="D31" s="426"/>
      <c r="E31" s="426"/>
    </row>
    <row r="32" spans="1:5" x14ac:dyDescent="0.25">
      <c r="A32" s="897"/>
      <c r="B32" s="426"/>
      <c r="C32" s="426"/>
      <c r="D32" s="426"/>
      <c r="E32" s="426"/>
    </row>
    <row r="33" spans="1:5" x14ac:dyDescent="0.25">
      <c r="A33" s="897"/>
      <c r="B33" s="426"/>
      <c r="C33" s="426"/>
      <c r="D33" s="426"/>
      <c r="E33" s="426"/>
    </row>
    <row r="34" spans="1:5" x14ac:dyDescent="0.25">
      <c r="A34" s="897"/>
      <c r="B34" s="426"/>
      <c r="C34" s="426"/>
      <c r="D34" s="426"/>
      <c r="E34" s="426"/>
    </row>
    <row r="35" spans="1:5" x14ac:dyDescent="0.25">
      <c r="A35" s="897"/>
      <c r="B35" s="426"/>
      <c r="C35" s="426"/>
      <c r="D35" s="426"/>
      <c r="E35" s="426"/>
    </row>
    <row r="36" spans="1:5" x14ac:dyDescent="0.25">
      <c r="A36" s="897"/>
      <c r="B36" s="426"/>
      <c r="C36" s="426"/>
      <c r="D36" s="426"/>
      <c r="E36" s="426"/>
    </row>
    <row r="37" spans="1:5" x14ac:dyDescent="0.25">
      <c r="A37" s="897"/>
      <c r="B37" s="426"/>
      <c r="C37" s="426"/>
      <c r="D37" s="426"/>
      <c r="E37" s="426"/>
    </row>
    <row r="38" spans="1:5" x14ac:dyDescent="0.25">
      <c r="A38" s="897"/>
      <c r="B38" s="426"/>
      <c r="C38" s="426"/>
      <c r="D38" s="426"/>
      <c r="E38" s="426"/>
    </row>
    <row r="39" spans="1:5" x14ac:dyDescent="0.25">
      <c r="A39" s="897"/>
      <c r="B39" s="426"/>
      <c r="C39" s="426"/>
      <c r="D39" s="426"/>
      <c r="E39" s="426"/>
    </row>
    <row r="40" spans="1:5" x14ac:dyDescent="0.25">
      <c r="A40" s="897"/>
      <c r="B40" s="426"/>
      <c r="C40" s="426"/>
      <c r="D40" s="426"/>
      <c r="E40" s="426"/>
    </row>
    <row r="41" spans="1:5" x14ac:dyDescent="0.25">
      <c r="A41" s="897"/>
      <c r="B41" s="426"/>
      <c r="C41" s="426"/>
      <c r="D41" s="426"/>
      <c r="E41" s="426"/>
    </row>
    <row r="42" spans="1:5" x14ac:dyDescent="0.25">
      <c r="A42" s="897"/>
      <c r="B42" s="426"/>
      <c r="C42" s="426"/>
      <c r="D42" s="426"/>
      <c r="E42" s="426"/>
    </row>
    <row r="43" spans="1:5" x14ac:dyDescent="0.25">
      <c r="A43" s="897"/>
      <c r="B43" s="426"/>
      <c r="C43" s="426"/>
      <c r="D43" s="426"/>
      <c r="E43" s="426"/>
    </row>
    <row r="44" spans="1:5" x14ac:dyDescent="0.25">
      <c r="A44" s="897"/>
      <c r="B44" s="426"/>
      <c r="C44" s="426"/>
      <c r="D44" s="426"/>
      <c r="E44" s="426"/>
    </row>
    <row r="45" spans="1:5" x14ac:dyDescent="0.25">
      <c r="A45" s="897"/>
      <c r="B45" s="426"/>
      <c r="C45" s="426"/>
      <c r="D45" s="426"/>
      <c r="E45" s="426"/>
    </row>
    <row r="46" spans="1:5" x14ac:dyDescent="0.25">
      <c r="A46" s="897"/>
      <c r="B46" s="426"/>
      <c r="C46" s="426"/>
      <c r="D46" s="426"/>
      <c r="E46" s="426"/>
    </row>
    <row r="47" spans="1:5" x14ac:dyDescent="0.25">
      <c r="A47" s="897"/>
      <c r="B47" s="426"/>
      <c r="C47" s="426"/>
      <c r="D47" s="426"/>
      <c r="E47" s="426"/>
    </row>
    <row r="48" spans="1:5" x14ac:dyDescent="0.25">
      <c r="A48" s="897"/>
      <c r="B48" s="426"/>
      <c r="C48" s="426"/>
      <c r="D48" s="426"/>
      <c r="E48" s="426"/>
    </row>
    <row r="49" spans="1:5" x14ac:dyDescent="0.25">
      <c r="A49" s="897"/>
      <c r="B49" s="426"/>
      <c r="C49" s="426"/>
      <c r="D49" s="426"/>
      <c r="E49" s="426"/>
    </row>
    <row r="50" spans="1:5" x14ac:dyDescent="0.25">
      <c r="A50" s="897"/>
      <c r="B50" s="426"/>
      <c r="C50" s="426"/>
      <c r="D50" s="426"/>
      <c r="E50" s="426"/>
    </row>
    <row r="51" spans="1:5" x14ac:dyDescent="0.25">
      <c r="A51" s="897"/>
      <c r="B51" s="426"/>
      <c r="C51" s="426"/>
      <c r="D51" s="426"/>
      <c r="E51" s="426"/>
    </row>
    <row r="52" spans="1:5" x14ac:dyDescent="0.25">
      <c r="A52" s="897"/>
      <c r="B52" s="426"/>
      <c r="C52" s="426"/>
      <c r="D52" s="426"/>
      <c r="E52" s="426"/>
    </row>
    <row r="53" spans="1:5" x14ac:dyDescent="0.25">
      <c r="A53" s="897"/>
      <c r="B53" s="426"/>
      <c r="C53" s="426"/>
      <c r="D53" s="426"/>
      <c r="E53" s="426"/>
    </row>
  </sheetData>
  <pageMargins left="0.7" right="0.7" top="0.75" bottom="0.75" header="0.3" footer="0.3"/>
  <pageSetup paperSize="9" scale="5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068E-A909-4724-BFC0-512BE9019D75}">
  <sheetPr>
    <pageSetUpPr fitToPage="1"/>
  </sheetPr>
  <dimension ref="A1:G17"/>
  <sheetViews>
    <sheetView showGridLines="0" workbookViewId="0">
      <selection sqref="A1:F1"/>
    </sheetView>
  </sheetViews>
  <sheetFormatPr defaultRowHeight="12.75" x14ac:dyDescent="0.2"/>
  <cols>
    <col min="1" max="1" width="31.42578125" style="1354" customWidth="1"/>
    <col min="2" max="3" width="14.28515625" style="1354" customWidth="1"/>
    <col min="4" max="4" width="4.7109375" style="1354" customWidth="1"/>
    <col min="5" max="6" width="13.5703125" style="1354" customWidth="1"/>
    <col min="7" max="7" width="12" style="1354" customWidth="1"/>
    <col min="8" max="16384" width="9.140625" style="1354"/>
  </cols>
  <sheetData>
    <row r="1" spans="1:7" ht="14.25" customHeight="1" x14ac:dyDescent="0.2">
      <c r="A1" s="1514" t="s">
        <v>710</v>
      </c>
      <c r="B1" s="1514"/>
      <c r="C1" s="1514"/>
      <c r="D1" s="1514"/>
      <c r="E1" s="1514"/>
      <c r="F1" s="1514"/>
    </row>
    <row r="2" spans="1:7" ht="16.5" customHeight="1" x14ac:dyDescent="0.2">
      <c r="A2" s="1515" t="s">
        <v>1057</v>
      </c>
      <c r="B2" s="1516" t="s">
        <v>1058</v>
      </c>
      <c r="C2" s="1516"/>
      <c r="E2" s="1516" t="s">
        <v>1059</v>
      </c>
      <c r="F2" s="1516"/>
    </row>
    <row r="3" spans="1:7" ht="16.5" customHeight="1" x14ac:dyDescent="0.2">
      <c r="A3" s="1515"/>
      <c r="B3" s="1517" t="s">
        <v>1060</v>
      </c>
      <c r="C3" s="1517"/>
      <c r="E3" s="1516"/>
      <c r="F3" s="1516"/>
    </row>
    <row r="4" spans="1:7" ht="33.75" customHeight="1" x14ac:dyDescent="0.2">
      <c r="A4" s="1515"/>
      <c r="B4" s="1355" t="s">
        <v>1049</v>
      </c>
      <c r="C4" s="1356" t="s">
        <v>1061</v>
      </c>
      <c r="D4" s="1357"/>
      <c r="E4" s="1358" t="s">
        <v>1049</v>
      </c>
      <c r="F4" s="1356" t="s">
        <v>1061</v>
      </c>
    </row>
    <row r="5" spans="1:7" ht="14.25" customHeight="1" x14ac:dyDescent="0.2">
      <c r="A5" s="1359" t="s">
        <v>1062</v>
      </c>
      <c r="B5" s="1360">
        <v>-0.47222108769617888</v>
      </c>
      <c r="C5" s="1360">
        <v>-0.4572758439456987</v>
      </c>
      <c r="D5" s="1361"/>
      <c r="E5" s="1362">
        <v>1.2026309830267239</v>
      </c>
      <c r="F5" s="1362">
        <v>1.36475182808469</v>
      </c>
      <c r="G5" s="1363"/>
    </row>
    <row r="6" spans="1:7" ht="14.25" customHeight="1" x14ac:dyDescent="0.2">
      <c r="A6" s="1359" t="s">
        <v>1063</v>
      </c>
      <c r="B6" s="1360">
        <v>0.36937952711019428</v>
      </c>
      <c r="C6" s="1360">
        <v>0.60161335448380049</v>
      </c>
      <c r="D6" s="1361"/>
      <c r="E6" s="1362">
        <v>1.1850676927757344</v>
      </c>
      <c r="F6" s="1362">
        <v>1.748293064965571</v>
      </c>
      <c r="G6" s="1363"/>
    </row>
    <row r="7" spans="1:7" ht="14.25" customHeight="1" x14ac:dyDescent="0.2">
      <c r="A7" s="1359" t="s">
        <v>1064</v>
      </c>
      <c r="B7" s="1360">
        <v>-2.7214809085157992</v>
      </c>
      <c r="C7" s="1360">
        <v>-1.1399749086965298</v>
      </c>
      <c r="D7" s="1361"/>
      <c r="E7" s="1362">
        <v>4.2259977598630591</v>
      </c>
      <c r="F7" s="1362">
        <v>3.0086095649377871</v>
      </c>
      <c r="G7" s="1363"/>
    </row>
    <row r="8" spans="1:7" ht="14.25" customHeight="1" x14ac:dyDescent="0.2">
      <c r="A8" s="1359" t="s">
        <v>1065</v>
      </c>
      <c r="B8" s="1360">
        <v>-0.62709544581420817</v>
      </c>
      <c r="C8" s="1360">
        <v>-0.77725633457016219</v>
      </c>
      <c r="D8" s="1361"/>
      <c r="E8" s="1362">
        <v>9.481383867560222</v>
      </c>
      <c r="F8" s="1362">
        <v>9.6413352695841716</v>
      </c>
      <c r="G8" s="1363"/>
    </row>
    <row r="9" spans="1:7" ht="14.25" customHeight="1" x14ac:dyDescent="0.2">
      <c r="A9" s="1359" t="s">
        <v>1066</v>
      </c>
      <c r="B9" s="1360">
        <v>-3.2446713522018973</v>
      </c>
      <c r="C9" s="1360">
        <v>-3.0313789142155949</v>
      </c>
      <c r="D9" s="1361"/>
      <c r="E9" s="1362">
        <v>5.024429544449319</v>
      </c>
      <c r="F9" s="1362">
        <v>4.8258173637944299</v>
      </c>
      <c r="G9" s="1363"/>
    </row>
    <row r="10" spans="1:7" ht="14.25" customHeight="1" x14ac:dyDescent="0.2">
      <c r="A10" s="1359" t="s">
        <v>1067</v>
      </c>
      <c r="B10" s="1360">
        <v>-2.8118319498040858</v>
      </c>
      <c r="C10" s="1360">
        <v>-2.4297725974366213</v>
      </c>
      <c r="D10" s="1361"/>
      <c r="E10" s="1362">
        <v>4.8122694525216589</v>
      </c>
      <c r="F10" s="1362">
        <v>4.7520110753476592</v>
      </c>
      <c r="G10" s="1363"/>
    </row>
    <row r="11" spans="1:7" ht="14.25" customHeight="1" x14ac:dyDescent="0.2">
      <c r="A11" s="1359" t="s">
        <v>1068</v>
      </c>
      <c r="B11" s="1360">
        <v>-0.48724575213668897</v>
      </c>
      <c r="C11" s="1360">
        <v>-0.68221949349593736</v>
      </c>
      <c r="D11" s="1361"/>
      <c r="E11" s="1362">
        <v>1.0335087660176081</v>
      </c>
      <c r="F11" s="1362">
        <v>0.9253697916225504</v>
      </c>
      <c r="G11" s="1363"/>
    </row>
    <row r="12" spans="1:7" ht="14.25" customHeight="1" x14ac:dyDescent="0.2">
      <c r="A12" s="1359" t="s">
        <v>1069</v>
      </c>
      <c r="B12" s="1360">
        <v>0.16643846736957252</v>
      </c>
      <c r="C12" s="1360">
        <v>0.38331231077962002</v>
      </c>
      <c r="D12" s="1361"/>
      <c r="E12" s="1362">
        <v>1.1430182780851945</v>
      </c>
      <c r="F12" s="1362">
        <v>1.3315931304813242</v>
      </c>
      <c r="G12" s="1363"/>
    </row>
    <row r="13" spans="1:7" ht="14.25" customHeight="1" x14ac:dyDescent="0.2">
      <c r="A13" s="1359" t="s">
        <v>1070</v>
      </c>
      <c r="B13" s="1360">
        <v>-0.70242183725915197</v>
      </c>
      <c r="C13" s="1360">
        <v>-0.48096327485259166</v>
      </c>
      <c r="D13" s="1361"/>
      <c r="E13" s="1362">
        <v>1.6429134808927</v>
      </c>
      <c r="F13" s="1362">
        <v>1.9820987172679538</v>
      </c>
      <c r="G13" s="1363"/>
    </row>
    <row r="14" spans="1:7" ht="14.25" customHeight="1" x14ac:dyDescent="0.2">
      <c r="A14" s="1359" t="s">
        <v>1071</v>
      </c>
      <c r="B14" s="1360">
        <v>0.1320753509371142</v>
      </c>
      <c r="C14" s="1360">
        <v>0.32860567818387842</v>
      </c>
      <c r="D14" s="1361"/>
      <c r="E14" s="1362">
        <v>1.2659303792076921</v>
      </c>
      <c r="F14" s="1362">
        <v>1.1792286873738633</v>
      </c>
      <c r="G14" s="1363"/>
    </row>
    <row r="15" spans="1:7" x14ac:dyDescent="0.2">
      <c r="A15" s="1364" t="s">
        <v>1072</v>
      </c>
      <c r="B15" s="1365">
        <v>0.77729418469437439</v>
      </c>
      <c r="C15" s="1365">
        <v>0.71599141980357639</v>
      </c>
      <c r="D15" s="1366"/>
      <c r="E15" s="1367">
        <v>1.6562049748241707</v>
      </c>
      <c r="F15" s="1367">
        <v>1.6225176496737721</v>
      </c>
      <c r="G15" s="1363"/>
    </row>
    <row r="16" spans="1:7" x14ac:dyDescent="0.2">
      <c r="A16" s="1513" t="s">
        <v>275</v>
      </c>
      <c r="B16" s="1513"/>
      <c r="C16" s="1513"/>
      <c r="D16" s="1513"/>
      <c r="E16" s="1513"/>
      <c r="F16" s="1513"/>
    </row>
    <row r="17" spans="1:1" x14ac:dyDescent="0.2">
      <c r="A17" s="1368"/>
    </row>
  </sheetData>
  <mergeCells count="7">
    <mergeCell ref="A16:F16"/>
    <mergeCell ref="A1:F1"/>
    <mergeCell ref="A2:A4"/>
    <mergeCell ref="B2:C2"/>
    <mergeCell ref="E2:F2"/>
    <mergeCell ref="B3:C3"/>
    <mergeCell ref="E3:F3"/>
  </mergeCells>
  <conditionalFormatting sqref="G5:G15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{4D46046F-A88F-4D40-B823-F59D478C3132}</x14:id>
        </ext>
      </extLst>
    </cfRule>
  </conditionalFormatting>
  <conditionalFormatting sqref="F5:F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{03B0AEA5-B250-4C29-B119-0AEB9AB7979B}</x14:id>
        </ext>
      </extLst>
    </cfRule>
  </conditionalFormatting>
  <conditionalFormatting sqref="E5:E1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{46325CC6-8FD5-4056-816C-69BDE3A9C45F}</x14:id>
        </ext>
      </extLst>
    </cfRule>
  </conditionalFormatting>
  <conditionalFormatting sqref="B5:D15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{D0FCAA4E-28BE-4219-85B0-735B533E5DF2}</x14:id>
        </ext>
      </extLst>
    </cfRule>
  </conditionalFormatting>
  <pageMargins left="0.25" right="0.25" top="0.75" bottom="0.75" header="0.3" footer="0.3"/>
  <pageSetup paperSize="9" fitToHeight="0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46046F-A88F-4D40-B823-F59D478C31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G5:G15</xm:sqref>
        </x14:conditionalFormatting>
        <x14:conditionalFormatting xmlns:xm="http://schemas.microsoft.com/office/excel/2006/main">
          <x14:cfRule type="dataBar" id="{03B0AEA5-B250-4C29-B119-0AEB9AB797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F5:F15</xm:sqref>
        </x14:conditionalFormatting>
        <x14:conditionalFormatting xmlns:xm="http://schemas.microsoft.com/office/excel/2006/main">
          <x14:cfRule type="dataBar" id="{46325CC6-8FD5-4056-816C-69BDE3A9C45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E5:E15</xm:sqref>
        </x14:conditionalFormatting>
        <x14:conditionalFormatting xmlns:xm="http://schemas.microsoft.com/office/excel/2006/main">
          <x14:cfRule type="dataBar" id="{D0FCAA4E-28BE-4219-85B0-735B533E5D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B5:D15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8AAE-B4AD-4C60-8A32-DE3FE6A96D16}">
  <sheetPr>
    <pageSetUpPr fitToPage="1"/>
  </sheetPr>
  <dimension ref="A1:K53"/>
  <sheetViews>
    <sheetView showGridLines="0" zoomScaleNormal="100" workbookViewId="0">
      <selection activeCell="K1" sqref="K1"/>
    </sheetView>
  </sheetViews>
  <sheetFormatPr defaultRowHeight="15" x14ac:dyDescent="0.25"/>
  <cols>
    <col min="1" max="1" width="52.7109375" customWidth="1"/>
    <col min="5" max="5" width="9.140625" customWidth="1"/>
  </cols>
  <sheetData>
    <row r="1" spans="1:11" x14ac:dyDescent="0.25">
      <c r="A1" s="30" t="s">
        <v>865</v>
      </c>
      <c r="B1" s="896"/>
      <c r="C1" s="896"/>
      <c r="D1" s="896"/>
      <c r="E1" s="896"/>
      <c r="K1" s="30" t="s">
        <v>865</v>
      </c>
    </row>
    <row r="2" spans="1:11" x14ac:dyDescent="0.25">
      <c r="A2" s="123"/>
      <c r="B2" s="409">
        <v>2012</v>
      </c>
      <c r="C2" s="409">
        <v>2013</v>
      </c>
      <c r="D2" s="409">
        <v>2014</v>
      </c>
      <c r="E2" s="409">
        <v>2015</v>
      </c>
      <c r="F2" s="409">
        <v>2016</v>
      </c>
      <c r="G2" s="409">
        <v>2017</v>
      </c>
      <c r="H2" s="409">
        <v>2018</v>
      </c>
      <c r="I2" s="409">
        <v>2019</v>
      </c>
    </row>
    <row r="3" spans="1:11" s="44" customFormat="1" x14ac:dyDescent="0.25">
      <c r="A3" s="898" t="s">
        <v>811</v>
      </c>
      <c r="B3" s="950">
        <v>-4.3402047270489028</v>
      </c>
      <c r="C3" s="950">
        <v>-2.2170711148401629</v>
      </c>
      <c r="D3" s="950">
        <v>-0.31898414685864085</v>
      </c>
      <c r="E3" s="950">
        <v>-0.88476320854395285</v>
      </c>
      <c r="F3" s="950">
        <v>-0.68754757474506356</v>
      </c>
      <c r="G3" s="950">
        <v>-0.76098737346333423</v>
      </c>
      <c r="H3" s="950">
        <v>-0.12022096360528188</v>
      </c>
      <c r="I3" s="950">
        <v>0.9447899163046457</v>
      </c>
    </row>
    <row r="4" spans="1:11" s="44" customFormat="1" x14ac:dyDescent="0.25">
      <c r="A4" s="898" t="s">
        <v>812</v>
      </c>
      <c r="B4" s="899">
        <v>-4.3448871099740707</v>
      </c>
      <c r="C4" s="899">
        <v>-2.7199874881859087</v>
      </c>
      <c r="D4" s="899">
        <v>-2.7022939288558718</v>
      </c>
      <c r="E4" s="899">
        <v>-2.5612649769643467</v>
      </c>
      <c r="F4" s="899">
        <v>-2.2218387931957828</v>
      </c>
      <c r="G4" s="899">
        <v>-0.77704891757188199</v>
      </c>
      <c r="H4" s="899">
        <v>-0.60115523541851745</v>
      </c>
      <c r="I4" s="899">
        <v>-0.10015793408855253</v>
      </c>
    </row>
    <row r="5" spans="1:11" s="44" customFormat="1" x14ac:dyDescent="0.25">
      <c r="A5" s="951" t="s">
        <v>813</v>
      </c>
      <c r="B5" s="954">
        <v>-4.5999999999999996</v>
      </c>
      <c r="C5" s="954">
        <v>-2.9</v>
      </c>
      <c r="D5" s="954">
        <v>-2.64</v>
      </c>
      <c r="E5" s="954">
        <v>-2.4900000000000002</v>
      </c>
      <c r="F5" s="954">
        <v>-1.93</v>
      </c>
      <c r="G5" s="954">
        <v>-1.29</v>
      </c>
      <c r="H5" s="954">
        <v>-0.83</v>
      </c>
      <c r="I5" s="954">
        <v>-0.32</v>
      </c>
    </row>
    <row r="6" spans="1:11" x14ac:dyDescent="0.25">
      <c r="A6" s="897"/>
      <c r="B6" s="426"/>
      <c r="C6" s="426"/>
      <c r="D6" s="426"/>
      <c r="E6" s="426"/>
      <c r="I6" s="873" t="s">
        <v>164</v>
      </c>
    </row>
    <row r="7" spans="1:11" x14ac:dyDescent="0.25">
      <c r="A7" s="897"/>
      <c r="B7" s="426"/>
      <c r="C7" s="426"/>
      <c r="D7" s="426"/>
      <c r="E7" s="426"/>
    </row>
    <row r="8" spans="1:11" x14ac:dyDescent="0.25">
      <c r="A8" s="897"/>
      <c r="B8" s="426"/>
      <c r="C8" s="426"/>
      <c r="D8" s="426"/>
      <c r="E8" s="426"/>
    </row>
    <row r="9" spans="1:11" x14ac:dyDescent="0.25">
      <c r="A9" s="897"/>
      <c r="B9" s="426"/>
      <c r="C9" s="426"/>
      <c r="D9" s="426"/>
      <c r="E9" s="900"/>
      <c r="F9" s="900"/>
      <c r="G9" s="900"/>
    </row>
    <row r="10" spans="1:11" x14ac:dyDescent="0.25">
      <c r="A10" s="897"/>
      <c r="B10" s="426"/>
      <c r="C10" s="426"/>
      <c r="D10" s="426"/>
      <c r="E10" s="426"/>
    </row>
    <row r="11" spans="1:11" x14ac:dyDescent="0.25">
      <c r="A11" s="897"/>
      <c r="B11" s="426"/>
      <c r="C11" s="426"/>
      <c r="D11" s="426"/>
      <c r="E11" s="426"/>
    </row>
    <row r="12" spans="1:11" x14ac:dyDescent="0.25">
      <c r="A12" s="897"/>
      <c r="B12" s="426"/>
      <c r="C12" s="426"/>
      <c r="D12" s="426"/>
      <c r="E12" s="426"/>
    </row>
    <row r="13" spans="1:11" x14ac:dyDescent="0.25">
      <c r="A13" s="897"/>
      <c r="B13" s="426"/>
      <c r="C13" s="426"/>
      <c r="D13" s="426"/>
      <c r="E13" s="426"/>
    </row>
    <row r="14" spans="1:11" x14ac:dyDescent="0.25">
      <c r="A14" s="897"/>
      <c r="B14" s="426"/>
      <c r="C14" s="426"/>
      <c r="D14" s="426"/>
      <c r="E14" s="426"/>
    </row>
    <row r="15" spans="1:11" x14ac:dyDescent="0.25">
      <c r="A15" s="897"/>
      <c r="B15" s="426"/>
      <c r="C15" s="426"/>
      <c r="D15" s="426"/>
      <c r="E15" s="426"/>
    </row>
    <row r="16" spans="1:11" x14ac:dyDescent="0.25">
      <c r="A16" s="897"/>
      <c r="B16" s="426"/>
      <c r="C16" s="426"/>
      <c r="D16" s="426"/>
      <c r="E16" s="426"/>
    </row>
    <row r="17" spans="1:5" x14ac:dyDescent="0.25">
      <c r="A17" s="897"/>
      <c r="B17" s="426"/>
      <c r="C17" s="426"/>
      <c r="D17" s="426"/>
      <c r="E17" s="426"/>
    </row>
    <row r="18" spans="1:5" x14ac:dyDescent="0.25">
      <c r="A18" s="897"/>
      <c r="B18" s="426"/>
      <c r="C18" s="426"/>
      <c r="D18" s="426"/>
      <c r="E18" s="426"/>
    </row>
    <row r="19" spans="1:5" x14ac:dyDescent="0.25">
      <c r="A19" s="897"/>
      <c r="B19" s="426"/>
      <c r="C19" s="426"/>
      <c r="D19" s="426"/>
      <c r="E19" s="426"/>
    </row>
    <row r="20" spans="1:5" x14ac:dyDescent="0.25">
      <c r="A20" s="897"/>
      <c r="B20" s="426"/>
      <c r="C20" s="426"/>
      <c r="D20" s="426"/>
      <c r="E20" s="426"/>
    </row>
    <row r="21" spans="1:5" x14ac:dyDescent="0.25">
      <c r="A21" s="897"/>
      <c r="B21" s="426"/>
      <c r="C21" s="426"/>
      <c r="D21" s="426"/>
      <c r="E21" s="426"/>
    </row>
    <row r="22" spans="1:5" x14ac:dyDescent="0.25">
      <c r="A22" s="897"/>
      <c r="B22" s="426"/>
      <c r="C22" s="426"/>
      <c r="D22" s="426"/>
      <c r="E22" s="426"/>
    </row>
    <row r="23" spans="1:5" x14ac:dyDescent="0.25">
      <c r="A23" s="897"/>
      <c r="B23" s="426"/>
      <c r="C23" s="426"/>
      <c r="D23" s="426"/>
      <c r="E23" s="426"/>
    </row>
    <row r="24" spans="1:5" x14ac:dyDescent="0.25">
      <c r="A24" s="897"/>
      <c r="B24" s="426"/>
      <c r="C24" s="426"/>
      <c r="D24" s="426"/>
      <c r="E24" s="426"/>
    </row>
    <row r="25" spans="1:5" x14ac:dyDescent="0.25">
      <c r="A25" s="897"/>
      <c r="B25" s="426"/>
      <c r="C25" s="426"/>
      <c r="D25" s="426"/>
      <c r="E25" s="426"/>
    </row>
    <row r="26" spans="1:5" x14ac:dyDescent="0.25">
      <c r="A26" s="897"/>
      <c r="B26" s="426"/>
      <c r="C26" s="426"/>
      <c r="D26" s="426"/>
      <c r="E26" s="426"/>
    </row>
    <row r="27" spans="1:5" x14ac:dyDescent="0.25">
      <c r="A27" s="897"/>
      <c r="B27" s="426"/>
      <c r="C27" s="426"/>
      <c r="D27" s="426"/>
      <c r="E27" s="426"/>
    </row>
    <row r="28" spans="1:5" x14ac:dyDescent="0.25">
      <c r="A28" s="897"/>
      <c r="B28" s="426"/>
      <c r="C28" s="426"/>
      <c r="D28" s="426"/>
      <c r="E28" s="426"/>
    </row>
    <row r="29" spans="1:5" x14ac:dyDescent="0.25">
      <c r="A29" s="897"/>
      <c r="B29" s="426"/>
      <c r="C29" s="426"/>
      <c r="D29" s="426"/>
      <c r="E29" s="426"/>
    </row>
    <row r="30" spans="1:5" x14ac:dyDescent="0.25">
      <c r="A30" s="897"/>
      <c r="B30" s="426"/>
      <c r="C30" s="426"/>
      <c r="D30" s="426"/>
      <c r="E30" s="426"/>
    </row>
    <row r="31" spans="1:5" x14ac:dyDescent="0.25">
      <c r="A31" s="897"/>
      <c r="B31" s="426"/>
      <c r="C31" s="426"/>
      <c r="D31" s="426"/>
      <c r="E31" s="426"/>
    </row>
    <row r="32" spans="1:5" x14ac:dyDescent="0.25">
      <c r="A32" s="897"/>
      <c r="B32" s="426"/>
      <c r="C32" s="426"/>
      <c r="D32" s="426"/>
      <c r="E32" s="426"/>
    </row>
    <row r="33" spans="1:5" x14ac:dyDescent="0.25">
      <c r="A33" s="897"/>
      <c r="B33" s="426"/>
      <c r="C33" s="426"/>
      <c r="D33" s="426"/>
      <c r="E33" s="426"/>
    </row>
    <row r="34" spans="1:5" x14ac:dyDescent="0.25">
      <c r="A34" s="897"/>
      <c r="B34" s="426"/>
      <c r="C34" s="426"/>
      <c r="D34" s="426"/>
      <c r="E34" s="426"/>
    </row>
    <row r="35" spans="1:5" x14ac:dyDescent="0.25">
      <c r="A35" s="897"/>
      <c r="B35" s="426"/>
      <c r="C35" s="426"/>
      <c r="D35" s="426"/>
      <c r="E35" s="426"/>
    </row>
    <row r="36" spans="1:5" x14ac:dyDescent="0.25">
      <c r="A36" s="897"/>
      <c r="B36" s="426"/>
      <c r="C36" s="426"/>
      <c r="D36" s="426"/>
      <c r="E36" s="426"/>
    </row>
    <row r="37" spans="1:5" x14ac:dyDescent="0.25">
      <c r="A37" s="897"/>
      <c r="B37" s="426"/>
      <c r="C37" s="426"/>
      <c r="D37" s="426"/>
      <c r="E37" s="426"/>
    </row>
    <row r="38" spans="1:5" x14ac:dyDescent="0.25">
      <c r="A38" s="897"/>
      <c r="B38" s="426"/>
      <c r="C38" s="426"/>
      <c r="D38" s="426"/>
      <c r="E38" s="426"/>
    </row>
    <row r="39" spans="1:5" x14ac:dyDescent="0.25">
      <c r="A39" s="897"/>
      <c r="B39" s="426"/>
      <c r="C39" s="426"/>
      <c r="D39" s="426"/>
      <c r="E39" s="426"/>
    </row>
    <row r="40" spans="1:5" x14ac:dyDescent="0.25">
      <c r="A40" s="897"/>
      <c r="B40" s="426"/>
      <c r="C40" s="426"/>
      <c r="D40" s="426"/>
      <c r="E40" s="426"/>
    </row>
    <row r="41" spans="1:5" x14ac:dyDescent="0.25">
      <c r="A41" s="897"/>
      <c r="B41" s="426"/>
      <c r="C41" s="426"/>
      <c r="D41" s="426"/>
      <c r="E41" s="426"/>
    </row>
    <row r="42" spans="1:5" x14ac:dyDescent="0.25">
      <c r="A42" s="897"/>
      <c r="B42" s="426"/>
      <c r="C42" s="426"/>
      <c r="D42" s="426"/>
      <c r="E42" s="426"/>
    </row>
    <row r="43" spans="1:5" x14ac:dyDescent="0.25">
      <c r="A43" s="897"/>
      <c r="B43" s="426"/>
      <c r="C43" s="426"/>
      <c r="D43" s="426"/>
      <c r="E43" s="426"/>
    </row>
    <row r="44" spans="1:5" x14ac:dyDescent="0.25">
      <c r="A44" s="897"/>
      <c r="B44" s="426"/>
      <c r="C44" s="426"/>
      <c r="D44" s="426"/>
      <c r="E44" s="426"/>
    </row>
    <row r="45" spans="1:5" x14ac:dyDescent="0.25">
      <c r="A45" s="897"/>
      <c r="B45" s="426"/>
      <c r="C45" s="426"/>
      <c r="D45" s="426"/>
      <c r="E45" s="426"/>
    </row>
    <row r="46" spans="1:5" x14ac:dyDescent="0.25">
      <c r="A46" s="897"/>
      <c r="B46" s="426"/>
      <c r="C46" s="426"/>
      <c r="D46" s="426"/>
      <c r="E46" s="426"/>
    </row>
    <row r="47" spans="1:5" x14ac:dyDescent="0.25">
      <c r="A47" s="897"/>
      <c r="B47" s="426"/>
      <c r="C47" s="426"/>
      <c r="D47" s="426"/>
      <c r="E47" s="426"/>
    </row>
    <row r="48" spans="1:5" x14ac:dyDescent="0.25">
      <c r="A48" s="897"/>
      <c r="B48" s="426"/>
      <c r="C48" s="426"/>
      <c r="D48" s="426"/>
      <c r="E48" s="426"/>
    </row>
    <row r="49" spans="1:5" x14ac:dyDescent="0.25">
      <c r="A49" s="897"/>
      <c r="B49" s="426"/>
      <c r="C49" s="426"/>
      <c r="D49" s="426"/>
      <c r="E49" s="426"/>
    </row>
    <row r="50" spans="1:5" x14ac:dyDescent="0.25">
      <c r="A50" s="897"/>
      <c r="B50" s="426"/>
      <c r="C50" s="426"/>
      <c r="D50" s="426"/>
      <c r="E50" s="426"/>
    </row>
    <row r="51" spans="1:5" x14ac:dyDescent="0.25">
      <c r="A51" s="897"/>
      <c r="B51" s="426"/>
      <c r="C51" s="426"/>
      <c r="D51" s="426"/>
      <c r="E51" s="426"/>
    </row>
    <row r="52" spans="1:5" x14ac:dyDescent="0.25">
      <c r="A52" s="897"/>
      <c r="B52" s="426"/>
      <c r="C52" s="426"/>
      <c r="D52" s="426"/>
      <c r="E52" s="426"/>
    </row>
    <row r="53" spans="1:5" x14ac:dyDescent="0.25">
      <c r="A53" s="897"/>
      <c r="B53" s="426"/>
      <c r="C53" s="426"/>
      <c r="D53" s="426"/>
      <c r="E53" s="426"/>
    </row>
  </sheetData>
  <pageMargins left="0.7" right="0.7" top="0.75" bottom="0.75" header="0.3" footer="0.3"/>
  <pageSetup paperSize="9" scale="4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3E30-C65B-4D6B-B179-406C5A4BAE8A}">
  <sheetPr codeName="Sheet35"/>
  <dimension ref="A1:AD34"/>
  <sheetViews>
    <sheetView showGridLines="0" topLeftCell="O1" workbookViewId="0">
      <selection activeCell="AD1" sqref="AD1"/>
    </sheetView>
  </sheetViews>
  <sheetFormatPr defaultRowHeight="15" x14ac:dyDescent="0.25"/>
  <cols>
    <col min="1" max="1" width="16" customWidth="1"/>
    <col min="2" max="12" width="0" hidden="1" customWidth="1"/>
  </cols>
  <sheetData>
    <row r="1" spans="1:30" x14ac:dyDescent="0.25">
      <c r="A1" s="30" t="s">
        <v>204</v>
      </c>
      <c r="AD1" s="30" t="s">
        <v>208</v>
      </c>
    </row>
    <row r="2" spans="1:30" x14ac:dyDescent="0.25">
      <c r="A2" s="263"/>
      <c r="B2" s="263">
        <v>1995</v>
      </c>
      <c r="C2" s="263">
        <f>B2+1</f>
        <v>1996</v>
      </c>
      <c r="D2" s="263">
        <f t="shared" ref="D2:Z2" si="0">C2+1</f>
        <v>1997</v>
      </c>
      <c r="E2" s="263">
        <f t="shared" si="0"/>
        <v>1998</v>
      </c>
      <c r="F2" s="263">
        <f t="shared" si="0"/>
        <v>1999</v>
      </c>
      <c r="G2" s="263">
        <f t="shared" si="0"/>
        <v>2000</v>
      </c>
      <c r="H2" s="263">
        <f t="shared" si="0"/>
        <v>2001</v>
      </c>
      <c r="I2" s="263">
        <f t="shared" si="0"/>
        <v>2002</v>
      </c>
      <c r="J2" s="263">
        <f t="shared" si="0"/>
        <v>2003</v>
      </c>
      <c r="K2" s="263">
        <f t="shared" si="0"/>
        <v>2004</v>
      </c>
      <c r="L2" s="263">
        <f t="shared" si="0"/>
        <v>2005</v>
      </c>
      <c r="M2" s="263">
        <f t="shared" si="0"/>
        <v>2006</v>
      </c>
      <c r="N2" s="263">
        <f t="shared" si="0"/>
        <v>2007</v>
      </c>
      <c r="O2" s="263">
        <f t="shared" si="0"/>
        <v>2008</v>
      </c>
      <c r="P2" s="263">
        <f t="shared" si="0"/>
        <v>2009</v>
      </c>
      <c r="Q2" s="263">
        <f t="shared" si="0"/>
        <v>2010</v>
      </c>
      <c r="R2" s="263">
        <f t="shared" si="0"/>
        <v>2011</v>
      </c>
      <c r="S2" s="263">
        <f>R2+1</f>
        <v>2012</v>
      </c>
      <c r="T2" s="263">
        <f t="shared" si="0"/>
        <v>2013</v>
      </c>
      <c r="U2" s="263">
        <f t="shared" si="0"/>
        <v>2014</v>
      </c>
      <c r="V2" s="263">
        <f t="shared" si="0"/>
        <v>2015</v>
      </c>
      <c r="W2" s="263">
        <f t="shared" si="0"/>
        <v>2016</v>
      </c>
      <c r="X2" s="264">
        <v>2017</v>
      </c>
      <c r="Y2" s="264">
        <v>2018</v>
      </c>
      <c r="Z2" s="263">
        <f t="shared" si="0"/>
        <v>2019</v>
      </c>
      <c r="AA2" s="263">
        <f>Z2+1</f>
        <v>2020</v>
      </c>
      <c r="AB2" s="264">
        <v>2021</v>
      </c>
    </row>
    <row r="3" spans="1:30" x14ac:dyDescent="0.25">
      <c r="A3" s="125" t="s">
        <v>205</v>
      </c>
      <c r="B3" s="212">
        <v>21.7</v>
      </c>
      <c r="C3" s="212">
        <v>30.5</v>
      </c>
      <c r="D3" s="212">
        <v>33</v>
      </c>
      <c r="E3" s="212">
        <v>33.9</v>
      </c>
      <c r="F3" s="212">
        <v>47.1</v>
      </c>
      <c r="G3" s="212">
        <v>49.6</v>
      </c>
      <c r="H3" s="212">
        <v>48.3</v>
      </c>
      <c r="I3" s="212">
        <v>42.9</v>
      </c>
      <c r="J3" s="212">
        <v>41.6</v>
      </c>
      <c r="K3" s="212">
        <v>40.6</v>
      </c>
      <c r="L3" s="212">
        <v>34.1</v>
      </c>
      <c r="M3" s="212">
        <v>31</v>
      </c>
      <c r="N3" s="212">
        <v>30.1</v>
      </c>
      <c r="O3" s="212">
        <v>28.5</v>
      </c>
      <c r="P3" s="212">
        <v>36.299999999999997</v>
      </c>
      <c r="Q3" s="212">
        <v>41.2</v>
      </c>
      <c r="R3" s="212">
        <v>43.7</v>
      </c>
      <c r="S3" s="212">
        <v>52.2</v>
      </c>
      <c r="T3" s="212">
        <v>54.7</v>
      </c>
      <c r="U3" s="212">
        <v>53.5</v>
      </c>
      <c r="V3" s="212">
        <v>52.3</v>
      </c>
      <c r="W3" s="212">
        <v>51.8</v>
      </c>
      <c r="X3" s="212">
        <v>50.867685278630645</v>
      </c>
      <c r="Y3" s="212"/>
      <c r="Z3" s="212"/>
      <c r="AA3" s="212"/>
      <c r="AB3" s="212"/>
    </row>
    <row r="4" spans="1:30" x14ac:dyDescent="0.25">
      <c r="A4" s="125" t="s">
        <v>206</v>
      </c>
      <c r="B4" s="212">
        <v>21.7</v>
      </c>
      <c r="C4" s="212">
        <v>30.5</v>
      </c>
      <c r="D4" s="212">
        <v>33</v>
      </c>
      <c r="E4" s="212">
        <v>33.9</v>
      </c>
      <c r="F4" s="212">
        <v>47.1</v>
      </c>
      <c r="G4" s="212">
        <v>49.6</v>
      </c>
      <c r="H4" s="212">
        <v>48.3</v>
      </c>
      <c r="I4" s="212">
        <v>42.9</v>
      </c>
      <c r="J4" s="212">
        <v>41.6</v>
      </c>
      <c r="K4" s="212">
        <v>40.6</v>
      </c>
      <c r="L4" s="212">
        <v>34.1</v>
      </c>
      <c r="M4" s="212">
        <v>31</v>
      </c>
      <c r="N4" s="212">
        <v>30.1</v>
      </c>
      <c r="O4" s="212">
        <v>28.5</v>
      </c>
      <c r="P4" s="212">
        <v>36.299999999999997</v>
      </c>
      <c r="Q4" s="212">
        <v>41.2</v>
      </c>
      <c r="R4" s="212">
        <v>43.7</v>
      </c>
      <c r="S4" s="212">
        <v>52.2</v>
      </c>
      <c r="T4" s="212">
        <v>54.7</v>
      </c>
      <c r="U4" s="212">
        <v>53.5</v>
      </c>
      <c r="V4" s="212">
        <v>52.3</v>
      </c>
      <c r="W4" s="212">
        <v>51.818786034437302</v>
      </c>
      <c r="X4" s="212">
        <v>50.867685278630645</v>
      </c>
      <c r="Y4" s="212">
        <v>48.60298802392164</v>
      </c>
      <c r="Z4" s="212">
        <v>47.186328285226345</v>
      </c>
      <c r="AA4" s="212">
        <v>45.916883937711169</v>
      </c>
      <c r="AB4" s="212">
        <v>44.744868002525152</v>
      </c>
    </row>
    <row r="5" spans="1:30" x14ac:dyDescent="0.25">
      <c r="A5" s="265" t="s">
        <v>207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21">
        <v>52.3</v>
      </c>
      <c r="W5" s="221">
        <v>51.8</v>
      </c>
      <c r="X5" s="221">
        <v>50.867685278630645</v>
      </c>
      <c r="Y5" s="221">
        <v>48.727553655949222</v>
      </c>
      <c r="Z5" s="221">
        <v>48.076143849505115</v>
      </c>
      <c r="AA5" s="221">
        <v>47.238240620841033</v>
      </c>
      <c r="AB5" s="221">
        <v>46.325902796998726</v>
      </c>
    </row>
    <row r="6" spans="1:30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590" t="s">
        <v>89</v>
      </c>
      <c r="AB6" s="1590"/>
    </row>
    <row r="7" spans="1:30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</row>
    <row r="8" spans="1:30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</row>
    <row r="9" spans="1:30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38"/>
      <c r="X9" s="138"/>
      <c r="Y9" s="125"/>
      <c r="Z9" s="125"/>
      <c r="AA9" s="125"/>
      <c r="AB9" s="125"/>
    </row>
    <row r="10" spans="1:30" x14ac:dyDescent="0.2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</row>
    <row r="11" spans="1:30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</row>
    <row r="12" spans="1:30" x14ac:dyDescent="0.2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</row>
    <row r="13" spans="1:30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</row>
    <row r="14" spans="1:30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</row>
    <row r="15" spans="1:30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</row>
    <row r="16" spans="1:30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</row>
    <row r="17" spans="1:28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</row>
    <row r="18" spans="1:28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</row>
    <row r="19" spans="1:28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</row>
    <row r="20" spans="1:28" x14ac:dyDescent="0.25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</row>
    <row r="21" spans="1:28" x14ac:dyDescent="0.25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</row>
    <row r="22" spans="1:28" x14ac:dyDescent="0.2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</row>
    <row r="23" spans="1:28" x14ac:dyDescent="0.25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</row>
    <row r="24" spans="1:28" x14ac:dyDescent="0.2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</row>
    <row r="25" spans="1:28" x14ac:dyDescent="0.2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</row>
    <row r="26" spans="1:28" x14ac:dyDescent="0.2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</row>
    <row r="27" spans="1:28" x14ac:dyDescent="0.2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</row>
    <row r="28" spans="1:28" x14ac:dyDescent="0.2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</row>
    <row r="29" spans="1:28" x14ac:dyDescent="0.2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</row>
    <row r="30" spans="1:28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</row>
    <row r="31" spans="1:28" x14ac:dyDescent="0.2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</row>
    <row r="32" spans="1:28" x14ac:dyDescent="0.2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</row>
    <row r="33" spans="1:28" x14ac:dyDescent="0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</row>
    <row r="34" spans="1:28" x14ac:dyDescent="0.2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</row>
  </sheetData>
  <mergeCells count="1">
    <mergeCell ref="AA6:AB6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F0BD-46BD-4ECC-9FC9-6B721292E0AC}">
  <sheetPr codeName="Sheet36">
    <pageSetUpPr fitToPage="1"/>
  </sheetPr>
  <dimension ref="A1:P363"/>
  <sheetViews>
    <sheetView showGridLines="0" zoomScaleNormal="100" workbookViewId="0">
      <selection activeCell="N1" sqref="N1"/>
    </sheetView>
  </sheetViews>
  <sheetFormatPr defaultColWidth="9" defaultRowHeight="15" x14ac:dyDescent="0.25"/>
  <cols>
    <col min="1" max="1" width="36" style="225" customWidth="1"/>
    <col min="2" max="7" width="9" style="225"/>
    <col min="8" max="12" width="9" style="225" customWidth="1"/>
    <col min="13" max="16384" width="9" style="225"/>
  </cols>
  <sheetData>
    <row r="1" spans="1:16" x14ac:dyDescent="0.25">
      <c r="A1" s="1598"/>
      <c r="B1" s="1598"/>
      <c r="C1" s="1598"/>
      <c r="D1" s="1598"/>
      <c r="E1" s="1598"/>
      <c r="F1" s="1598"/>
      <c r="G1" s="1598"/>
      <c r="H1" s="1598"/>
      <c r="I1" s="1598"/>
      <c r="J1" s="1598"/>
      <c r="K1" s="224"/>
      <c r="L1" s="224"/>
      <c r="N1" s="30" t="s">
        <v>209</v>
      </c>
    </row>
    <row r="2" spans="1:16" x14ac:dyDescent="0.25">
      <c r="A2" s="226"/>
      <c r="B2" s="250">
        <v>2011</v>
      </c>
      <c r="C2" s="250">
        <v>2012</v>
      </c>
      <c r="D2" s="250">
        <v>2013</v>
      </c>
      <c r="E2" s="250">
        <v>2014</v>
      </c>
      <c r="F2" s="250">
        <v>2015</v>
      </c>
      <c r="G2" s="250">
        <v>2016</v>
      </c>
      <c r="H2" s="250">
        <v>2017</v>
      </c>
      <c r="I2" s="250">
        <v>2018</v>
      </c>
      <c r="J2" s="250">
        <v>2019</v>
      </c>
      <c r="K2" s="250">
        <v>2020</v>
      </c>
      <c r="L2" s="250">
        <v>2021</v>
      </c>
      <c r="M2" s="228"/>
    </row>
    <row r="3" spans="1:16" x14ac:dyDescent="0.25">
      <c r="A3" s="231" t="s">
        <v>170</v>
      </c>
      <c r="B3" s="251">
        <v>2.4749965767785298</v>
      </c>
      <c r="C3" s="251">
        <v>8.4892338693052025</v>
      </c>
      <c r="D3" s="251">
        <v>2.5743002320916304</v>
      </c>
      <c r="E3" s="251">
        <v>-1.2154841109417518</v>
      </c>
      <c r="F3" s="251">
        <v>-1.3428728901587874</v>
      </c>
      <c r="G3" s="251">
        <v>-0.40777634746286395</v>
      </c>
      <c r="H3" s="251">
        <v>-0.8251098395294818</v>
      </c>
      <c r="I3" s="252">
        <v>-2.2204032897048691</v>
      </c>
      <c r="J3" s="252">
        <v>-0.65140980644411428</v>
      </c>
      <c r="K3" s="252">
        <v>-0.83790322866407507</v>
      </c>
      <c r="L3" s="252">
        <v>-0.91233782384230011</v>
      </c>
      <c r="M3" s="249"/>
    </row>
    <row r="4" spans="1:16" x14ac:dyDescent="0.25">
      <c r="A4" s="230" t="s">
        <v>199</v>
      </c>
      <c r="B4" s="253">
        <v>-1.4204088846404441</v>
      </c>
      <c r="C4" s="253">
        <v>4.1561636217195437</v>
      </c>
      <c r="D4" s="253">
        <v>0.1473418393303989</v>
      </c>
      <c r="E4" s="253">
        <v>-2.9291541849385903</v>
      </c>
      <c r="F4" s="253">
        <v>0.69800768905896948</v>
      </c>
      <c r="G4" s="253">
        <v>0.6829418668424232</v>
      </c>
      <c r="H4" s="253">
        <v>0.47111537656652303</v>
      </c>
      <c r="I4" s="254">
        <v>-0.1079091449284082</v>
      </c>
      <c r="J4" s="254">
        <v>0.24978228069659547</v>
      </c>
      <c r="K4" s="254">
        <v>0.37759312493968711</v>
      </c>
      <c r="L4" s="254">
        <v>0.32811192269961875</v>
      </c>
      <c r="M4" s="249"/>
    </row>
    <row r="5" spans="1:16" x14ac:dyDescent="0.25">
      <c r="A5" s="231" t="s">
        <v>171</v>
      </c>
      <c r="B5" s="251">
        <f>B3-B4</f>
        <v>3.8954054614189739</v>
      </c>
      <c r="C5" s="251">
        <f t="shared" ref="C5:L5" si="0">C3-C4</f>
        <v>4.3330702475856588</v>
      </c>
      <c r="D5" s="251">
        <f t="shared" si="0"/>
        <v>2.4269583927612315</v>
      </c>
      <c r="E5" s="251">
        <f t="shared" si="0"/>
        <v>1.7136700739968385</v>
      </c>
      <c r="F5" s="251">
        <f t="shared" si="0"/>
        <v>-2.0408805792177569</v>
      </c>
      <c r="G5" s="251">
        <f t="shared" si="0"/>
        <v>-1.0907182143052871</v>
      </c>
      <c r="H5" s="251">
        <f t="shared" si="0"/>
        <v>-1.2962252160960048</v>
      </c>
      <c r="I5" s="251">
        <f t="shared" si="0"/>
        <v>-2.1124941447764609</v>
      </c>
      <c r="J5" s="252">
        <f t="shared" si="0"/>
        <v>-0.90119208714070975</v>
      </c>
      <c r="K5" s="252">
        <f t="shared" si="0"/>
        <v>-1.2154963536037622</v>
      </c>
      <c r="L5" s="252">
        <f t="shared" si="0"/>
        <v>-1.2404497465419189</v>
      </c>
      <c r="M5" s="249"/>
    </row>
    <row r="6" spans="1:16" x14ac:dyDescent="0.25">
      <c r="A6" s="230" t="s">
        <v>200</v>
      </c>
      <c r="B6" s="253">
        <v>0.14507498527479515</v>
      </c>
      <c r="C6" s="253">
        <v>-0.78738060753608841</v>
      </c>
      <c r="D6" s="253">
        <v>-0.86871214581413758</v>
      </c>
      <c r="E6" s="253">
        <v>-0.28748512923228148</v>
      </c>
      <c r="F6" s="253">
        <v>-2.1508810776464466</v>
      </c>
      <c r="G6" s="253">
        <v>-1.434532226722691</v>
      </c>
      <c r="H6" s="253">
        <v>-0.206702580644401</v>
      </c>
      <c r="I6" s="254">
        <v>-5.3471729135222801E-2</v>
      </c>
      <c r="J6" s="254">
        <v>-7.0293502230109675E-2</v>
      </c>
      <c r="K6" s="254">
        <v>-6.6003034807252906E-2</v>
      </c>
      <c r="L6" s="254">
        <v>-6.2328027436142248E-2</v>
      </c>
      <c r="M6" s="249"/>
    </row>
    <row r="7" spans="1:16" x14ac:dyDescent="0.25">
      <c r="A7" s="255" t="s">
        <v>201</v>
      </c>
      <c r="B7" s="256">
        <f>B5-B6</f>
        <v>3.7503304761441787</v>
      </c>
      <c r="C7" s="256">
        <f t="shared" ref="C7:L7" si="1">C5-C6</f>
        <v>5.1204508551217476</v>
      </c>
      <c r="D7" s="256">
        <f t="shared" si="1"/>
        <v>3.2956705385753691</v>
      </c>
      <c r="E7" s="256">
        <f t="shared" si="1"/>
        <v>2.00115520322912</v>
      </c>
      <c r="F7" s="256">
        <f t="shared" si="1"/>
        <v>0.11000049842868975</v>
      </c>
      <c r="G7" s="256">
        <f t="shared" si="1"/>
        <v>0.34381401241740384</v>
      </c>
      <c r="H7" s="256">
        <f t="shared" si="1"/>
        <v>-1.0895226354516039</v>
      </c>
      <c r="I7" s="257">
        <f t="shared" si="1"/>
        <v>-2.059022415641238</v>
      </c>
      <c r="J7" s="257">
        <f t="shared" si="1"/>
        <v>-0.83089858491060009</v>
      </c>
      <c r="K7" s="257">
        <f t="shared" si="1"/>
        <v>-1.1494933187965093</v>
      </c>
      <c r="L7" s="257">
        <f t="shared" si="1"/>
        <v>-1.1781217191057767</v>
      </c>
      <c r="M7" s="249"/>
      <c r="N7" s="258"/>
      <c r="O7" s="258"/>
      <c r="P7" s="258"/>
    </row>
    <row r="8" spans="1:16" x14ac:dyDescent="0.25">
      <c r="A8" s="259" t="s">
        <v>202</v>
      </c>
      <c r="B8" s="253">
        <v>0.24440017443704409</v>
      </c>
      <c r="C8" s="253">
        <v>1.8175121781513679</v>
      </c>
      <c r="D8" s="253">
        <v>0.5403741949227383</v>
      </c>
      <c r="E8" s="253">
        <v>0.13432381217188574</v>
      </c>
      <c r="F8" s="253">
        <v>-0.14657902252009777</v>
      </c>
      <c r="G8" s="253">
        <v>0</v>
      </c>
      <c r="H8" s="253">
        <v>0</v>
      </c>
      <c r="I8" s="254">
        <v>0</v>
      </c>
      <c r="J8" s="254">
        <v>0</v>
      </c>
      <c r="K8" s="254">
        <v>0</v>
      </c>
      <c r="L8" s="254">
        <v>0</v>
      </c>
      <c r="M8" s="228"/>
    </row>
    <row r="9" spans="1:16" x14ac:dyDescent="0.25">
      <c r="A9" s="260" t="s">
        <v>203</v>
      </c>
      <c r="B9" s="261">
        <v>3.5059303017071346</v>
      </c>
      <c r="C9" s="261">
        <v>3.3029386769703795</v>
      </c>
      <c r="D9" s="261">
        <v>2.7552963436526308</v>
      </c>
      <c r="E9" s="261">
        <v>1.8668313910572343</v>
      </c>
      <c r="F9" s="261">
        <v>0.25657952094878755</v>
      </c>
      <c r="G9" s="261">
        <v>0.34381401241740384</v>
      </c>
      <c r="H9" s="261">
        <v>-1.0895226354516039</v>
      </c>
      <c r="I9" s="261">
        <v>-2.059022415641238</v>
      </c>
      <c r="J9" s="261">
        <v>-0.83089858491060009</v>
      </c>
      <c r="K9" s="261">
        <v>-1.1494933187965093</v>
      </c>
      <c r="L9" s="261">
        <v>-1.1781217191057767</v>
      </c>
      <c r="M9" s="228"/>
    </row>
    <row r="10" spans="1:16" x14ac:dyDescent="0.25">
      <c r="A10" s="228"/>
      <c r="B10" s="239"/>
      <c r="C10" s="239"/>
      <c r="D10" s="239"/>
      <c r="E10" s="239"/>
      <c r="F10" s="239"/>
      <c r="G10" s="1599" t="s">
        <v>198</v>
      </c>
      <c r="H10" s="1599"/>
      <c r="I10" s="1599"/>
      <c r="J10" s="1599"/>
      <c r="K10" s="1599"/>
      <c r="L10" s="1599"/>
    </row>
    <row r="11" spans="1:16" x14ac:dyDescent="0.25">
      <c r="A11" s="228"/>
      <c r="B11" s="239"/>
      <c r="C11" s="239"/>
      <c r="D11" s="239"/>
      <c r="E11" s="239"/>
      <c r="F11" s="239"/>
      <c r="G11" s="239"/>
      <c r="H11" s="239"/>
      <c r="I11" s="239"/>
      <c r="J11" s="228"/>
      <c r="K11" s="228"/>
      <c r="L11" s="228"/>
      <c r="M11" s="262"/>
    </row>
    <row r="12" spans="1:16" x14ac:dyDescent="0.25">
      <c r="A12" s="228"/>
      <c r="B12" s="239"/>
      <c r="C12" s="239"/>
      <c r="D12" s="239"/>
      <c r="E12" s="239"/>
      <c r="F12" s="239"/>
      <c r="G12" s="239"/>
      <c r="H12" s="239"/>
      <c r="I12" s="239"/>
      <c r="J12" s="228"/>
      <c r="K12" s="228"/>
      <c r="L12" s="228"/>
    </row>
    <row r="13" spans="1:16" x14ac:dyDescent="0.25">
      <c r="A13" s="228"/>
      <c r="B13" s="239"/>
      <c r="C13" s="239"/>
      <c r="D13" s="239"/>
      <c r="E13" s="239"/>
      <c r="F13" s="239"/>
      <c r="G13" s="239"/>
      <c r="H13" s="239"/>
      <c r="I13" s="239"/>
      <c r="J13" s="228"/>
      <c r="K13" s="228"/>
      <c r="L13" s="228"/>
    </row>
    <row r="14" spans="1:16" x14ac:dyDescent="0.25">
      <c r="A14" s="228"/>
      <c r="B14" s="239"/>
      <c r="C14" s="239"/>
      <c r="D14" s="239"/>
      <c r="E14" s="239"/>
      <c r="F14" s="239"/>
      <c r="G14" s="239"/>
      <c r="H14" s="239"/>
      <c r="I14" s="239"/>
      <c r="J14" s="228"/>
      <c r="K14" s="228"/>
      <c r="L14" s="228"/>
    </row>
    <row r="15" spans="1:16" x14ac:dyDescent="0.25">
      <c r="A15" s="228"/>
      <c r="B15" s="239"/>
      <c r="C15" s="239"/>
      <c r="D15" s="239"/>
      <c r="E15" s="239"/>
      <c r="F15" s="239"/>
      <c r="G15" s="239"/>
      <c r="H15" s="239"/>
      <c r="I15" s="239"/>
      <c r="J15" s="228"/>
      <c r="K15" s="228"/>
      <c r="L15" s="228"/>
    </row>
    <row r="16" spans="1:16" x14ac:dyDescent="0.25">
      <c r="A16" s="228"/>
      <c r="B16" s="239"/>
      <c r="C16" s="239"/>
      <c r="D16" s="239"/>
      <c r="E16" s="239"/>
      <c r="F16" s="239"/>
      <c r="G16" s="239"/>
      <c r="H16" s="239"/>
      <c r="I16" s="239"/>
      <c r="J16" s="228"/>
      <c r="K16" s="228"/>
      <c r="L16" s="228"/>
    </row>
    <row r="17" spans="1:12" x14ac:dyDescent="0.25">
      <c r="A17" s="228"/>
      <c r="B17" s="239"/>
      <c r="C17" s="239"/>
      <c r="D17" s="239"/>
      <c r="E17" s="239"/>
      <c r="F17" s="239"/>
      <c r="G17" s="239"/>
      <c r="H17" s="239"/>
      <c r="I17" s="239"/>
      <c r="J17" s="228"/>
      <c r="K17" s="228"/>
      <c r="L17" s="228"/>
    </row>
    <row r="18" spans="1:12" x14ac:dyDescent="0.25">
      <c r="A18" s="228"/>
      <c r="B18" s="239"/>
      <c r="C18" s="239"/>
      <c r="D18" s="239"/>
      <c r="E18" s="239"/>
      <c r="F18" s="239"/>
      <c r="G18" s="239"/>
      <c r="H18" s="239"/>
      <c r="I18" s="239"/>
      <c r="J18" s="228"/>
      <c r="K18" s="228"/>
      <c r="L18" s="228"/>
    </row>
    <row r="19" spans="1:12" x14ac:dyDescent="0.25">
      <c r="A19" s="228"/>
      <c r="B19" s="239"/>
      <c r="C19" s="239"/>
      <c r="D19" s="239"/>
      <c r="E19" s="239"/>
      <c r="F19" s="239"/>
      <c r="G19" s="239"/>
      <c r="H19" s="239"/>
      <c r="I19" s="239"/>
      <c r="J19" s="228"/>
      <c r="K19" s="228"/>
      <c r="L19" s="228"/>
    </row>
    <row r="20" spans="1:12" x14ac:dyDescent="0.25">
      <c r="A20" s="228"/>
      <c r="B20" s="239"/>
      <c r="C20" s="239"/>
      <c r="D20" s="239"/>
      <c r="E20" s="239"/>
      <c r="F20" s="239"/>
      <c r="G20" s="239"/>
      <c r="H20" s="239"/>
      <c r="I20" s="239"/>
      <c r="J20" s="228"/>
      <c r="K20" s="228"/>
      <c r="L20" s="228"/>
    </row>
    <row r="21" spans="1:12" x14ac:dyDescent="0.25">
      <c r="A21" s="228"/>
      <c r="B21" s="239"/>
      <c r="C21" s="239"/>
      <c r="D21" s="239"/>
      <c r="E21" s="239"/>
      <c r="F21" s="239"/>
      <c r="G21" s="239"/>
      <c r="H21" s="239"/>
      <c r="I21" s="239"/>
      <c r="J21" s="228"/>
      <c r="K21" s="228"/>
      <c r="L21" s="228"/>
    </row>
    <row r="22" spans="1:12" x14ac:dyDescent="0.25">
      <c r="A22" s="228"/>
      <c r="B22" s="239"/>
      <c r="C22" s="239"/>
      <c r="D22" s="239"/>
      <c r="E22" s="239"/>
      <c r="F22" s="239"/>
      <c r="G22" s="239"/>
      <c r="H22" s="239"/>
      <c r="I22" s="239"/>
      <c r="J22" s="228"/>
      <c r="K22" s="228"/>
      <c r="L22" s="228"/>
    </row>
    <row r="23" spans="1:12" x14ac:dyDescent="0.25">
      <c r="A23" s="228"/>
      <c r="B23" s="239"/>
      <c r="C23" s="239"/>
      <c r="D23" s="239"/>
      <c r="E23" s="239"/>
      <c r="F23" s="239"/>
      <c r="G23" s="239"/>
      <c r="H23" s="239"/>
      <c r="I23" s="239"/>
      <c r="J23" s="228"/>
      <c r="K23" s="228"/>
      <c r="L23" s="228"/>
    </row>
    <row r="24" spans="1:12" x14ac:dyDescent="0.25">
      <c r="A24" s="228"/>
      <c r="B24" s="239"/>
      <c r="C24" s="239"/>
      <c r="D24" s="239"/>
      <c r="E24" s="239"/>
      <c r="F24" s="239"/>
      <c r="G24" s="239"/>
      <c r="H24" s="239"/>
      <c r="I24" s="239"/>
      <c r="J24" s="228"/>
      <c r="K24" s="228"/>
      <c r="L24" s="228"/>
    </row>
    <row r="25" spans="1:12" x14ac:dyDescent="0.25">
      <c r="A25" s="228"/>
      <c r="B25" s="239"/>
      <c r="C25" s="239"/>
      <c r="D25" s="239"/>
      <c r="E25" s="239"/>
      <c r="F25" s="239"/>
      <c r="G25" s="239"/>
      <c r="H25" s="239"/>
      <c r="I25" s="239"/>
      <c r="J25" s="228"/>
      <c r="K25" s="228"/>
      <c r="L25" s="228"/>
    </row>
    <row r="26" spans="1:12" x14ac:dyDescent="0.25">
      <c r="A26" s="228"/>
      <c r="B26" s="239"/>
      <c r="C26" s="239"/>
      <c r="D26" s="239"/>
      <c r="E26" s="239"/>
      <c r="F26" s="239"/>
      <c r="G26" s="239"/>
      <c r="H26" s="239"/>
      <c r="I26" s="239"/>
      <c r="J26" s="228"/>
      <c r="K26" s="228"/>
      <c r="L26" s="228"/>
    </row>
    <row r="27" spans="1:12" x14ac:dyDescent="0.25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</row>
    <row r="28" spans="1:12" x14ac:dyDescent="0.25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</row>
    <row r="29" spans="1:12" x14ac:dyDescent="0.25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</row>
    <row r="30" spans="1:12" x14ac:dyDescent="0.25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</row>
    <row r="31" spans="1:12" x14ac:dyDescent="0.25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</row>
    <row r="32" spans="1:12" x14ac:dyDescent="0.25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</row>
    <row r="33" spans="1:12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</row>
    <row r="34" spans="1:12" x14ac:dyDescent="0.25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</row>
    <row r="35" spans="1:12" x14ac:dyDescent="0.25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</row>
    <row r="36" spans="1:12" x14ac:dyDescent="0.25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</row>
    <row r="37" spans="1:12" x14ac:dyDescent="0.25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</row>
    <row r="38" spans="1:12" x14ac:dyDescent="0.25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</row>
    <row r="39" spans="1:12" x14ac:dyDescent="0.25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</row>
    <row r="40" spans="1:12" x14ac:dyDescent="0.25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</row>
    <row r="41" spans="1:12" x14ac:dyDescent="0.25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</row>
    <row r="42" spans="1:12" x14ac:dyDescent="0.25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</row>
    <row r="43" spans="1:12" x14ac:dyDescent="0.25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</row>
    <row r="44" spans="1:12" x14ac:dyDescent="0.25">
      <c r="A44" s="228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</row>
    <row r="45" spans="1:12" x14ac:dyDescent="0.25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</row>
    <row r="46" spans="1:12" x14ac:dyDescent="0.25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</row>
    <row r="47" spans="1:12" x14ac:dyDescent="0.25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</row>
    <row r="48" spans="1:12" x14ac:dyDescent="0.25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</row>
    <row r="49" spans="1:12" x14ac:dyDescent="0.25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</row>
    <row r="50" spans="1:12" x14ac:dyDescent="0.2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1:12" x14ac:dyDescent="0.25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</row>
    <row r="52" spans="1:12" x14ac:dyDescent="0.25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</row>
    <row r="53" spans="1:12" x14ac:dyDescent="0.25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</row>
    <row r="54" spans="1:12" x14ac:dyDescent="0.25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</row>
    <row r="55" spans="1:12" x14ac:dyDescent="0.25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</row>
    <row r="56" spans="1:12" x14ac:dyDescent="0.25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</row>
    <row r="57" spans="1:12" x14ac:dyDescent="0.25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</row>
    <row r="58" spans="1:12" x14ac:dyDescent="0.25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</row>
    <row r="59" spans="1:12" x14ac:dyDescent="0.25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</row>
    <row r="60" spans="1:12" x14ac:dyDescent="0.25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</row>
    <row r="61" spans="1:12" x14ac:dyDescent="0.25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</row>
    <row r="62" spans="1:12" x14ac:dyDescent="0.25">
      <c r="A62" s="228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</row>
    <row r="63" spans="1:12" x14ac:dyDescent="0.25">
      <c r="A63" s="228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</row>
    <row r="64" spans="1:12" x14ac:dyDescent="0.25">
      <c r="A64" s="228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</row>
    <row r="65" spans="1:12" x14ac:dyDescent="0.25">
      <c r="A65" s="228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</row>
    <row r="66" spans="1:12" x14ac:dyDescent="0.25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</row>
    <row r="67" spans="1:12" x14ac:dyDescent="0.25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</row>
    <row r="68" spans="1:12" x14ac:dyDescent="0.25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</row>
    <row r="69" spans="1:12" x14ac:dyDescent="0.25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</row>
    <row r="70" spans="1:12" x14ac:dyDescent="0.25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</row>
    <row r="71" spans="1:12" x14ac:dyDescent="0.25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</row>
    <row r="72" spans="1:12" x14ac:dyDescent="0.25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</row>
    <row r="73" spans="1:12" x14ac:dyDescent="0.25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</row>
    <row r="74" spans="1:12" x14ac:dyDescent="0.25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</row>
    <row r="75" spans="1:12" x14ac:dyDescent="0.25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</row>
    <row r="76" spans="1:12" x14ac:dyDescent="0.25">
      <c r="A76" s="228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</row>
    <row r="77" spans="1:12" x14ac:dyDescent="0.25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</row>
    <row r="78" spans="1:12" x14ac:dyDescent="0.25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</row>
    <row r="79" spans="1:12" x14ac:dyDescent="0.25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</row>
    <row r="80" spans="1:12" x14ac:dyDescent="0.25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</row>
    <row r="81" spans="1:12" x14ac:dyDescent="0.25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</row>
    <row r="82" spans="1:12" x14ac:dyDescent="0.25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</row>
    <row r="83" spans="1:12" x14ac:dyDescent="0.25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</row>
    <row r="84" spans="1:12" x14ac:dyDescent="0.25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</row>
    <row r="85" spans="1:12" x14ac:dyDescent="0.25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</row>
    <row r="86" spans="1:12" x14ac:dyDescent="0.25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</row>
    <row r="87" spans="1:12" x14ac:dyDescent="0.25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</row>
    <row r="88" spans="1:12" x14ac:dyDescent="0.25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</row>
    <row r="89" spans="1:12" x14ac:dyDescent="0.25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</row>
    <row r="90" spans="1:12" x14ac:dyDescent="0.25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</row>
    <row r="91" spans="1:12" x14ac:dyDescent="0.25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</row>
    <row r="92" spans="1:12" x14ac:dyDescent="0.25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</row>
    <row r="93" spans="1:12" x14ac:dyDescent="0.25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</row>
    <row r="94" spans="1:12" x14ac:dyDescent="0.25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</row>
    <row r="95" spans="1:12" x14ac:dyDescent="0.25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</row>
    <row r="96" spans="1:12" x14ac:dyDescent="0.25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</row>
    <row r="97" spans="1:12" x14ac:dyDescent="0.25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</row>
    <row r="98" spans="1:12" x14ac:dyDescent="0.25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</row>
    <row r="99" spans="1:12" x14ac:dyDescent="0.25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</row>
    <row r="100" spans="1:12" x14ac:dyDescent="0.25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</row>
    <row r="101" spans="1:12" x14ac:dyDescent="0.25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</row>
    <row r="102" spans="1:12" x14ac:dyDescent="0.25">
      <c r="A102" s="228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</row>
    <row r="103" spans="1:12" x14ac:dyDescent="0.25">
      <c r="A103" s="228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</row>
    <row r="104" spans="1:12" x14ac:dyDescent="0.25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</row>
    <row r="105" spans="1:12" x14ac:dyDescent="0.25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</row>
    <row r="106" spans="1:12" x14ac:dyDescent="0.25">
      <c r="A106" s="228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</row>
    <row r="107" spans="1:12" x14ac:dyDescent="0.25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</row>
    <row r="108" spans="1:12" x14ac:dyDescent="0.25">
      <c r="A108" s="228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</row>
    <row r="109" spans="1:12" x14ac:dyDescent="0.25">
      <c r="A109" s="228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</row>
    <row r="110" spans="1:12" x14ac:dyDescent="0.25">
      <c r="A110" s="228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</row>
    <row r="111" spans="1:12" x14ac:dyDescent="0.25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</row>
    <row r="112" spans="1:12" x14ac:dyDescent="0.25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</row>
    <row r="113" spans="1:12" x14ac:dyDescent="0.25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</row>
    <row r="114" spans="1:12" x14ac:dyDescent="0.25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</row>
    <row r="115" spans="1:12" x14ac:dyDescent="0.25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</row>
    <row r="116" spans="1:12" x14ac:dyDescent="0.25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</row>
    <row r="117" spans="1:12" x14ac:dyDescent="0.25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</row>
    <row r="118" spans="1:12" x14ac:dyDescent="0.25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</row>
    <row r="119" spans="1:12" x14ac:dyDescent="0.25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</row>
    <row r="120" spans="1:12" x14ac:dyDescent="0.25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</row>
    <row r="121" spans="1:12" x14ac:dyDescent="0.25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</row>
    <row r="122" spans="1:12" x14ac:dyDescent="0.25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</row>
    <row r="123" spans="1:12" x14ac:dyDescent="0.25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</row>
    <row r="124" spans="1:12" x14ac:dyDescent="0.25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</row>
    <row r="125" spans="1:12" x14ac:dyDescent="0.25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</row>
    <row r="126" spans="1:12" x14ac:dyDescent="0.25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</row>
    <row r="127" spans="1:12" x14ac:dyDescent="0.25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</row>
    <row r="128" spans="1:12" x14ac:dyDescent="0.25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</row>
    <row r="129" spans="1:12" x14ac:dyDescent="0.25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</row>
    <row r="130" spans="1:12" x14ac:dyDescent="0.25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</row>
    <row r="131" spans="1:12" x14ac:dyDescent="0.25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</row>
    <row r="132" spans="1:12" x14ac:dyDescent="0.25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</row>
    <row r="133" spans="1:12" x14ac:dyDescent="0.25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</row>
    <row r="134" spans="1:12" x14ac:dyDescent="0.25">
      <c r="A134" s="228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</row>
    <row r="135" spans="1:12" x14ac:dyDescent="0.25">
      <c r="A135" s="228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</row>
    <row r="136" spans="1:12" x14ac:dyDescent="0.25">
      <c r="A136" s="228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</row>
    <row r="137" spans="1:12" x14ac:dyDescent="0.25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</row>
    <row r="138" spans="1:12" x14ac:dyDescent="0.25">
      <c r="A138" s="228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</row>
    <row r="139" spans="1:12" x14ac:dyDescent="0.25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</row>
    <row r="140" spans="1:12" x14ac:dyDescent="0.25">
      <c r="A140" s="228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</row>
    <row r="141" spans="1:12" x14ac:dyDescent="0.25">
      <c r="A141" s="22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</row>
    <row r="142" spans="1:12" x14ac:dyDescent="0.25">
      <c r="A142" s="228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</row>
    <row r="143" spans="1:12" x14ac:dyDescent="0.25">
      <c r="A143" s="228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</row>
    <row r="144" spans="1:12" x14ac:dyDescent="0.25">
      <c r="A144" s="228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</row>
    <row r="145" spans="1:12" x14ac:dyDescent="0.25">
      <c r="A145" s="228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</row>
    <row r="146" spans="1:12" x14ac:dyDescent="0.25">
      <c r="A146" s="228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</row>
    <row r="147" spans="1:12" x14ac:dyDescent="0.25">
      <c r="A147" s="228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</row>
    <row r="148" spans="1:12" x14ac:dyDescent="0.25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</row>
    <row r="149" spans="1:12" x14ac:dyDescent="0.25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</row>
    <row r="150" spans="1:12" x14ac:dyDescent="0.25">
      <c r="A150" s="228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</row>
    <row r="151" spans="1:12" x14ac:dyDescent="0.25">
      <c r="A151" s="228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</row>
    <row r="152" spans="1:12" x14ac:dyDescent="0.25">
      <c r="A152" s="228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</row>
    <row r="153" spans="1:12" x14ac:dyDescent="0.25">
      <c r="A153" s="228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</row>
    <row r="154" spans="1:12" x14ac:dyDescent="0.25">
      <c r="A154" s="228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</row>
    <row r="155" spans="1:12" x14ac:dyDescent="0.25">
      <c r="A155" s="228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</row>
    <row r="156" spans="1:12" x14ac:dyDescent="0.25">
      <c r="A156" s="228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</row>
    <row r="157" spans="1:12" x14ac:dyDescent="0.25">
      <c r="A157" s="228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</row>
    <row r="158" spans="1:12" x14ac:dyDescent="0.25">
      <c r="A158" s="228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</row>
    <row r="159" spans="1:12" x14ac:dyDescent="0.25">
      <c r="A159" s="228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</row>
    <row r="160" spans="1:12" x14ac:dyDescent="0.25">
      <c r="A160" s="228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</row>
    <row r="161" spans="1:12" x14ac:dyDescent="0.25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</row>
    <row r="162" spans="1:12" x14ac:dyDescent="0.25">
      <c r="A162" s="228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</row>
    <row r="163" spans="1:12" x14ac:dyDescent="0.25">
      <c r="A163" s="228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</row>
    <row r="164" spans="1:12" x14ac:dyDescent="0.25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</row>
    <row r="165" spans="1:12" x14ac:dyDescent="0.25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</row>
    <row r="166" spans="1:12" x14ac:dyDescent="0.25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</row>
    <row r="167" spans="1:12" x14ac:dyDescent="0.25">
      <c r="A167" s="228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</row>
    <row r="168" spans="1:12" x14ac:dyDescent="0.25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</row>
    <row r="169" spans="1:12" x14ac:dyDescent="0.25">
      <c r="A169" s="228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</row>
    <row r="170" spans="1:12" x14ac:dyDescent="0.25">
      <c r="A170" s="228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</row>
    <row r="171" spans="1:12" x14ac:dyDescent="0.25">
      <c r="A171" s="228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</row>
    <row r="172" spans="1:12" x14ac:dyDescent="0.25">
      <c r="A172" s="228"/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</row>
    <row r="173" spans="1:12" x14ac:dyDescent="0.25">
      <c r="A173" s="228"/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</row>
    <row r="174" spans="1:12" x14ac:dyDescent="0.25">
      <c r="A174" s="228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</row>
    <row r="175" spans="1:12" x14ac:dyDescent="0.25">
      <c r="A175" s="228"/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</row>
    <row r="176" spans="1:12" x14ac:dyDescent="0.25">
      <c r="A176" s="228"/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</row>
    <row r="177" spans="1:12" x14ac:dyDescent="0.25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</row>
    <row r="178" spans="1:12" x14ac:dyDescent="0.25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</row>
    <row r="179" spans="1:12" x14ac:dyDescent="0.25">
      <c r="A179" s="228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</row>
    <row r="180" spans="1:12" x14ac:dyDescent="0.25">
      <c r="A180" s="22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</row>
    <row r="181" spans="1:12" x14ac:dyDescent="0.25">
      <c r="A181" s="228"/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</row>
    <row r="182" spans="1:12" x14ac:dyDescent="0.25">
      <c r="A182" s="228"/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</row>
    <row r="183" spans="1:12" x14ac:dyDescent="0.25">
      <c r="A183" s="228"/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</row>
    <row r="184" spans="1:12" x14ac:dyDescent="0.25">
      <c r="A184" s="228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</row>
    <row r="185" spans="1:12" x14ac:dyDescent="0.25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</row>
    <row r="186" spans="1:12" x14ac:dyDescent="0.25">
      <c r="A186" s="228"/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</row>
    <row r="187" spans="1:12" x14ac:dyDescent="0.25">
      <c r="A187" s="228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</row>
    <row r="188" spans="1:12" x14ac:dyDescent="0.25">
      <c r="A188" s="228"/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</row>
    <row r="189" spans="1:12" x14ac:dyDescent="0.25">
      <c r="A189" s="228"/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</row>
    <row r="190" spans="1:12" x14ac:dyDescent="0.25">
      <c r="A190" s="228"/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</row>
    <row r="191" spans="1:12" x14ac:dyDescent="0.25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</row>
    <row r="192" spans="1:12" x14ac:dyDescent="0.25">
      <c r="A192" s="228"/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</row>
    <row r="193" spans="1:12" x14ac:dyDescent="0.25">
      <c r="A193" s="228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</row>
    <row r="194" spans="1:12" x14ac:dyDescent="0.25">
      <c r="A194" s="228"/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228"/>
    </row>
    <row r="195" spans="1:12" x14ac:dyDescent="0.25">
      <c r="A195" s="228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</row>
    <row r="196" spans="1:12" x14ac:dyDescent="0.25">
      <c r="A196" s="228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</row>
    <row r="197" spans="1:12" x14ac:dyDescent="0.25">
      <c r="A197" s="228"/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</row>
    <row r="198" spans="1:12" x14ac:dyDescent="0.25">
      <c r="A198" s="228"/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</row>
    <row r="199" spans="1:12" x14ac:dyDescent="0.25">
      <c r="A199" s="228"/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</row>
    <row r="200" spans="1:12" x14ac:dyDescent="0.25">
      <c r="A200" s="228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</row>
    <row r="201" spans="1:12" x14ac:dyDescent="0.25">
      <c r="A201" s="228"/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</row>
    <row r="202" spans="1:12" x14ac:dyDescent="0.25">
      <c r="A202" s="228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</row>
    <row r="203" spans="1:12" x14ac:dyDescent="0.25">
      <c r="A203" s="228"/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</row>
    <row r="204" spans="1:12" x14ac:dyDescent="0.25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</row>
    <row r="205" spans="1:12" x14ac:dyDescent="0.25">
      <c r="A205" s="228"/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</row>
    <row r="206" spans="1:12" x14ac:dyDescent="0.25">
      <c r="A206" s="228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</row>
    <row r="207" spans="1:12" x14ac:dyDescent="0.25">
      <c r="A207" s="228"/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</row>
    <row r="208" spans="1:12" x14ac:dyDescent="0.25">
      <c r="A208" s="228"/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</row>
    <row r="209" spans="1:12" x14ac:dyDescent="0.25">
      <c r="A209" s="228"/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</row>
    <row r="210" spans="1:12" x14ac:dyDescent="0.25">
      <c r="A210" s="228"/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</row>
    <row r="211" spans="1:12" x14ac:dyDescent="0.25">
      <c r="A211" s="228"/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</row>
    <row r="212" spans="1:12" x14ac:dyDescent="0.25">
      <c r="A212" s="228"/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</row>
    <row r="213" spans="1:12" x14ac:dyDescent="0.25">
      <c r="A213" s="228"/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</row>
    <row r="214" spans="1:12" x14ac:dyDescent="0.25">
      <c r="A214" s="228"/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</row>
    <row r="215" spans="1:12" x14ac:dyDescent="0.25">
      <c r="A215" s="228"/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</row>
    <row r="216" spans="1:12" x14ac:dyDescent="0.25">
      <c r="A216" s="228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</row>
    <row r="217" spans="1:12" x14ac:dyDescent="0.25">
      <c r="A217" s="228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</row>
    <row r="218" spans="1:12" x14ac:dyDescent="0.25">
      <c r="A218" s="228"/>
      <c r="B218" s="228"/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</row>
    <row r="219" spans="1:12" x14ac:dyDescent="0.25">
      <c r="A219" s="228"/>
      <c r="B219" s="228"/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</row>
    <row r="220" spans="1:12" x14ac:dyDescent="0.25">
      <c r="A220" s="228"/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</row>
    <row r="221" spans="1:12" x14ac:dyDescent="0.25">
      <c r="A221" s="228"/>
      <c r="B221" s="228"/>
      <c r="C221" s="228"/>
      <c r="D221" s="228"/>
      <c r="E221" s="228"/>
      <c r="F221" s="228"/>
      <c r="G221" s="228"/>
      <c r="H221" s="228"/>
      <c r="I221" s="228"/>
      <c r="J221" s="228"/>
      <c r="K221" s="228"/>
      <c r="L221" s="228"/>
    </row>
    <row r="222" spans="1:12" x14ac:dyDescent="0.25">
      <c r="A222" s="228"/>
      <c r="B222" s="228"/>
      <c r="C222" s="228"/>
      <c r="D222" s="228"/>
      <c r="E222" s="228"/>
      <c r="F222" s="228"/>
      <c r="G222" s="228"/>
      <c r="H222" s="228"/>
      <c r="I222" s="228"/>
      <c r="J222" s="228"/>
      <c r="K222" s="228"/>
      <c r="L222" s="228"/>
    </row>
    <row r="223" spans="1:12" x14ac:dyDescent="0.25">
      <c r="A223" s="228"/>
      <c r="B223" s="228"/>
      <c r="C223" s="228"/>
      <c r="D223" s="228"/>
      <c r="E223" s="228"/>
      <c r="F223" s="228"/>
      <c r="G223" s="228"/>
      <c r="H223" s="228"/>
      <c r="I223" s="228"/>
      <c r="J223" s="228"/>
      <c r="K223" s="228"/>
      <c r="L223" s="228"/>
    </row>
    <row r="224" spans="1:12" x14ac:dyDescent="0.25">
      <c r="A224" s="228"/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</row>
    <row r="225" spans="1:12" x14ac:dyDescent="0.25">
      <c r="A225" s="228"/>
      <c r="B225" s="228"/>
      <c r="C225" s="228"/>
      <c r="D225" s="228"/>
      <c r="E225" s="228"/>
      <c r="F225" s="228"/>
      <c r="G225" s="228"/>
      <c r="H225" s="228"/>
      <c r="I225" s="228"/>
      <c r="J225" s="228"/>
      <c r="K225" s="228"/>
      <c r="L225" s="228"/>
    </row>
    <row r="226" spans="1:12" x14ac:dyDescent="0.25">
      <c r="A226" s="228"/>
      <c r="B226" s="228"/>
      <c r="C226" s="228"/>
      <c r="D226" s="228"/>
      <c r="E226" s="228"/>
      <c r="F226" s="228"/>
      <c r="G226" s="228"/>
      <c r="H226" s="228"/>
      <c r="I226" s="228"/>
      <c r="J226" s="228"/>
      <c r="K226" s="228"/>
      <c r="L226" s="228"/>
    </row>
    <row r="227" spans="1:12" x14ac:dyDescent="0.25">
      <c r="A227" s="228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</row>
    <row r="228" spans="1:12" x14ac:dyDescent="0.25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</row>
    <row r="229" spans="1:12" x14ac:dyDescent="0.25">
      <c r="A229" s="228"/>
      <c r="B229" s="228"/>
      <c r="C229" s="228"/>
      <c r="D229" s="228"/>
      <c r="E229" s="228"/>
      <c r="F229" s="228"/>
      <c r="G229" s="228"/>
      <c r="H229" s="228"/>
      <c r="I229" s="228"/>
      <c r="J229" s="228"/>
      <c r="K229" s="228"/>
      <c r="L229" s="228"/>
    </row>
    <row r="230" spans="1:12" x14ac:dyDescent="0.25">
      <c r="A230" s="228"/>
      <c r="B230" s="228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</row>
    <row r="231" spans="1:12" x14ac:dyDescent="0.25">
      <c r="A231" s="228"/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</row>
    <row r="232" spans="1:12" x14ac:dyDescent="0.25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</row>
    <row r="233" spans="1:12" x14ac:dyDescent="0.25">
      <c r="A233" s="228"/>
      <c r="B233" s="228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</row>
    <row r="234" spans="1:12" x14ac:dyDescent="0.25">
      <c r="A234" s="228"/>
      <c r="B234" s="228"/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</row>
    <row r="235" spans="1:12" x14ac:dyDescent="0.25">
      <c r="A235" s="228"/>
      <c r="B235" s="228"/>
      <c r="C235" s="228"/>
      <c r="D235" s="228"/>
      <c r="E235" s="228"/>
      <c r="F235" s="228"/>
      <c r="G235" s="228"/>
      <c r="H235" s="228"/>
      <c r="I235" s="228"/>
      <c r="J235" s="228"/>
      <c r="K235" s="228"/>
      <c r="L235" s="228"/>
    </row>
    <row r="236" spans="1:12" x14ac:dyDescent="0.25">
      <c r="A236" s="228"/>
      <c r="B236" s="228"/>
      <c r="C236" s="228"/>
      <c r="D236" s="228"/>
      <c r="E236" s="228"/>
      <c r="F236" s="228"/>
      <c r="G236" s="228"/>
      <c r="H236" s="228"/>
      <c r="I236" s="228"/>
      <c r="J236" s="228"/>
      <c r="K236" s="228"/>
      <c r="L236" s="228"/>
    </row>
    <row r="237" spans="1:12" x14ac:dyDescent="0.25">
      <c r="A237" s="228"/>
      <c r="B237" s="228"/>
      <c r="C237" s="228"/>
      <c r="D237" s="228"/>
      <c r="E237" s="228"/>
      <c r="F237" s="228"/>
      <c r="G237" s="228"/>
      <c r="H237" s="228"/>
      <c r="I237" s="228"/>
      <c r="J237" s="228"/>
      <c r="K237" s="228"/>
      <c r="L237" s="228"/>
    </row>
    <row r="238" spans="1:12" x14ac:dyDescent="0.25">
      <c r="A238" s="228"/>
      <c r="B238" s="228"/>
      <c r="C238" s="228"/>
      <c r="D238" s="228"/>
      <c r="E238" s="228"/>
      <c r="F238" s="228"/>
      <c r="G238" s="228"/>
      <c r="H238" s="228"/>
      <c r="I238" s="228"/>
      <c r="J238" s="228"/>
      <c r="K238" s="228"/>
      <c r="L238" s="228"/>
    </row>
    <row r="239" spans="1:12" x14ac:dyDescent="0.25">
      <c r="A239" s="228"/>
      <c r="B239" s="228"/>
      <c r="C239" s="228"/>
      <c r="D239" s="228"/>
      <c r="E239" s="228"/>
      <c r="F239" s="228"/>
      <c r="G239" s="228"/>
      <c r="H239" s="228"/>
      <c r="I239" s="228"/>
      <c r="J239" s="228"/>
      <c r="K239" s="228"/>
      <c r="L239" s="228"/>
    </row>
    <row r="240" spans="1:12" x14ac:dyDescent="0.25">
      <c r="A240" s="228"/>
      <c r="B240" s="228"/>
      <c r="C240" s="228"/>
      <c r="D240" s="228"/>
      <c r="E240" s="228"/>
      <c r="F240" s="228"/>
      <c r="G240" s="228"/>
      <c r="H240" s="228"/>
      <c r="I240" s="228"/>
      <c r="J240" s="228"/>
      <c r="K240" s="228"/>
      <c r="L240" s="228"/>
    </row>
    <row r="241" spans="1:12" x14ac:dyDescent="0.25">
      <c r="A241" s="228"/>
      <c r="B241" s="228"/>
      <c r="C241" s="228"/>
      <c r="D241" s="228"/>
      <c r="E241" s="228"/>
      <c r="F241" s="228"/>
      <c r="G241" s="228"/>
      <c r="H241" s="228"/>
      <c r="I241" s="228"/>
      <c r="J241" s="228"/>
      <c r="K241" s="228"/>
      <c r="L241" s="228"/>
    </row>
    <row r="242" spans="1:12" x14ac:dyDescent="0.25">
      <c r="A242" s="228"/>
      <c r="B242" s="228"/>
      <c r="C242" s="228"/>
      <c r="D242" s="228"/>
      <c r="E242" s="228"/>
      <c r="F242" s="228"/>
      <c r="G242" s="228"/>
      <c r="H242" s="228"/>
      <c r="I242" s="228"/>
      <c r="J242" s="228"/>
      <c r="K242" s="228"/>
      <c r="L242" s="228"/>
    </row>
    <row r="243" spans="1:12" x14ac:dyDescent="0.25">
      <c r="A243" s="228"/>
      <c r="B243" s="228"/>
      <c r="C243" s="228"/>
      <c r="D243" s="228"/>
      <c r="E243" s="228"/>
      <c r="F243" s="228"/>
      <c r="G243" s="228"/>
      <c r="H243" s="228"/>
      <c r="I243" s="228"/>
      <c r="J243" s="228"/>
      <c r="K243" s="228"/>
      <c r="L243" s="228"/>
    </row>
    <row r="244" spans="1:12" x14ac:dyDescent="0.25">
      <c r="A244" s="228"/>
      <c r="B244" s="228"/>
      <c r="C244" s="228"/>
      <c r="D244" s="228"/>
      <c r="E244" s="228"/>
      <c r="F244" s="228"/>
      <c r="G244" s="228"/>
      <c r="H244" s="228"/>
      <c r="I244" s="228"/>
      <c r="J244" s="228"/>
      <c r="K244" s="228"/>
      <c r="L244" s="228"/>
    </row>
    <row r="245" spans="1:12" x14ac:dyDescent="0.25">
      <c r="A245" s="228"/>
      <c r="B245" s="228"/>
      <c r="C245" s="228"/>
      <c r="D245" s="228"/>
      <c r="E245" s="228"/>
      <c r="F245" s="228"/>
      <c r="G245" s="228"/>
      <c r="H245" s="228"/>
      <c r="I245" s="228"/>
      <c r="J245" s="228"/>
      <c r="K245" s="228"/>
      <c r="L245" s="228"/>
    </row>
    <row r="246" spans="1:12" x14ac:dyDescent="0.25">
      <c r="A246" s="228"/>
      <c r="B246" s="228"/>
      <c r="C246" s="228"/>
      <c r="D246" s="228"/>
      <c r="E246" s="228"/>
      <c r="F246" s="228"/>
      <c r="G246" s="228"/>
      <c r="H246" s="228"/>
      <c r="I246" s="228"/>
      <c r="J246" s="228"/>
      <c r="K246" s="228"/>
      <c r="L246" s="228"/>
    </row>
    <row r="247" spans="1:12" x14ac:dyDescent="0.25">
      <c r="A247" s="228"/>
      <c r="B247" s="228"/>
      <c r="C247" s="228"/>
      <c r="D247" s="228"/>
      <c r="E247" s="228"/>
      <c r="F247" s="228"/>
      <c r="G247" s="228"/>
      <c r="H247" s="228"/>
      <c r="I247" s="228"/>
      <c r="J247" s="228"/>
      <c r="K247" s="228"/>
      <c r="L247" s="228"/>
    </row>
    <row r="248" spans="1:12" x14ac:dyDescent="0.25">
      <c r="A248" s="228"/>
      <c r="B248" s="228"/>
      <c r="C248" s="228"/>
      <c r="D248" s="228"/>
      <c r="E248" s="228"/>
      <c r="F248" s="228"/>
      <c r="G248" s="228"/>
      <c r="H248" s="228"/>
      <c r="I248" s="228"/>
      <c r="J248" s="228"/>
      <c r="K248" s="228"/>
      <c r="L248" s="228"/>
    </row>
    <row r="249" spans="1:12" x14ac:dyDescent="0.25">
      <c r="A249" s="228"/>
      <c r="B249" s="228"/>
      <c r="C249" s="228"/>
      <c r="D249" s="228"/>
      <c r="E249" s="228"/>
      <c r="F249" s="228"/>
      <c r="G249" s="228"/>
      <c r="H249" s="228"/>
      <c r="I249" s="228"/>
      <c r="J249" s="228"/>
      <c r="K249" s="228"/>
      <c r="L249" s="228"/>
    </row>
    <row r="250" spans="1:12" x14ac:dyDescent="0.25">
      <c r="A250" s="228"/>
      <c r="B250" s="228"/>
      <c r="C250" s="228"/>
      <c r="D250" s="228"/>
      <c r="E250" s="228"/>
      <c r="F250" s="228"/>
      <c r="G250" s="228"/>
      <c r="H250" s="228"/>
      <c r="I250" s="228"/>
      <c r="J250" s="228"/>
      <c r="K250" s="228"/>
      <c r="L250" s="228"/>
    </row>
    <row r="251" spans="1:12" x14ac:dyDescent="0.25">
      <c r="A251" s="228"/>
      <c r="B251" s="228"/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</row>
    <row r="252" spans="1:12" x14ac:dyDescent="0.25">
      <c r="A252" s="228"/>
      <c r="B252" s="228"/>
      <c r="C252" s="228"/>
      <c r="D252" s="228"/>
      <c r="E252" s="228"/>
      <c r="F252" s="228"/>
      <c r="G252" s="228"/>
      <c r="H252" s="228"/>
      <c r="I252" s="228"/>
      <c r="J252" s="228"/>
      <c r="K252" s="228"/>
      <c r="L252" s="228"/>
    </row>
    <row r="253" spans="1:12" x14ac:dyDescent="0.25">
      <c r="A253" s="228"/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</row>
    <row r="254" spans="1:12" x14ac:dyDescent="0.25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</row>
    <row r="255" spans="1:12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</row>
    <row r="256" spans="1:12" x14ac:dyDescent="0.25">
      <c r="A256" s="228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</row>
    <row r="257" spans="1:12" x14ac:dyDescent="0.25">
      <c r="A257" s="228"/>
      <c r="B257" s="228"/>
      <c r="C257" s="228"/>
      <c r="D257" s="228"/>
      <c r="E257" s="228"/>
      <c r="F257" s="228"/>
      <c r="G257" s="228"/>
      <c r="H257" s="228"/>
      <c r="I257" s="228"/>
      <c r="J257" s="228"/>
      <c r="K257" s="228"/>
      <c r="L257" s="228"/>
    </row>
    <row r="258" spans="1:12" x14ac:dyDescent="0.25">
      <c r="A258" s="228"/>
      <c r="B258" s="228"/>
      <c r="C258" s="228"/>
      <c r="D258" s="228"/>
      <c r="E258" s="228"/>
      <c r="F258" s="228"/>
      <c r="G258" s="228"/>
      <c r="H258" s="228"/>
      <c r="I258" s="228"/>
      <c r="J258" s="228"/>
      <c r="K258" s="228"/>
      <c r="L258" s="228"/>
    </row>
    <row r="259" spans="1:12" x14ac:dyDescent="0.25">
      <c r="A259" s="228"/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</row>
    <row r="260" spans="1:12" x14ac:dyDescent="0.25">
      <c r="A260" s="228"/>
      <c r="B260" s="228"/>
      <c r="C260" s="228"/>
      <c r="D260" s="228"/>
      <c r="E260" s="228"/>
      <c r="F260" s="228"/>
      <c r="G260" s="228"/>
      <c r="H260" s="228"/>
      <c r="I260" s="228"/>
      <c r="J260" s="228"/>
      <c r="K260" s="228"/>
      <c r="L260" s="228"/>
    </row>
    <row r="261" spans="1:12" x14ac:dyDescent="0.25">
      <c r="A261" s="228"/>
      <c r="B261" s="228"/>
      <c r="C261" s="228"/>
      <c r="D261" s="228"/>
      <c r="E261" s="228"/>
      <c r="F261" s="228"/>
      <c r="G261" s="228"/>
      <c r="H261" s="228"/>
      <c r="I261" s="228"/>
      <c r="J261" s="228"/>
      <c r="K261" s="228"/>
      <c r="L261" s="228"/>
    </row>
    <row r="262" spans="1:12" x14ac:dyDescent="0.25">
      <c r="A262" s="228"/>
      <c r="B262" s="228"/>
      <c r="C262" s="228"/>
      <c r="D262" s="228"/>
      <c r="E262" s="228"/>
      <c r="F262" s="228"/>
      <c r="G262" s="228"/>
      <c r="H262" s="228"/>
      <c r="I262" s="228"/>
      <c r="J262" s="228"/>
      <c r="K262" s="228"/>
      <c r="L262" s="228"/>
    </row>
    <row r="263" spans="1:12" x14ac:dyDescent="0.25">
      <c r="A263" s="228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</row>
    <row r="264" spans="1:12" x14ac:dyDescent="0.25">
      <c r="A264" s="228"/>
      <c r="B264" s="228"/>
      <c r="C264" s="228"/>
      <c r="D264" s="228"/>
      <c r="E264" s="228"/>
      <c r="F264" s="228"/>
      <c r="G264" s="228"/>
      <c r="H264" s="228"/>
      <c r="I264" s="228"/>
      <c r="J264" s="228"/>
      <c r="K264" s="228"/>
      <c r="L264" s="228"/>
    </row>
    <row r="265" spans="1:12" x14ac:dyDescent="0.25">
      <c r="A265" s="228"/>
      <c r="B265" s="228"/>
      <c r="C265" s="228"/>
      <c r="D265" s="228"/>
      <c r="E265" s="228"/>
      <c r="F265" s="228"/>
      <c r="G265" s="228"/>
      <c r="H265" s="228"/>
      <c r="I265" s="228"/>
      <c r="J265" s="228"/>
      <c r="K265" s="228"/>
      <c r="L265" s="228"/>
    </row>
    <row r="266" spans="1:12" x14ac:dyDescent="0.25">
      <c r="A266" s="228"/>
      <c r="B266" s="228"/>
      <c r="C266" s="228"/>
      <c r="D266" s="228"/>
      <c r="E266" s="228"/>
      <c r="F266" s="228"/>
      <c r="G266" s="228"/>
      <c r="H266" s="228"/>
      <c r="I266" s="228"/>
      <c r="J266" s="228"/>
      <c r="K266" s="228"/>
      <c r="L266" s="228"/>
    </row>
    <row r="267" spans="1:12" x14ac:dyDescent="0.25">
      <c r="A267" s="228"/>
      <c r="B267" s="228"/>
      <c r="C267" s="228"/>
      <c r="D267" s="228"/>
      <c r="E267" s="228"/>
      <c r="F267" s="228"/>
      <c r="G267" s="228"/>
      <c r="H267" s="228"/>
      <c r="I267" s="228"/>
      <c r="J267" s="228"/>
      <c r="K267" s="228"/>
      <c r="L267" s="228"/>
    </row>
    <row r="268" spans="1:12" x14ac:dyDescent="0.25">
      <c r="A268" s="228"/>
      <c r="B268" s="228"/>
      <c r="C268" s="228"/>
      <c r="D268" s="228"/>
      <c r="E268" s="228"/>
      <c r="F268" s="228"/>
      <c r="G268" s="228"/>
      <c r="H268" s="228"/>
      <c r="I268" s="228"/>
      <c r="J268" s="228"/>
      <c r="K268" s="228"/>
      <c r="L268" s="228"/>
    </row>
    <row r="269" spans="1:12" x14ac:dyDescent="0.25">
      <c r="A269" s="228"/>
      <c r="B269" s="228"/>
      <c r="C269" s="228"/>
      <c r="D269" s="228"/>
      <c r="E269" s="228"/>
      <c r="F269" s="228"/>
      <c r="G269" s="228"/>
      <c r="H269" s="228"/>
      <c r="I269" s="228"/>
      <c r="J269" s="228"/>
      <c r="K269" s="228"/>
      <c r="L269" s="228"/>
    </row>
    <row r="270" spans="1:12" x14ac:dyDescent="0.25">
      <c r="A270" s="228"/>
      <c r="B270" s="228"/>
      <c r="C270" s="228"/>
      <c r="D270" s="228"/>
      <c r="E270" s="228"/>
      <c r="F270" s="228"/>
      <c r="G270" s="228"/>
      <c r="H270" s="228"/>
      <c r="I270" s="228"/>
      <c r="J270" s="228"/>
      <c r="K270" s="228"/>
      <c r="L270" s="228"/>
    </row>
    <row r="271" spans="1:12" x14ac:dyDescent="0.25">
      <c r="A271" s="228"/>
      <c r="B271" s="228"/>
      <c r="C271" s="228"/>
      <c r="D271" s="228"/>
      <c r="E271" s="228"/>
      <c r="F271" s="228"/>
      <c r="G271" s="228"/>
      <c r="H271" s="228"/>
      <c r="I271" s="228"/>
      <c r="J271" s="228"/>
      <c r="K271" s="228"/>
      <c r="L271" s="228"/>
    </row>
    <row r="272" spans="1:12" x14ac:dyDescent="0.25">
      <c r="A272" s="228"/>
      <c r="B272" s="228"/>
      <c r="C272" s="228"/>
      <c r="D272" s="228"/>
      <c r="E272" s="228"/>
      <c r="F272" s="228"/>
      <c r="G272" s="228"/>
      <c r="H272" s="228"/>
      <c r="I272" s="228"/>
      <c r="J272" s="228"/>
      <c r="K272" s="228"/>
      <c r="L272" s="228"/>
    </row>
    <row r="273" spans="1:12" x14ac:dyDescent="0.25">
      <c r="A273" s="228"/>
      <c r="B273" s="228"/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</row>
    <row r="274" spans="1:12" x14ac:dyDescent="0.25">
      <c r="A274" s="228"/>
      <c r="B274" s="228"/>
      <c r="C274" s="228"/>
      <c r="D274" s="228"/>
      <c r="E274" s="228"/>
      <c r="F274" s="228"/>
      <c r="G274" s="228"/>
      <c r="H274" s="228"/>
      <c r="I274" s="228"/>
      <c r="J274" s="228"/>
      <c r="K274" s="228"/>
      <c r="L274" s="228"/>
    </row>
    <row r="275" spans="1:12" x14ac:dyDescent="0.25">
      <c r="A275" s="228"/>
      <c r="B275" s="228"/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</row>
    <row r="276" spans="1:12" x14ac:dyDescent="0.25">
      <c r="A276" s="228"/>
      <c r="B276" s="228"/>
      <c r="C276" s="228"/>
      <c r="D276" s="228"/>
      <c r="E276" s="228"/>
      <c r="F276" s="228"/>
      <c r="G276" s="228"/>
      <c r="H276" s="228"/>
      <c r="I276" s="228"/>
      <c r="J276" s="228"/>
      <c r="K276" s="228"/>
      <c r="L276" s="228"/>
    </row>
    <row r="277" spans="1:12" x14ac:dyDescent="0.25">
      <c r="A277" s="228"/>
      <c r="B277" s="228"/>
      <c r="C277" s="228"/>
      <c r="D277" s="228"/>
      <c r="E277" s="228"/>
      <c r="F277" s="228"/>
      <c r="G277" s="228"/>
      <c r="H277" s="228"/>
      <c r="I277" s="228"/>
      <c r="J277" s="228"/>
      <c r="K277" s="228"/>
      <c r="L277" s="228"/>
    </row>
    <row r="278" spans="1:12" x14ac:dyDescent="0.25">
      <c r="A278" s="228"/>
      <c r="B278" s="228"/>
      <c r="C278" s="228"/>
      <c r="D278" s="228"/>
      <c r="E278" s="228"/>
      <c r="F278" s="228"/>
      <c r="G278" s="228"/>
      <c r="H278" s="228"/>
      <c r="I278" s="228"/>
      <c r="J278" s="228"/>
      <c r="K278" s="228"/>
      <c r="L278" s="228"/>
    </row>
    <row r="279" spans="1:12" x14ac:dyDescent="0.25">
      <c r="A279" s="228"/>
      <c r="B279" s="228"/>
      <c r="C279" s="228"/>
      <c r="D279" s="228"/>
      <c r="E279" s="228"/>
      <c r="F279" s="228"/>
      <c r="G279" s="228"/>
      <c r="H279" s="228"/>
      <c r="I279" s="228"/>
      <c r="J279" s="228"/>
      <c r="K279" s="228"/>
      <c r="L279" s="228"/>
    </row>
    <row r="280" spans="1:12" x14ac:dyDescent="0.25">
      <c r="A280" s="228"/>
      <c r="B280" s="228"/>
      <c r="C280" s="228"/>
      <c r="D280" s="228"/>
      <c r="E280" s="228"/>
      <c r="F280" s="228"/>
      <c r="G280" s="228"/>
      <c r="H280" s="228"/>
      <c r="I280" s="228"/>
      <c r="J280" s="228"/>
      <c r="K280" s="228"/>
      <c r="L280" s="228"/>
    </row>
    <row r="281" spans="1:12" x14ac:dyDescent="0.25">
      <c r="A281" s="228"/>
      <c r="B281" s="228"/>
      <c r="C281" s="228"/>
      <c r="D281" s="228"/>
      <c r="E281" s="228"/>
      <c r="F281" s="228"/>
      <c r="G281" s="228"/>
      <c r="H281" s="228"/>
      <c r="I281" s="228"/>
      <c r="J281" s="228"/>
      <c r="K281" s="228"/>
      <c r="L281" s="228"/>
    </row>
    <row r="282" spans="1:12" x14ac:dyDescent="0.25">
      <c r="A282" s="228"/>
      <c r="B282" s="228"/>
      <c r="C282" s="228"/>
      <c r="D282" s="228"/>
      <c r="E282" s="228"/>
      <c r="F282" s="228"/>
      <c r="G282" s="228"/>
      <c r="H282" s="228"/>
      <c r="I282" s="228"/>
      <c r="J282" s="228"/>
      <c r="K282" s="228"/>
      <c r="L282" s="228"/>
    </row>
    <row r="283" spans="1:12" x14ac:dyDescent="0.25">
      <c r="A283" s="228"/>
      <c r="B283" s="228"/>
      <c r="C283" s="228"/>
      <c r="D283" s="228"/>
      <c r="E283" s="228"/>
      <c r="F283" s="228"/>
      <c r="G283" s="228"/>
      <c r="H283" s="228"/>
      <c r="I283" s="228"/>
      <c r="J283" s="228"/>
      <c r="K283" s="228"/>
      <c r="L283" s="228"/>
    </row>
    <row r="284" spans="1:12" x14ac:dyDescent="0.25">
      <c r="A284" s="228"/>
      <c r="B284" s="228"/>
      <c r="C284" s="228"/>
      <c r="D284" s="228"/>
      <c r="E284" s="228"/>
      <c r="F284" s="228"/>
      <c r="G284" s="228"/>
      <c r="H284" s="228"/>
      <c r="I284" s="228"/>
      <c r="J284" s="228"/>
      <c r="K284" s="228"/>
      <c r="L284" s="228"/>
    </row>
    <row r="285" spans="1:12" x14ac:dyDescent="0.25">
      <c r="A285" s="228"/>
      <c r="B285" s="228"/>
      <c r="C285" s="228"/>
      <c r="D285" s="228"/>
      <c r="E285" s="228"/>
      <c r="F285" s="228"/>
      <c r="G285" s="228"/>
      <c r="H285" s="228"/>
      <c r="I285" s="228"/>
      <c r="J285" s="228"/>
      <c r="K285" s="228"/>
      <c r="L285" s="228"/>
    </row>
    <row r="286" spans="1:12" x14ac:dyDescent="0.25">
      <c r="A286" s="228"/>
      <c r="B286" s="228"/>
      <c r="C286" s="228"/>
      <c r="D286" s="228"/>
      <c r="E286" s="228"/>
      <c r="F286" s="228"/>
      <c r="G286" s="228"/>
      <c r="H286" s="228"/>
      <c r="I286" s="228"/>
      <c r="J286" s="228"/>
      <c r="K286" s="228"/>
      <c r="L286" s="228"/>
    </row>
    <row r="287" spans="1:12" x14ac:dyDescent="0.25">
      <c r="A287" s="228"/>
      <c r="B287" s="228"/>
      <c r="C287" s="228"/>
      <c r="D287" s="228"/>
      <c r="E287" s="228"/>
      <c r="F287" s="228"/>
      <c r="G287" s="228"/>
      <c r="H287" s="228"/>
      <c r="I287" s="228"/>
      <c r="J287" s="228"/>
      <c r="K287" s="228"/>
      <c r="L287" s="228"/>
    </row>
    <row r="288" spans="1:12" x14ac:dyDescent="0.25">
      <c r="A288" s="228"/>
      <c r="B288" s="228"/>
      <c r="C288" s="228"/>
      <c r="D288" s="228"/>
      <c r="E288" s="228"/>
      <c r="F288" s="228"/>
      <c r="G288" s="228"/>
      <c r="H288" s="228"/>
      <c r="I288" s="228"/>
      <c r="J288" s="228"/>
      <c r="K288" s="228"/>
      <c r="L288" s="228"/>
    </row>
    <row r="289" spans="1:12" x14ac:dyDescent="0.25">
      <c r="A289" s="228"/>
      <c r="B289" s="228"/>
      <c r="C289" s="228"/>
      <c r="D289" s="228"/>
      <c r="E289" s="228"/>
      <c r="F289" s="228"/>
      <c r="G289" s="228"/>
      <c r="H289" s="228"/>
      <c r="I289" s="228"/>
      <c r="J289" s="228"/>
      <c r="K289" s="228"/>
      <c r="L289" s="228"/>
    </row>
    <row r="290" spans="1:12" x14ac:dyDescent="0.25">
      <c r="A290" s="228"/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</row>
    <row r="291" spans="1:12" x14ac:dyDescent="0.25">
      <c r="A291" s="228"/>
      <c r="B291" s="228"/>
      <c r="C291" s="228"/>
      <c r="D291" s="228"/>
      <c r="E291" s="228"/>
      <c r="F291" s="228"/>
      <c r="G291" s="228"/>
      <c r="H291" s="228"/>
      <c r="I291" s="228"/>
      <c r="J291" s="228"/>
      <c r="K291" s="228"/>
      <c r="L291" s="228"/>
    </row>
    <row r="292" spans="1:12" x14ac:dyDescent="0.25">
      <c r="A292" s="228"/>
      <c r="B292" s="228"/>
      <c r="C292" s="228"/>
      <c r="D292" s="228"/>
      <c r="E292" s="228"/>
      <c r="F292" s="228"/>
      <c r="G292" s="228"/>
      <c r="H292" s="228"/>
      <c r="I292" s="228"/>
      <c r="J292" s="228"/>
      <c r="K292" s="228"/>
      <c r="L292" s="228"/>
    </row>
    <row r="293" spans="1:12" x14ac:dyDescent="0.25">
      <c r="A293" s="228"/>
      <c r="B293" s="228"/>
      <c r="C293" s="228"/>
      <c r="D293" s="228"/>
      <c r="E293" s="228"/>
      <c r="F293" s="228"/>
      <c r="G293" s="228"/>
      <c r="H293" s="228"/>
      <c r="I293" s="228"/>
      <c r="J293" s="228"/>
      <c r="K293" s="228"/>
      <c r="L293" s="228"/>
    </row>
    <row r="294" spans="1:12" x14ac:dyDescent="0.25">
      <c r="A294" s="228"/>
      <c r="B294" s="228"/>
      <c r="C294" s="228"/>
      <c r="D294" s="228"/>
      <c r="E294" s="228"/>
      <c r="F294" s="228"/>
      <c r="G294" s="228"/>
      <c r="H294" s="228"/>
      <c r="I294" s="228"/>
      <c r="J294" s="228"/>
      <c r="K294" s="228"/>
      <c r="L294" s="228"/>
    </row>
    <row r="295" spans="1:12" x14ac:dyDescent="0.25">
      <c r="A295" s="228"/>
      <c r="B295" s="228"/>
      <c r="C295" s="228"/>
      <c r="D295" s="228"/>
      <c r="E295" s="228"/>
      <c r="F295" s="228"/>
      <c r="G295" s="228"/>
      <c r="H295" s="228"/>
      <c r="I295" s="228"/>
      <c r="J295" s="228"/>
      <c r="K295" s="228"/>
      <c r="L295" s="228"/>
    </row>
    <row r="296" spans="1:12" x14ac:dyDescent="0.25">
      <c r="A296" s="228"/>
      <c r="B296" s="228"/>
      <c r="C296" s="228"/>
      <c r="D296" s="228"/>
      <c r="E296" s="228"/>
      <c r="F296" s="228"/>
      <c r="G296" s="228"/>
      <c r="H296" s="228"/>
      <c r="I296" s="228"/>
      <c r="J296" s="228"/>
      <c r="K296" s="228"/>
      <c r="L296" s="228"/>
    </row>
    <row r="297" spans="1:12" x14ac:dyDescent="0.25">
      <c r="A297" s="228"/>
      <c r="B297" s="228"/>
      <c r="C297" s="228"/>
      <c r="D297" s="228"/>
      <c r="E297" s="228"/>
      <c r="F297" s="228"/>
      <c r="G297" s="228"/>
      <c r="H297" s="228"/>
      <c r="I297" s="228"/>
      <c r="J297" s="228"/>
      <c r="K297" s="228"/>
      <c r="L297" s="228"/>
    </row>
    <row r="298" spans="1:12" x14ac:dyDescent="0.25">
      <c r="A298" s="228"/>
      <c r="B298" s="228"/>
      <c r="C298" s="228"/>
      <c r="D298" s="228"/>
      <c r="E298" s="228"/>
      <c r="F298" s="228"/>
      <c r="G298" s="228"/>
      <c r="H298" s="228"/>
      <c r="I298" s="228"/>
      <c r="J298" s="228"/>
      <c r="K298" s="228"/>
      <c r="L298" s="228"/>
    </row>
    <row r="299" spans="1:12" x14ac:dyDescent="0.25">
      <c r="A299" s="228"/>
      <c r="B299" s="228"/>
      <c r="C299" s="228"/>
      <c r="D299" s="228"/>
      <c r="E299" s="228"/>
      <c r="F299" s="228"/>
      <c r="G299" s="228"/>
      <c r="H299" s="228"/>
      <c r="I299" s="228"/>
      <c r="J299" s="228"/>
      <c r="K299" s="228"/>
      <c r="L299" s="228"/>
    </row>
    <row r="300" spans="1:12" x14ac:dyDescent="0.25">
      <c r="A300" s="228"/>
      <c r="B300" s="228"/>
      <c r="C300" s="228"/>
      <c r="D300" s="228"/>
      <c r="E300" s="228"/>
      <c r="F300" s="228"/>
      <c r="G300" s="228"/>
      <c r="H300" s="228"/>
      <c r="I300" s="228"/>
      <c r="J300" s="228"/>
      <c r="K300" s="228"/>
      <c r="L300" s="228"/>
    </row>
    <row r="301" spans="1:12" x14ac:dyDescent="0.25">
      <c r="A301" s="228"/>
      <c r="B301" s="228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</row>
    <row r="302" spans="1:12" x14ac:dyDescent="0.25">
      <c r="A302" s="228"/>
      <c r="B302" s="228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</row>
    <row r="303" spans="1:12" x14ac:dyDescent="0.25">
      <c r="A303" s="228"/>
      <c r="B303" s="228"/>
      <c r="C303" s="228"/>
      <c r="D303" s="228"/>
      <c r="E303" s="228"/>
      <c r="F303" s="228"/>
      <c r="G303" s="228"/>
      <c r="H303" s="228"/>
      <c r="I303" s="228"/>
      <c r="J303" s="228"/>
      <c r="K303" s="228"/>
      <c r="L303" s="228"/>
    </row>
    <row r="304" spans="1:12" x14ac:dyDescent="0.25">
      <c r="A304" s="228"/>
      <c r="B304" s="228"/>
      <c r="C304" s="228"/>
      <c r="D304" s="228"/>
      <c r="E304" s="228"/>
      <c r="F304" s="228"/>
      <c r="G304" s="228"/>
      <c r="H304" s="228"/>
      <c r="I304" s="228"/>
      <c r="J304" s="228"/>
      <c r="K304" s="228"/>
      <c r="L304" s="228"/>
    </row>
    <row r="305" spans="1:12" x14ac:dyDescent="0.25">
      <c r="A305" s="228"/>
      <c r="B305" s="228"/>
      <c r="C305" s="228"/>
      <c r="D305" s="228"/>
      <c r="E305" s="228"/>
      <c r="F305" s="228"/>
      <c r="G305" s="228"/>
      <c r="H305" s="228"/>
      <c r="I305" s="228"/>
      <c r="J305" s="228"/>
      <c r="K305" s="228"/>
      <c r="L305" s="228"/>
    </row>
    <row r="306" spans="1:12" x14ac:dyDescent="0.25">
      <c r="A306" s="228"/>
      <c r="B306" s="228"/>
      <c r="C306" s="228"/>
      <c r="D306" s="228"/>
      <c r="E306" s="228"/>
      <c r="F306" s="228"/>
      <c r="G306" s="228"/>
      <c r="H306" s="228"/>
      <c r="I306" s="228"/>
      <c r="J306" s="228"/>
      <c r="K306" s="228"/>
      <c r="L306" s="228"/>
    </row>
    <row r="307" spans="1:12" x14ac:dyDescent="0.25">
      <c r="A307" s="228"/>
      <c r="B307" s="228"/>
      <c r="C307" s="228"/>
      <c r="D307" s="228"/>
      <c r="E307" s="228"/>
      <c r="F307" s="228"/>
      <c r="G307" s="228"/>
      <c r="H307" s="228"/>
      <c r="I307" s="228"/>
      <c r="J307" s="228"/>
      <c r="K307" s="228"/>
      <c r="L307" s="228"/>
    </row>
    <row r="308" spans="1:12" x14ac:dyDescent="0.25">
      <c r="A308" s="228"/>
      <c r="B308" s="228"/>
      <c r="C308" s="228"/>
      <c r="D308" s="228"/>
      <c r="E308" s="228"/>
      <c r="F308" s="228"/>
      <c r="G308" s="228"/>
      <c r="H308" s="228"/>
      <c r="I308" s="228"/>
      <c r="J308" s="228"/>
      <c r="K308" s="228"/>
      <c r="L308" s="228"/>
    </row>
    <row r="309" spans="1:12" x14ac:dyDescent="0.25">
      <c r="A309" s="228"/>
      <c r="B309" s="228"/>
      <c r="C309" s="228"/>
      <c r="D309" s="228"/>
      <c r="E309" s="228"/>
      <c r="F309" s="228"/>
      <c r="G309" s="228"/>
      <c r="H309" s="228"/>
      <c r="I309" s="228"/>
      <c r="J309" s="228"/>
      <c r="K309" s="228"/>
      <c r="L309" s="228"/>
    </row>
    <row r="310" spans="1:12" x14ac:dyDescent="0.25">
      <c r="A310" s="228"/>
      <c r="B310" s="228"/>
      <c r="C310" s="228"/>
      <c r="D310" s="228"/>
      <c r="E310" s="228"/>
      <c r="F310" s="228"/>
      <c r="G310" s="228"/>
      <c r="H310" s="228"/>
      <c r="I310" s="228"/>
      <c r="J310" s="228"/>
      <c r="K310" s="228"/>
      <c r="L310" s="228"/>
    </row>
    <row r="311" spans="1:12" x14ac:dyDescent="0.25">
      <c r="A311" s="228"/>
      <c r="B311" s="228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</row>
    <row r="312" spans="1:12" x14ac:dyDescent="0.25">
      <c r="A312" s="228"/>
      <c r="B312" s="228"/>
      <c r="C312" s="228"/>
      <c r="D312" s="228"/>
      <c r="E312" s="228"/>
      <c r="F312" s="228"/>
      <c r="G312" s="228"/>
      <c r="H312" s="228"/>
      <c r="I312" s="228"/>
      <c r="J312" s="228"/>
      <c r="K312" s="228"/>
      <c r="L312" s="228"/>
    </row>
    <row r="313" spans="1:12" x14ac:dyDescent="0.25">
      <c r="A313" s="228"/>
      <c r="B313" s="228"/>
      <c r="C313" s="228"/>
      <c r="D313" s="228"/>
      <c r="E313" s="228"/>
      <c r="F313" s="228"/>
      <c r="G313" s="228"/>
      <c r="H313" s="228"/>
      <c r="I313" s="228"/>
      <c r="J313" s="228"/>
      <c r="K313" s="228"/>
      <c r="L313" s="228"/>
    </row>
    <row r="314" spans="1:12" x14ac:dyDescent="0.25">
      <c r="A314" s="228"/>
      <c r="B314" s="228"/>
      <c r="C314" s="228"/>
      <c r="D314" s="228"/>
      <c r="E314" s="228"/>
      <c r="F314" s="228"/>
      <c r="G314" s="228"/>
      <c r="H314" s="228"/>
      <c r="I314" s="228"/>
      <c r="J314" s="228"/>
      <c r="K314" s="228"/>
      <c r="L314" s="228"/>
    </row>
    <row r="315" spans="1:12" x14ac:dyDescent="0.25">
      <c r="A315" s="228"/>
      <c r="B315" s="228"/>
      <c r="C315" s="228"/>
      <c r="D315" s="228"/>
      <c r="E315" s="228"/>
      <c r="F315" s="228"/>
      <c r="G315" s="228"/>
      <c r="H315" s="228"/>
      <c r="I315" s="228"/>
      <c r="J315" s="228"/>
      <c r="K315" s="228"/>
      <c r="L315" s="228"/>
    </row>
    <row r="316" spans="1:12" x14ac:dyDescent="0.25">
      <c r="A316" s="228"/>
      <c r="B316" s="228"/>
      <c r="C316" s="228"/>
      <c r="D316" s="228"/>
      <c r="E316" s="228"/>
      <c r="F316" s="228"/>
      <c r="G316" s="228"/>
      <c r="H316" s="228"/>
      <c r="I316" s="228"/>
      <c r="J316" s="228"/>
      <c r="K316" s="228"/>
      <c r="L316" s="228"/>
    </row>
    <row r="317" spans="1:12" x14ac:dyDescent="0.25">
      <c r="A317" s="228"/>
      <c r="B317" s="228"/>
      <c r="C317" s="228"/>
      <c r="D317" s="228"/>
      <c r="E317" s="228"/>
      <c r="F317" s="228"/>
      <c r="G317" s="228"/>
      <c r="H317" s="228"/>
      <c r="I317" s="228"/>
      <c r="J317" s="228"/>
      <c r="K317" s="228"/>
      <c r="L317" s="228"/>
    </row>
    <row r="318" spans="1:12" x14ac:dyDescent="0.25">
      <c r="A318" s="228"/>
      <c r="B318" s="228"/>
      <c r="C318" s="228"/>
      <c r="D318" s="228"/>
      <c r="E318" s="228"/>
      <c r="F318" s="228"/>
      <c r="G318" s="228"/>
      <c r="H318" s="228"/>
      <c r="I318" s="228"/>
      <c r="J318" s="228"/>
      <c r="K318" s="228"/>
      <c r="L318" s="228"/>
    </row>
    <row r="319" spans="1:12" x14ac:dyDescent="0.25">
      <c r="A319" s="228"/>
      <c r="B319" s="228"/>
      <c r="C319" s="228"/>
      <c r="D319" s="228"/>
      <c r="E319" s="228"/>
      <c r="F319" s="228"/>
      <c r="G319" s="228"/>
      <c r="H319" s="228"/>
      <c r="I319" s="228"/>
      <c r="J319" s="228"/>
      <c r="K319" s="228"/>
      <c r="L319" s="228"/>
    </row>
    <row r="320" spans="1:12" x14ac:dyDescent="0.25">
      <c r="A320" s="228"/>
      <c r="B320" s="228"/>
      <c r="C320" s="228"/>
      <c r="D320" s="228"/>
      <c r="E320" s="228"/>
      <c r="F320" s="228"/>
      <c r="G320" s="228"/>
      <c r="H320" s="228"/>
      <c r="I320" s="228"/>
      <c r="J320" s="228"/>
      <c r="K320" s="228"/>
      <c r="L320" s="228"/>
    </row>
    <row r="321" spans="1:12" x14ac:dyDescent="0.25">
      <c r="A321" s="228"/>
      <c r="B321" s="228"/>
      <c r="C321" s="228"/>
      <c r="D321" s="228"/>
      <c r="E321" s="228"/>
      <c r="F321" s="228"/>
      <c r="G321" s="228"/>
      <c r="H321" s="228"/>
      <c r="I321" s="228"/>
      <c r="J321" s="228"/>
      <c r="K321" s="228"/>
      <c r="L321" s="228"/>
    </row>
    <row r="322" spans="1:12" x14ac:dyDescent="0.25">
      <c r="A322" s="228"/>
      <c r="B322" s="228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</row>
    <row r="323" spans="1:12" x14ac:dyDescent="0.25">
      <c r="A323" s="228"/>
      <c r="B323" s="228"/>
      <c r="C323" s="228"/>
      <c r="D323" s="228"/>
      <c r="E323" s="228"/>
      <c r="F323" s="228"/>
      <c r="G323" s="228"/>
      <c r="H323" s="228"/>
      <c r="I323" s="228"/>
      <c r="J323" s="228"/>
      <c r="K323" s="228"/>
      <c r="L323" s="228"/>
    </row>
    <row r="324" spans="1:12" x14ac:dyDescent="0.25">
      <c r="A324" s="228"/>
      <c r="B324" s="228"/>
      <c r="C324" s="228"/>
      <c r="D324" s="228"/>
      <c r="E324" s="228"/>
      <c r="F324" s="228"/>
      <c r="G324" s="228"/>
      <c r="H324" s="228"/>
      <c r="I324" s="228"/>
      <c r="J324" s="228"/>
      <c r="K324" s="228"/>
      <c r="L324" s="228"/>
    </row>
    <row r="325" spans="1:12" x14ac:dyDescent="0.25">
      <c r="A325" s="228"/>
      <c r="B325" s="228"/>
      <c r="C325" s="228"/>
      <c r="D325" s="228"/>
      <c r="E325" s="228"/>
      <c r="F325" s="228"/>
      <c r="G325" s="228"/>
      <c r="H325" s="228"/>
      <c r="I325" s="228"/>
      <c r="J325" s="228"/>
      <c r="K325" s="228"/>
      <c r="L325" s="228"/>
    </row>
    <row r="326" spans="1:12" x14ac:dyDescent="0.25">
      <c r="A326" s="228"/>
      <c r="B326" s="228"/>
      <c r="C326" s="228"/>
      <c r="D326" s="228"/>
      <c r="E326" s="228"/>
      <c r="F326" s="228"/>
      <c r="G326" s="228"/>
      <c r="H326" s="228"/>
      <c r="I326" s="228"/>
      <c r="J326" s="228"/>
      <c r="K326" s="228"/>
      <c r="L326" s="228"/>
    </row>
    <row r="327" spans="1:12" x14ac:dyDescent="0.25">
      <c r="A327" s="228"/>
      <c r="B327" s="228"/>
      <c r="C327" s="228"/>
      <c r="D327" s="228"/>
      <c r="E327" s="228"/>
      <c r="F327" s="228"/>
      <c r="G327" s="228"/>
      <c r="H327" s="228"/>
      <c r="I327" s="228"/>
      <c r="J327" s="228"/>
      <c r="K327" s="228"/>
      <c r="L327" s="228"/>
    </row>
    <row r="328" spans="1:12" x14ac:dyDescent="0.25">
      <c r="A328" s="228"/>
      <c r="B328" s="228"/>
      <c r="C328" s="228"/>
      <c r="D328" s="228"/>
      <c r="E328" s="228"/>
      <c r="F328" s="228"/>
      <c r="G328" s="228"/>
      <c r="H328" s="228"/>
      <c r="I328" s="228"/>
      <c r="J328" s="228"/>
      <c r="K328" s="228"/>
      <c r="L328" s="228"/>
    </row>
    <row r="329" spans="1:12" x14ac:dyDescent="0.25">
      <c r="A329" s="228"/>
      <c r="B329" s="228"/>
      <c r="C329" s="228"/>
      <c r="D329" s="228"/>
      <c r="E329" s="228"/>
      <c r="F329" s="228"/>
      <c r="G329" s="228"/>
      <c r="H329" s="228"/>
      <c r="I329" s="228"/>
      <c r="J329" s="228"/>
      <c r="K329" s="228"/>
      <c r="L329" s="228"/>
    </row>
    <row r="330" spans="1:12" x14ac:dyDescent="0.25">
      <c r="A330" s="228"/>
      <c r="B330" s="228"/>
      <c r="C330" s="228"/>
      <c r="D330" s="228"/>
      <c r="E330" s="228"/>
      <c r="F330" s="228"/>
      <c r="G330" s="228"/>
      <c r="H330" s="228"/>
      <c r="I330" s="228"/>
      <c r="J330" s="228"/>
      <c r="K330" s="228"/>
      <c r="L330" s="228"/>
    </row>
    <row r="331" spans="1:12" x14ac:dyDescent="0.25">
      <c r="A331" s="228"/>
      <c r="B331" s="228"/>
      <c r="C331" s="228"/>
      <c r="D331" s="228"/>
      <c r="E331" s="228"/>
      <c r="F331" s="228"/>
      <c r="G331" s="228"/>
      <c r="H331" s="228"/>
      <c r="I331" s="228"/>
      <c r="J331" s="228"/>
      <c r="K331" s="228"/>
      <c r="L331" s="228"/>
    </row>
    <row r="332" spans="1:12" x14ac:dyDescent="0.25">
      <c r="A332" s="228"/>
      <c r="B332" s="228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</row>
    <row r="333" spans="1:12" x14ac:dyDescent="0.25">
      <c r="A333" s="228"/>
      <c r="B333" s="228"/>
      <c r="C333" s="228"/>
      <c r="D333" s="228"/>
      <c r="E333" s="228"/>
      <c r="F333" s="228"/>
      <c r="G333" s="228"/>
      <c r="H333" s="228"/>
      <c r="I333" s="228"/>
      <c r="J333" s="228"/>
      <c r="K333" s="228"/>
      <c r="L333" s="228"/>
    </row>
    <row r="334" spans="1:12" x14ac:dyDescent="0.25">
      <c r="A334" s="228"/>
      <c r="B334" s="228"/>
      <c r="C334" s="228"/>
      <c r="D334" s="228"/>
      <c r="E334" s="228"/>
      <c r="F334" s="228"/>
      <c r="G334" s="228"/>
      <c r="H334" s="228"/>
      <c r="I334" s="228"/>
      <c r="J334" s="228"/>
      <c r="K334" s="228"/>
      <c r="L334" s="228"/>
    </row>
    <row r="335" spans="1:12" x14ac:dyDescent="0.25">
      <c r="A335" s="228"/>
      <c r="B335" s="228"/>
      <c r="C335" s="228"/>
      <c r="D335" s="228"/>
      <c r="E335" s="228"/>
      <c r="F335" s="228"/>
      <c r="G335" s="228"/>
      <c r="H335" s="228"/>
      <c r="I335" s="228"/>
      <c r="J335" s="228"/>
      <c r="K335" s="228"/>
      <c r="L335" s="228"/>
    </row>
    <row r="336" spans="1:12" x14ac:dyDescent="0.25">
      <c r="A336" s="228"/>
      <c r="B336" s="228"/>
      <c r="C336" s="228"/>
      <c r="D336" s="228"/>
      <c r="E336" s="228"/>
      <c r="F336" s="228"/>
      <c r="G336" s="228"/>
      <c r="H336" s="228"/>
      <c r="I336" s="228"/>
      <c r="J336" s="228"/>
      <c r="K336" s="228"/>
      <c r="L336" s="228"/>
    </row>
    <row r="337" spans="1:12" x14ac:dyDescent="0.25">
      <c r="A337" s="228"/>
      <c r="B337" s="228"/>
      <c r="C337" s="228"/>
      <c r="D337" s="228"/>
      <c r="E337" s="228"/>
      <c r="F337" s="228"/>
      <c r="G337" s="228"/>
      <c r="H337" s="228"/>
      <c r="I337" s="228"/>
      <c r="J337" s="228"/>
      <c r="K337" s="228"/>
      <c r="L337" s="228"/>
    </row>
    <row r="338" spans="1:12" x14ac:dyDescent="0.25">
      <c r="A338" s="228"/>
      <c r="B338" s="228"/>
      <c r="C338" s="228"/>
      <c r="D338" s="228"/>
      <c r="E338" s="228"/>
      <c r="F338" s="228"/>
      <c r="G338" s="228"/>
      <c r="H338" s="228"/>
      <c r="I338" s="228"/>
      <c r="J338" s="228"/>
      <c r="K338" s="228"/>
      <c r="L338" s="228"/>
    </row>
    <row r="339" spans="1:12" x14ac:dyDescent="0.25">
      <c r="A339" s="228"/>
      <c r="B339" s="228"/>
      <c r="C339" s="228"/>
      <c r="D339" s="228"/>
      <c r="E339" s="228"/>
      <c r="F339" s="228"/>
      <c r="G339" s="228"/>
      <c r="H339" s="228"/>
      <c r="I339" s="228"/>
      <c r="J339" s="228"/>
      <c r="K339" s="228"/>
      <c r="L339" s="228"/>
    </row>
    <row r="340" spans="1:12" x14ac:dyDescent="0.25">
      <c r="A340" s="228"/>
      <c r="B340" s="228"/>
      <c r="C340" s="228"/>
      <c r="D340" s="228"/>
      <c r="E340" s="228"/>
      <c r="F340" s="228"/>
      <c r="G340" s="228"/>
      <c r="H340" s="228"/>
      <c r="I340" s="228"/>
      <c r="J340" s="228"/>
      <c r="K340" s="228"/>
      <c r="L340" s="228"/>
    </row>
    <row r="341" spans="1:12" x14ac:dyDescent="0.25">
      <c r="A341" s="228"/>
      <c r="B341" s="228"/>
      <c r="C341" s="228"/>
      <c r="D341" s="228"/>
      <c r="E341" s="228"/>
      <c r="F341" s="228"/>
      <c r="G341" s="228"/>
      <c r="H341" s="228"/>
      <c r="I341" s="228"/>
      <c r="J341" s="228"/>
      <c r="K341" s="228"/>
      <c r="L341" s="228"/>
    </row>
    <row r="342" spans="1:12" x14ac:dyDescent="0.25">
      <c r="A342" s="228"/>
      <c r="B342" s="228"/>
      <c r="C342" s="228"/>
      <c r="D342" s="228"/>
      <c r="E342" s="228"/>
      <c r="F342" s="228"/>
      <c r="G342" s="228"/>
      <c r="H342" s="228"/>
      <c r="I342" s="228"/>
      <c r="J342" s="228"/>
      <c r="K342" s="228"/>
      <c r="L342" s="228"/>
    </row>
    <row r="343" spans="1:12" x14ac:dyDescent="0.25">
      <c r="A343" s="228"/>
      <c r="B343" s="228"/>
      <c r="C343" s="228"/>
      <c r="D343" s="228"/>
      <c r="E343" s="228"/>
      <c r="F343" s="228"/>
      <c r="G343" s="228"/>
      <c r="H343" s="228"/>
      <c r="I343" s="228"/>
      <c r="J343" s="228"/>
      <c r="K343" s="228"/>
      <c r="L343" s="228"/>
    </row>
    <row r="344" spans="1:12" x14ac:dyDescent="0.25">
      <c r="A344" s="228"/>
      <c r="B344" s="228"/>
      <c r="C344" s="228"/>
      <c r="D344" s="228"/>
      <c r="E344" s="228"/>
      <c r="F344" s="228"/>
      <c r="G344" s="228"/>
      <c r="H344" s="228"/>
      <c r="I344" s="228"/>
      <c r="J344" s="228"/>
      <c r="K344" s="228"/>
      <c r="L344" s="228"/>
    </row>
    <row r="345" spans="1:12" x14ac:dyDescent="0.25">
      <c r="A345" s="228"/>
      <c r="B345" s="228"/>
      <c r="C345" s="228"/>
      <c r="D345" s="228"/>
      <c r="E345" s="228"/>
      <c r="F345" s="228"/>
      <c r="G345" s="228"/>
      <c r="H345" s="228"/>
      <c r="I345" s="228"/>
      <c r="J345" s="228"/>
      <c r="K345" s="228"/>
      <c r="L345" s="228"/>
    </row>
    <row r="346" spans="1:12" x14ac:dyDescent="0.25">
      <c r="A346" s="228"/>
      <c r="B346" s="228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</row>
    <row r="347" spans="1:12" x14ac:dyDescent="0.25">
      <c r="A347" s="228"/>
      <c r="B347" s="228"/>
      <c r="C347" s="228"/>
      <c r="D347" s="228"/>
      <c r="E347" s="228"/>
      <c r="F347" s="228"/>
      <c r="G347" s="228"/>
      <c r="H347" s="228"/>
      <c r="I347" s="228"/>
      <c r="J347" s="228"/>
      <c r="K347" s="228"/>
      <c r="L347" s="228"/>
    </row>
    <row r="348" spans="1:12" x14ac:dyDescent="0.25">
      <c r="A348" s="228"/>
      <c r="B348" s="228"/>
      <c r="C348" s="228"/>
      <c r="D348" s="228"/>
      <c r="E348" s="228"/>
      <c r="F348" s="228"/>
      <c r="G348" s="228"/>
      <c r="H348" s="228"/>
      <c r="I348" s="228"/>
      <c r="J348" s="228"/>
      <c r="K348" s="228"/>
      <c r="L348" s="228"/>
    </row>
    <row r="349" spans="1:12" x14ac:dyDescent="0.25">
      <c r="A349" s="228"/>
      <c r="B349" s="228"/>
      <c r="C349" s="228"/>
      <c r="D349" s="228"/>
      <c r="E349" s="228"/>
      <c r="F349" s="228"/>
      <c r="G349" s="228"/>
      <c r="H349" s="228"/>
      <c r="I349" s="228"/>
      <c r="J349" s="228"/>
      <c r="K349" s="228"/>
      <c r="L349" s="228"/>
    </row>
    <row r="350" spans="1:12" x14ac:dyDescent="0.25">
      <c r="A350" s="228"/>
      <c r="B350" s="228"/>
      <c r="C350" s="228"/>
      <c r="D350" s="228"/>
      <c r="E350" s="228"/>
      <c r="F350" s="228"/>
      <c r="G350" s="228"/>
      <c r="H350" s="228"/>
      <c r="I350" s="228"/>
      <c r="J350" s="228"/>
      <c r="K350" s="228"/>
      <c r="L350" s="228"/>
    </row>
    <row r="351" spans="1:12" x14ac:dyDescent="0.25">
      <c r="A351" s="228"/>
      <c r="B351" s="228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</row>
    <row r="352" spans="1:12" x14ac:dyDescent="0.25">
      <c r="A352" s="228"/>
      <c r="B352" s="228"/>
      <c r="C352" s="228"/>
      <c r="D352" s="228"/>
      <c r="E352" s="228"/>
      <c r="F352" s="228"/>
      <c r="G352" s="228"/>
      <c r="H352" s="228"/>
      <c r="I352" s="228"/>
      <c r="J352" s="228"/>
      <c r="K352" s="228"/>
      <c r="L352" s="228"/>
    </row>
    <row r="353" spans="1:12" x14ac:dyDescent="0.25">
      <c r="A353" s="228"/>
      <c r="B353" s="228"/>
      <c r="C353" s="228"/>
      <c r="D353" s="228"/>
      <c r="E353" s="228"/>
      <c r="F353" s="228"/>
      <c r="G353" s="228"/>
      <c r="H353" s="228"/>
      <c r="I353" s="228"/>
      <c r="J353" s="228"/>
      <c r="K353" s="228"/>
      <c r="L353" s="228"/>
    </row>
    <row r="354" spans="1:12" x14ac:dyDescent="0.25">
      <c r="A354" s="228"/>
      <c r="B354" s="228"/>
      <c r="C354" s="228"/>
      <c r="D354" s="228"/>
      <c r="E354" s="228"/>
      <c r="F354" s="228"/>
      <c r="G354" s="228"/>
      <c r="H354" s="228"/>
      <c r="I354" s="228"/>
      <c r="J354" s="228"/>
      <c r="K354" s="228"/>
      <c r="L354" s="228"/>
    </row>
    <row r="355" spans="1:12" x14ac:dyDescent="0.25">
      <c r="A355" s="228"/>
      <c r="B355" s="228"/>
      <c r="C355" s="228"/>
      <c r="D355" s="228"/>
      <c r="E355" s="228"/>
      <c r="F355" s="228"/>
      <c r="G355" s="228"/>
      <c r="H355" s="228"/>
      <c r="I355" s="228"/>
      <c r="J355" s="228"/>
      <c r="K355" s="228"/>
      <c r="L355" s="228"/>
    </row>
    <row r="356" spans="1:12" x14ac:dyDescent="0.25">
      <c r="A356" s="228"/>
      <c r="B356" s="228"/>
      <c r="C356" s="228"/>
      <c r="D356" s="228"/>
      <c r="E356" s="228"/>
      <c r="F356" s="228"/>
      <c r="G356" s="228"/>
      <c r="H356" s="228"/>
      <c r="I356" s="228"/>
      <c r="J356" s="228"/>
      <c r="K356" s="228"/>
      <c r="L356" s="228"/>
    </row>
    <row r="357" spans="1:12" x14ac:dyDescent="0.25">
      <c r="A357" s="228"/>
      <c r="B357" s="228"/>
      <c r="C357" s="228"/>
      <c r="D357" s="228"/>
      <c r="E357" s="228"/>
      <c r="F357" s="228"/>
      <c r="G357" s="228"/>
      <c r="H357" s="228"/>
      <c r="I357" s="228"/>
      <c r="J357" s="228"/>
      <c r="K357" s="228"/>
      <c r="L357" s="228"/>
    </row>
    <row r="358" spans="1:12" x14ac:dyDescent="0.25">
      <c r="A358" s="228"/>
      <c r="B358" s="228"/>
      <c r="C358" s="228"/>
      <c r="D358" s="228"/>
      <c r="E358" s="228"/>
      <c r="F358" s="228"/>
      <c r="G358" s="228"/>
      <c r="H358" s="228"/>
      <c r="I358" s="228"/>
      <c r="J358" s="228"/>
      <c r="K358" s="228"/>
      <c r="L358" s="228"/>
    </row>
    <row r="359" spans="1:12" x14ac:dyDescent="0.25">
      <c r="A359" s="228"/>
      <c r="B359" s="228"/>
      <c r="C359" s="228"/>
      <c r="D359" s="228"/>
      <c r="E359" s="228"/>
      <c r="F359" s="228"/>
      <c r="G359" s="228"/>
      <c r="H359" s="228"/>
      <c r="I359" s="228"/>
      <c r="J359" s="228"/>
      <c r="K359" s="228"/>
      <c r="L359" s="228"/>
    </row>
    <row r="360" spans="1:12" x14ac:dyDescent="0.25">
      <c r="A360" s="228"/>
      <c r="B360" s="228"/>
      <c r="C360" s="228"/>
      <c r="D360" s="228"/>
      <c r="E360" s="228"/>
      <c r="F360" s="228"/>
      <c r="G360" s="228"/>
      <c r="H360" s="228"/>
      <c r="I360" s="228"/>
      <c r="J360" s="228"/>
      <c r="K360" s="228"/>
      <c r="L360" s="228"/>
    </row>
    <row r="361" spans="1:12" x14ac:dyDescent="0.25">
      <c r="A361" s="228"/>
      <c r="B361" s="228"/>
      <c r="C361" s="228"/>
      <c r="D361" s="228"/>
      <c r="E361" s="228"/>
      <c r="F361" s="228"/>
      <c r="G361" s="228"/>
      <c r="H361" s="228"/>
      <c r="I361" s="228"/>
      <c r="J361" s="228"/>
      <c r="K361" s="228"/>
      <c r="L361" s="228"/>
    </row>
    <row r="362" spans="1:12" x14ac:dyDescent="0.25">
      <c r="A362" s="228"/>
      <c r="B362" s="228"/>
      <c r="C362" s="228"/>
      <c r="D362" s="228"/>
      <c r="E362" s="228"/>
      <c r="F362" s="228"/>
      <c r="G362" s="228"/>
      <c r="H362" s="228"/>
      <c r="I362" s="228"/>
      <c r="J362" s="228"/>
      <c r="K362" s="228"/>
      <c r="L362" s="228"/>
    </row>
    <row r="363" spans="1:12" x14ac:dyDescent="0.25">
      <c r="A363" s="228"/>
      <c r="B363" s="228"/>
      <c r="C363" s="228"/>
      <c r="D363" s="228"/>
      <c r="E363" s="228"/>
      <c r="F363" s="228"/>
      <c r="G363" s="228"/>
      <c r="H363" s="228"/>
      <c r="I363" s="228"/>
      <c r="J363" s="228"/>
      <c r="K363" s="228"/>
      <c r="L363" s="228"/>
    </row>
  </sheetData>
  <mergeCells count="2">
    <mergeCell ref="G10:L10"/>
    <mergeCell ref="A1:J1"/>
  </mergeCells>
  <pageMargins left="0.7" right="0.7" top="0.75" bottom="0.75" header="0.3" footer="0.3"/>
  <pageSetup paperSize="9" scale="63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3E0A7-9FDB-4E45-8478-7C09D9209CD6}">
  <sheetPr codeName="Sheet37"/>
  <dimension ref="A1:P19"/>
  <sheetViews>
    <sheetView showGridLines="0" zoomScaleNormal="100" workbookViewId="0">
      <selection activeCell="I1" sqref="I1"/>
    </sheetView>
  </sheetViews>
  <sheetFormatPr defaultRowHeight="12.75" x14ac:dyDescent="0.2"/>
  <cols>
    <col min="1" max="1" width="22.140625" style="266" customWidth="1"/>
    <col min="2" max="16384" width="9.140625" style="266"/>
  </cols>
  <sheetData>
    <row r="1" spans="1:16" x14ac:dyDescent="0.2">
      <c r="A1" s="277" t="s">
        <v>113</v>
      </c>
      <c r="I1" s="267" t="s">
        <v>215</v>
      </c>
      <c r="P1" s="267" t="s">
        <v>216</v>
      </c>
    </row>
    <row r="2" spans="1:16" x14ac:dyDescent="0.2">
      <c r="A2" s="276"/>
      <c r="B2" s="268">
        <v>2016</v>
      </c>
      <c r="C2" s="268">
        <v>2017</v>
      </c>
      <c r="D2" s="268">
        <v>2018</v>
      </c>
      <c r="E2" s="268">
        <v>2019</v>
      </c>
      <c r="F2" s="268">
        <v>2020</v>
      </c>
      <c r="G2" s="268">
        <v>2021</v>
      </c>
    </row>
    <row r="3" spans="1:16" x14ac:dyDescent="0.2">
      <c r="A3" s="269" t="s">
        <v>210</v>
      </c>
      <c r="B3" s="270">
        <v>-2.2000000000000002</v>
      </c>
      <c r="C3" s="270">
        <v>-0.78</v>
      </c>
      <c r="D3" s="270">
        <v>-0.6</v>
      </c>
      <c r="E3" s="270">
        <v>-0.3</v>
      </c>
      <c r="F3" s="270">
        <v>-0.1</v>
      </c>
      <c r="G3" s="270"/>
    </row>
    <row r="4" spans="1:16" x14ac:dyDescent="0.2">
      <c r="A4" s="266" t="s">
        <v>214</v>
      </c>
      <c r="B4" s="270">
        <v>-2.2218395317473991</v>
      </c>
      <c r="C4" s="270">
        <v>-0.76739457038474512</v>
      </c>
      <c r="D4" s="270">
        <v>-0.60115523541851701</v>
      </c>
      <c r="E4" s="270">
        <v>-0.10015793408854279</v>
      </c>
      <c r="F4" s="270">
        <v>0</v>
      </c>
      <c r="G4" s="270">
        <v>0.20031684202898248</v>
      </c>
    </row>
    <row r="5" spans="1:16" x14ac:dyDescent="0.2">
      <c r="A5" s="266" t="s">
        <v>211</v>
      </c>
      <c r="B5" s="270">
        <v>-2.2218395317473991</v>
      </c>
      <c r="C5" s="270">
        <v>-0.77696312238339715</v>
      </c>
      <c r="D5" s="270">
        <v>-0.91906030830530994</v>
      </c>
      <c r="E5" s="270">
        <v>-0.69619112472082978</v>
      </c>
      <c r="F5" s="270">
        <v>-0.56411018069720364</v>
      </c>
      <c r="G5" s="271">
        <v>-0.17785920837563068</v>
      </c>
    </row>
    <row r="6" spans="1:16" x14ac:dyDescent="0.2">
      <c r="A6" s="269" t="s">
        <v>212</v>
      </c>
      <c r="B6" s="270">
        <v>-2.21</v>
      </c>
      <c r="C6" s="270">
        <v>-1.04</v>
      </c>
      <c r="D6" s="270">
        <v>-0.79</v>
      </c>
      <c r="E6" s="270">
        <v>-0.34</v>
      </c>
      <c r="F6" s="270"/>
      <c r="G6" s="271"/>
    </row>
    <row r="7" spans="1:16" x14ac:dyDescent="0.2">
      <c r="A7" s="273" t="s">
        <v>213</v>
      </c>
      <c r="B7" s="279">
        <v>-2.2069999999999999</v>
      </c>
      <c r="C7" s="279">
        <v>-1.0409999999999999</v>
      </c>
      <c r="D7" s="279">
        <v>-0.74299999999999999</v>
      </c>
      <c r="E7" s="279">
        <v>-0.47499999999999998</v>
      </c>
      <c r="F7" s="280">
        <v>2.5000000000000001E-2</v>
      </c>
      <c r="G7" s="281">
        <v>1.2E-2</v>
      </c>
    </row>
    <row r="8" spans="1:16" x14ac:dyDescent="0.2">
      <c r="D8" s="1590" t="s">
        <v>218</v>
      </c>
      <c r="E8" s="1590"/>
      <c r="F8" s="1590"/>
      <c r="G8" s="1590"/>
    </row>
    <row r="10" spans="1:16" x14ac:dyDescent="0.2">
      <c r="A10" s="278" t="s">
        <v>217</v>
      </c>
    </row>
    <row r="11" spans="1:16" x14ac:dyDescent="0.2">
      <c r="A11" s="275"/>
      <c r="B11" s="268">
        <v>2016</v>
      </c>
      <c r="C11" s="268">
        <v>2017</v>
      </c>
      <c r="D11" s="268">
        <v>2018</v>
      </c>
      <c r="E11" s="268">
        <v>2019</v>
      </c>
      <c r="F11" s="268">
        <v>2020</v>
      </c>
      <c r="G11" s="268">
        <v>2021</v>
      </c>
    </row>
    <row r="12" spans="1:16" x14ac:dyDescent="0.2">
      <c r="A12" s="269" t="s">
        <v>210</v>
      </c>
      <c r="B12" s="270">
        <v>-2.1</v>
      </c>
      <c r="C12" s="270">
        <v>-0.9</v>
      </c>
      <c r="D12" s="270">
        <v>-0.8</v>
      </c>
      <c r="E12" s="270">
        <v>-0.8</v>
      </c>
      <c r="F12" s="270">
        <v>-0.6</v>
      </c>
      <c r="G12" s="270"/>
    </row>
    <row r="13" spans="1:16" x14ac:dyDescent="0.2">
      <c r="A13" s="266" t="s">
        <v>214</v>
      </c>
      <c r="B13" s="271">
        <v>-2.1009864074983864</v>
      </c>
      <c r="C13" s="271">
        <v>-0.83153846998002012</v>
      </c>
      <c r="D13" s="271">
        <v>-0.81748292666450073</v>
      </c>
      <c r="E13" s="271">
        <v>-0.57470191992028918</v>
      </c>
      <c r="F13" s="271">
        <v>-0.50392028055833749</v>
      </c>
      <c r="G13" s="271">
        <v>-0.285663740111401</v>
      </c>
    </row>
    <row r="14" spans="1:16" x14ac:dyDescent="0.2">
      <c r="A14" s="266" t="s">
        <v>211</v>
      </c>
      <c r="B14" s="270">
        <v>-1.8490274543212348</v>
      </c>
      <c r="C14" s="270">
        <v>-0.83633882821086614</v>
      </c>
      <c r="D14" s="270">
        <v>-1.1024911910217388</v>
      </c>
      <c r="E14" s="270">
        <v>-0.90218873771692698</v>
      </c>
      <c r="F14" s="270">
        <v>-0.79113149651803527</v>
      </c>
      <c r="G14" s="270">
        <v>-0.22951379331353308</v>
      </c>
    </row>
    <row r="15" spans="1:16" ht="15" customHeight="1" x14ac:dyDescent="0.2">
      <c r="A15" s="269" t="s">
        <v>212</v>
      </c>
      <c r="B15" s="270">
        <v>-2.1799999999999997</v>
      </c>
      <c r="C15" s="270">
        <v>-1.03</v>
      </c>
      <c r="D15" s="270">
        <v>-0.85</v>
      </c>
      <c r="E15" s="270">
        <v>-0.55000000000000004</v>
      </c>
      <c r="F15" s="270"/>
      <c r="G15" s="271"/>
    </row>
    <row r="16" spans="1:16" x14ac:dyDescent="0.2">
      <c r="A16" s="273" t="s">
        <v>213</v>
      </c>
      <c r="B16" s="274">
        <v>-2.5870000000000002</v>
      </c>
      <c r="C16" s="274">
        <v>-1.361</v>
      </c>
      <c r="D16" s="274">
        <v>-1.032</v>
      </c>
      <c r="E16" s="274">
        <v>-0.73199999999999998</v>
      </c>
      <c r="F16" s="274">
        <v>-0.17299999999999999</v>
      </c>
      <c r="G16" s="281">
        <v>-0.124</v>
      </c>
    </row>
    <row r="17" spans="4:16" x14ac:dyDescent="0.2">
      <c r="D17" s="1590" t="s">
        <v>218</v>
      </c>
      <c r="E17" s="1590"/>
      <c r="F17" s="1590"/>
      <c r="G17" s="1590"/>
    </row>
    <row r="19" spans="4:16" x14ac:dyDescent="0.2">
      <c r="P19" s="267"/>
    </row>
  </sheetData>
  <mergeCells count="2">
    <mergeCell ref="D8:G8"/>
    <mergeCell ref="D17:G17"/>
  </mergeCells>
  <pageMargins left="0.7" right="0.7" top="0.75" bottom="0.75" header="0.3" footer="0.3"/>
  <pageSetup paperSize="9" orientation="portrait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4A7EF-5E4F-4686-8E5A-E225A7C282B9}">
  <dimension ref="A1:X9"/>
  <sheetViews>
    <sheetView showGridLines="0" workbookViewId="0">
      <selection activeCell="F9" sqref="F9"/>
    </sheetView>
  </sheetViews>
  <sheetFormatPr defaultRowHeight="12.75" x14ac:dyDescent="0.2"/>
  <cols>
    <col min="1" max="1" width="31.5703125" style="994" bestFit="1" customWidth="1"/>
    <col min="2" max="16384" width="9.140625" style="994"/>
  </cols>
  <sheetData>
    <row r="1" spans="1:24" x14ac:dyDescent="0.2">
      <c r="A1" s="1249"/>
      <c r="B1" s="1249">
        <v>1999</v>
      </c>
      <c r="C1" s="1249">
        <v>2000</v>
      </c>
      <c r="D1" s="1249">
        <v>2001</v>
      </c>
      <c r="E1" s="1249">
        <v>2002</v>
      </c>
      <c r="F1" s="1249">
        <v>2003</v>
      </c>
      <c r="G1" s="1249">
        <v>2004</v>
      </c>
      <c r="H1" s="1249">
        <v>2005</v>
      </c>
      <c r="I1" s="1249">
        <v>2006</v>
      </c>
      <c r="J1" s="1249">
        <v>2007</v>
      </c>
      <c r="K1" s="1249">
        <v>2008</v>
      </c>
      <c r="L1" s="1249">
        <v>2009</v>
      </c>
      <c r="M1" s="1249">
        <v>2010</v>
      </c>
      <c r="N1" s="1249">
        <v>2011</v>
      </c>
      <c r="O1" s="1249">
        <v>2012</v>
      </c>
      <c r="P1" s="1249">
        <v>2013</v>
      </c>
      <c r="Q1" s="1249">
        <v>2014</v>
      </c>
      <c r="R1" s="1249">
        <v>2015</v>
      </c>
      <c r="S1" s="1249">
        <v>2016</v>
      </c>
      <c r="T1" s="1249">
        <v>2017</v>
      </c>
      <c r="U1" s="1249">
        <v>2018</v>
      </c>
      <c r="V1" s="1249">
        <v>2019</v>
      </c>
      <c r="W1" s="1249">
        <v>2020</v>
      </c>
      <c r="X1" s="1249">
        <v>2021</v>
      </c>
    </row>
    <row r="2" spans="1:24" x14ac:dyDescent="0.2">
      <c r="A2" s="994" t="s">
        <v>1026</v>
      </c>
      <c r="B2" s="1250">
        <v>-7.2762661139151783</v>
      </c>
      <c r="C2" s="1250">
        <v>-12.023561319624777</v>
      </c>
      <c r="D2" s="1250">
        <v>-6.4012246703076388</v>
      </c>
      <c r="E2" s="1250">
        <v>-8.0880171112313182</v>
      </c>
      <c r="F2" s="1250">
        <v>-2.7030978825266248</v>
      </c>
      <c r="G2" s="1250">
        <v>-2.3083834077773604</v>
      </c>
      <c r="H2" s="1250">
        <v>-2.8832636068580419</v>
      </c>
      <c r="I2" s="1250">
        <v>-3.5919756617837155</v>
      </c>
      <c r="J2" s="1250">
        <v>-1.9488094325421548</v>
      </c>
      <c r="K2" s="1250">
        <v>-2.3453458540611178</v>
      </c>
      <c r="L2" s="1250">
        <v>-7.8292338562302586</v>
      </c>
      <c r="M2" s="1250">
        <v>-7.4849112027105908</v>
      </c>
      <c r="N2" s="1250">
        <v>-4.276963813023607</v>
      </c>
      <c r="O2" s="1250">
        <v>-4.3449069648120027</v>
      </c>
      <c r="P2" s="1250">
        <v>-2.7199722992649589</v>
      </c>
      <c r="Q2" s="1250">
        <v>-2.7022732911847389</v>
      </c>
      <c r="R2" s="1250">
        <v>-2.5612143368057132</v>
      </c>
      <c r="S2" s="1250">
        <v>-2.2218235270342319</v>
      </c>
      <c r="T2" s="1250">
        <v>-0.77696312238339471</v>
      </c>
      <c r="U2" s="1250">
        <v>-0.91894875113976826</v>
      </c>
      <c r="V2" s="1250">
        <v>-0.69630420475980503</v>
      </c>
      <c r="W2" s="1250">
        <v>-0.56410956107767629</v>
      </c>
      <c r="X2" s="1250">
        <v>-0.17780900241371267</v>
      </c>
    </row>
    <row r="3" spans="1:24" x14ac:dyDescent="0.2">
      <c r="A3" s="994" t="s">
        <v>1027</v>
      </c>
      <c r="B3" s="1250">
        <v>0.26431343959497233</v>
      </c>
      <c r="C3" s="1250">
        <v>0.31388827301732053</v>
      </c>
      <c r="D3" s="1250">
        <v>0.59768421935988136</v>
      </c>
      <c r="E3" s="1250">
        <v>0.23660065294428922</v>
      </c>
      <c r="F3" s="1250">
        <v>0.36348253440645778</v>
      </c>
      <c r="G3" s="1250">
        <v>0.62638457855429386</v>
      </c>
      <c r="H3" s="1250">
        <v>3.9405469127987258E-2</v>
      </c>
      <c r="I3" s="1250">
        <v>-0.17854509758709261</v>
      </c>
      <c r="J3" s="1250">
        <v>-1.0431171127651553</v>
      </c>
      <c r="K3" s="1250">
        <v>-1.1169682679796002</v>
      </c>
      <c r="L3" s="1250">
        <v>-0.3510342151764147</v>
      </c>
      <c r="M3" s="1250">
        <v>-0.23711399392316196</v>
      </c>
      <c r="N3" s="1250">
        <v>-0.12668598318037383</v>
      </c>
      <c r="O3" s="1250">
        <v>7.9853272952222124E-2</v>
      </c>
      <c r="P3" s="1250">
        <v>0.48442112877869109</v>
      </c>
      <c r="Q3" s="1250">
        <v>0.40374393294586797</v>
      </c>
      <c r="R3" s="1250">
        <v>0.26320271918415256</v>
      </c>
      <c r="S3" s="1250">
        <v>0.22841883398210858</v>
      </c>
      <c r="T3" s="1250">
        <v>-7.4346970979326132E-2</v>
      </c>
      <c r="U3" s="1250">
        <v>-0.14176242308922402</v>
      </c>
      <c r="V3" s="1250">
        <v>-0.21186781722435485</v>
      </c>
      <c r="W3" s="1250">
        <v>-0.23264003146889167</v>
      </c>
      <c r="X3" s="1250">
        <v>-5.7010025035629616E-2</v>
      </c>
    </row>
    <row r="4" spans="1:24" x14ac:dyDescent="0.2">
      <c r="A4" s="994" t="s">
        <v>1028</v>
      </c>
      <c r="B4" s="1250">
        <v>-8.0125799677304044E-2</v>
      </c>
      <c r="C4" s="1250">
        <v>5.0452693602405922</v>
      </c>
      <c r="D4" s="1250">
        <v>-0.5172013494829677</v>
      </c>
      <c r="E4" s="1250">
        <v>2.453083887847741</v>
      </c>
      <c r="F4" s="1250">
        <v>0.42209578675629755</v>
      </c>
      <c r="G4" s="1250">
        <v>-8.7567598357425336E-2</v>
      </c>
      <c r="H4" s="1250">
        <v>0.49693846413174708</v>
      </c>
      <c r="I4" s="1250">
        <v>0.41564379595869277</v>
      </c>
      <c r="J4" s="1250">
        <v>-0.51769907547526739</v>
      </c>
      <c r="K4" s="1250">
        <v>0.43708995157698599</v>
      </c>
      <c r="L4" s="1250">
        <v>0.53995352755924531</v>
      </c>
      <c r="M4" s="1250">
        <v>0.47758519104821129</v>
      </c>
      <c r="N4" s="1250">
        <v>-0.87857703557715472</v>
      </c>
      <c r="O4" s="1250">
        <v>-0.25872088464280946</v>
      </c>
      <c r="P4" s="1250">
        <v>-0.1802834784414421</v>
      </c>
      <c r="Q4" s="1250">
        <v>-0.31689208067691021</v>
      </c>
      <c r="R4" s="1250">
        <v>-8.0360478566102074E-3</v>
      </c>
      <c r="S4" s="1250">
        <v>0.14437731465855855</v>
      </c>
      <c r="T4" s="1250">
        <v>1.497124237046705E-2</v>
      </c>
      <c r="U4" s="1250">
        <v>6.4082835653038834E-3</v>
      </c>
      <c r="V4" s="1250">
        <v>5.9832193467282699E-3</v>
      </c>
      <c r="W4" s="1250">
        <v>5.6180247430092931E-3</v>
      </c>
      <c r="X4" s="1250">
        <v>5.3052166668059175E-3</v>
      </c>
    </row>
    <row r="5" spans="1:24" x14ac:dyDescent="0.2">
      <c r="A5" s="1031" t="s">
        <v>1029</v>
      </c>
      <c r="B5" s="1028">
        <v>-7.0920784739975096</v>
      </c>
      <c r="C5" s="1028">
        <v>-6.6644036863668639</v>
      </c>
      <c r="D5" s="1028">
        <v>-6.3207418004307252</v>
      </c>
      <c r="E5" s="1028">
        <v>-5.3983325704392886</v>
      </c>
      <c r="F5" s="1028">
        <v>-1.9175195613638696</v>
      </c>
      <c r="G5" s="1028">
        <v>-1.7695664275804919</v>
      </c>
      <c r="H5" s="1028">
        <v>-2.346919673598308</v>
      </c>
      <c r="I5" s="1028">
        <v>-3.3548769634121154</v>
      </c>
      <c r="J5" s="1028">
        <v>-3.5096256207825771</v>
      </c>
      <c r="K5" s="1028">
        <v>-3.0252241704637322</v>
      </c>
      <c r="L5" s="1028">
        <v>-7.6403145438474276</v>
      </c>
      <c r="M5" s="1028">
        <v>-7.2444400055855418</v>
      </c>
      <c r="N5" s="1028">
        <v>-5.2822268317811352</v>
      </c>
      <c r="O5" s="1028">
        <v>-4.5237745765025892</v>
      </c>
      <c r="P5" s="1028">
        <v>-2.41583464892771</v>
      </c>
      <c r="Q5" s="1028">
        <v>-2.615421438915781</v>
      </c>
      <c r="R5" s="1028">
        <v>-2.3060476654781712</v>
      </c>
      <c r="S5" s="1028">
        <v>-1.8490273783935649</v>
      </c>
      <c r="T5" s="1028">
        <v>-0.8363388509922538</v>
      </c>
      <c r="U5" s="1028">
        <v>-1.0543028906636884</v>
      </c>
      <c r="V5" s="1028">
        <v>-0.90218880263743162</v>
      </c>
      <c r="W5" s="1028">
        <v>-0.79113156780355864</v>
      </c>
      <c r="X5" s="1028">
        <v>-0.22951381078253638</v>
      </c>
    </row>
    <row r="9" spans="1:24" x14ac:dyDescent="0.2">
      <c r="F9" s="1188" t="s">
        <v>1030</v>
      </c>
    </row>
  </sheetData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6F64-4AE8-42D4-8277-DFECA4BC7C11}">
  <sheetPr>
    <pageSetUpPr fitToPage="1"/>
  </sheetPr>
  <dimension ref="A1:AC47"/>
  <sheetViews>
    <sheetView showGridLines="0" workbookViewId="0">
      <selection activeCell="J2" sqref="J2"/>
    </sheetView>
  </sheetViews>
  <sheetFormatPr defaultRowHeight="12.75" x14ac:dyDescent="0.2"/>
  <cols>
    <col min="1" max="1" width="38.140625" style="272" customWidth="1"/>
    <col min="2" max="2" width="8.5703125" style="272" customWidth="1"/>
    <col min="3" max="6" width="9.140625" style="272"/>
    <col min="7" max="7" width="9.140625" style="998"/>
    <col min="8" max="15" width="9.140625" style="272"/>
    <col min="16" max="16" width="34.42578125" style="272" customWidth="1"/>
    <col min="17" max="17" width="9.85546875" style="272" customWidth="1"/>
    <col min="18" max="24" width="9.140625" style="272"/>
    <col min="25" max="25" width="9.140625" style="998"/>
    <col min="26" max="16384" width="9.140625" style="272"/>
  </cols>
  <sheetData>
    <row r="1" spans="1:26" x14ac:dyDescent="0.2">
      <c r="A1" s="1251"/>
      <c r="B1" s="1252"/>
      <c r="C1" s="1252"/>
      <c r="D1" s="1252"/>
      <c r="E1" s="1252"/>
      <c r="F1" s="1252"/>
      <c r="P1" s="956"/>
      <c r="Q1" s="956"/>
      <c r="R1" s="956"/>
      <c r="S1" s="956"/>
      <c r="T1" s="956"/>
      <c r="U1" s="956"/>
      <c r="V1" s="956"/>
      <c r="W1" s="956"/>
      <c r="X1" s="956"/>
      <c r="Z1" s="998"/>
    </row>
    <row r="2" spans="1:26" x14ac:dyDescent="0.2">
      <c r="A2" s="1253" t="s">
        <v>211</v>
      </c>
      <c r="B2" s="1254">
        <v>2017</v>
      </c>
      <c r="C2" s="1254">
        <v>2018</v>
      </c>
      <c r="D2" s="1254">
        <v>2019</v>
      </c>
      <c r="E2" s="1254">
        <v>2020</v>
      </c>
      <c r="F2" s="1254">
        <v>2021</v>
      </c>
      <c r="J2" s="1174" t="s">
        <v>1031</v>
      </c>
      <c r="K2" s="1255"/>
      <c r="P2" s="1619"/>
      <c r="Q2" s="1619"/>
      <c r="R2" s="1619"/>
      <c r="S2" s="1619"/>
      <c r="T2" s="1052"/>
      <c r="U2" s="1256"/>
      <c r="V2" s="1256"/>
      <c r="W2" s="1256"/>
      <c r="X2" s="956"/>
      <c r="Z2" s="998"/>
    </row>
    <row r="3" spans="1:26" x14ac:dyDescent="0.2">
      <c r="A3" s="1257" t="s">
        <v>1032</v>
      </c>
      <c r="B3" s="1258">
        <v>1.251658468036094</v>
      </c>
      <c r="C3" s="1258">
        <v>-0.58988908425776876</v>
      </c>
      <c r="D3" s="1258">
        <v>-0.28632901310966952</v>
      </c>
      <c r="E3" s="1258">
        <v>-1.334431210938658E-2</v>
      </c>
      <c r="F3" s="1258">
        <v>0.72177637399402306</v>
      </c>
      <c r="P3" s="956"/>
      <c r="Q3" s="956"/>
      <c r="R3" s="956"/>
      <c r="S3" s="956"/>
      <c r="T3" s="956"/>
      <c r="U3" s="956"/>
      <c r="V3" s="956"/>
      <c r="W3" s="956"/>
      <c r="X3" s="956"/>
      <c r="Z3" s="998"/>
    </row>
    <row r="4" spans="1:26" x14ac:dyDescent="0.2">
      <c r="A4" s="1259" t="s">
        <v>1033</v>
      </c>
      <c r="B4" s="1260">
        <v>0.55156160455017667</v>
      </c>
      <c r="C4" s="1260">
        <v>0.75538746534938961</v>
      </c>
      <c r="D4" s="1260">
        <v>1.0104015259348129</v>
      </c>
      <c r="E4" s="1260">
        <v>1.0535118541309312</v>
      </c>
      <c r="F4" s="1260">
        <v>0.41287426611458161</v>
      </c>
      <c r="P4" s="1261"/>
      <c r="Q4" s="1262"/>
      <c r="R4" s="1262"/>
      <c r="S4" s="1262"/>
      <c r="T4" s="1262"/>
      <c r="U4" s="1262"/>
      <c r="V4" s="1262"/>
      <c r="W4" s="1262"/>
      <c r="X4" s="1262"/>
      <c r="Z4" s="998"/>
    </row>
    <row r="5" spans="1:26" s="956" customFormat="1" x14ac:dyDescent="0.2">
      <c r="B5" s="1263"/>
      <c r="C5" s="1263"/>
      <c r="D5" s="1263"/>
      <c r="E5" s="1263"/>
      <c r="F5" s="1263"/>
      <c r="P5" s="1264"/>
      <c r="Q5" s="1262"/>
      <c r="R5" s="1262"/>
      <c r="S5" s="1262"/>
      <c r="T5" s="1262"/>
      <c r="U5" s="1262"/>
      <c r="V5" s="1262"/>
      <c r="W5" s="1262"/>
      <c r="X5" s="1262"/>
      <c r="Y5" s="998"/>
      <c r="Z5" s="998"/>
    </row>
    <row r="6" spans="1:26" s="956" customFormat="1" x14ac:dyDescent="0.2">
      <c r="A6" s="1253" t="s">
        <v>1034</v>
      </c>
      <c r="B6" s="1254">
        <v>2017</v>
      </c>
      <c r="C6" s="1254">
        <v>2018</v>
      </c>
      <c r="D6" s="1254">
        <v>2019</v>
      </c>
      <c r="E6" s="1254">
        <v>2020</v>
      </c>
      <c r="F6" s="1254">
        <v>2021</v>
      </c>
      <c r="P6" s="1265"/>
      <c r="Q6" s="1265"/>
      <c r="R6" s="1266"/>
      <c r="S6" s="1266"/>
      <c r="T6" s="1266"/>
      <c r="U6" s="1266"/>
      <c r="V6" s="1266"/>
      <c r="W6" s="1266"/>
      <c r="X6" s="1266"/>
      <c r="Y6" s="998"/>
      <c r="Z6" s="998"/>
    </row>
    <row r="7" spans="1:26" s="956" customFormat="1" x14ac:dyDescent="0.2">
      <c r="A7" s="1257" t="s">
        <v>1032</v>
      </c>
      <c r="B7" s="1258">
        <v>0.61759631382791635</v>
      </c>
      <c r="C7" s="1258">
        <v>0.64975532477782127</v>
      </c>
      <c r="D7" s="1258">
        <v>0.30794696754348005</v>
      </c>
      <c r="E7" s="1258">
        <v>-0.97148399661967577</v>
      </c>
      <c r="F7" s="1258">
        <v>-0.91331318112625026</v>
      </c>
      <c r="P7" s="1267"/>
      <c r="Q7" s="1268"/>
      <c r="R7" s="1268"/>
      <c r="S7" s="1268"/>
      <c r="T7" s="1268"/>
      <c r="U7" s="1268"/>
      <c r="V7" s="1268"/>
      <c r="W7" s="1268"/>
      <c r="X7" s="1268"/>
    </row>
    <row r="8" spans="1:26" s="956" customFormat="1" x14ac:dyDescent="0.2">
      <c r="A8" s="1259" t="s">
        <v>1035</v>
      </c>
      <c r="B8" s="1260">
        <v>0.13851173470652545</v>
      </c>
      <c r="C8" s="1260">
        <v>0.55284119144566346</v>
      </c>
      <c r="D8" s="1260">
        <v>1.2066913895963918</v>
      </c>
      <c r="E8" s="1260">
        <v>1.2809644075061895</v>
      </c>
      <c r="F8" s="1260">
        <v>1.2345563159508914</v>
      </c>
      <c r="P8" s="1251"/>
      <c r="Q8" s="1252"/>
      <c r="R8" s="1252"/>
      <c r="S8" s="1252"/>
      <c r="T8" s="1252"/>
      <c r="U8" s="1252"/>
      <c r="V8" s="1252"/>
      <c r="W8" s="1252"/>
      <c r="X8" s="1252"/>
      <c r="Y8" s="1052"/>
      <c r="Z8" s="1052"/>
    </row>
    <row r="9" spans="1:26" x14ac:dyDescent="0.2">
      <c r="P9" s="1269"/>
      <c r="Q9" s="1252"/>
      <c r="R9" s="1252"/>
      <c r="S9" s="1252"/>
      <c r="T9" s="1252"/>
      <c r="U9" s="1252"/>
      <c r="V9" s="1252"/>
      <c r="W9" s="1252"/>
      <c r="X9" s="1252"/>
      <c r="Y9" s="956"/>
      <c r="Z9" s="956"/>
    </row>
    <row r="10" spans="1:26" x14ac:dyDescent="0.2">
      <c r="A10" s="1253" t="s">
        <v>1036</v>
      </c>
      <c r="B10" s="1254">
        <v>2017</v>
      </c>
      <c r="C10" s="1254">
        <v>2018</v>
      </c>
      <c r="D10" s="1254">
        <v>2019</v>
      </c>
      <c r="E10" s="1254">
        <v>2020</v>
      </c>
      <c r="F10" s="1254">
        <v>2021</v>
      </c>
      <c r="P10" s="1261"/>
      <c r="Q10" s="1261"/>
      <c r="R10" s="1270"/>
      <c r="S10" s="1270"/>
      <c r="T10" s="956"/>
      <c r="U10" s="956"/>
      <c r="V10" s="956"/>
      <c r="W10" s="956"/>
      <c r="X10" s="956"/>
      <c r="Y10" s="956"/>
      <c r="Z10" s="956"/>
    </row>
    <row r="11" spans="1:26" x14ac:dyDescent="0.2">
      <c r="A11" s="1257" t="s">
        <v>1032</v>
      </c>
      <c r="B11" s="1258">
        <v>8.8516366660843226E-2</v>
      </c>
      <c r="C11" s="1258">
        <v>0.60120040719829282</v>
      </c>
      <c r="D11" s="1258">
        <v>0.31030314778693957</v>
      </c>
      <c r="E11" s="1258">
        <v>3.5515257573415226E-4</v>
      </c>
      <c r="F11" s="1258">
        <v>-1.7270717560365536</v>
      </c>
      <c r="P11" s="1271"/>
      <c r="Q11" s="1271"/>
      <c r="R11" s="1272"/>
      <c r="S11" s="1272"/>
      <c r="T11" s="956"/>
      <c r="U11" s="956"/>
      <c r="V11" s="956"/>
      <c r="W11" s="956"/>
      <c r="X11" s="956"/>
      <c r="Y11" s="956"/>
      <c r="Z11" s="956"/>
    </row>
    <row r="12" spans="1:26" x14ac:dyDescent="0.2">
      <c r="A12" s="1259" t="s">
        <v>1035</v>
      </c>
      <c r="B12" s="1260">
        <v>0.13851173470652545</v>
      </c>
      <c r="C12" s="1260">
        <v>0.55284119144566346</v>
      </c>
      <c r="D12" s="1260">
        <v>1.2066913895963918</v>
      </c>
      <c r="E12" s="1260">
        <v>1.2809644075061895</v>
      </c>
      <c r="F12" s="1260">
        <v>1.2345563159508914</v>
      </c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</row>
    <row r="13" spans="1:26" x14ac:dyDescent="0.2">
      <c r="P13" s="956"/>
      <c r="Q13" s="956"/>
      <c r="R13" s="956"/>
      <c r="S13" s="956"/>
      <c r="T13" s="956"/>
      <c r="U13" s="956"/>
      <c r="V13" s="956"/>
      <c r="W13" s="956"/>
      <c r="X13" s="956"/>
      <c r="Y13" s="956"/>
      <c r="Z13" s="956"/>
    </row>
    <row r="14" spans="1:26" x14ac:dyDescent="0.2">
      <c r="H14" s="1188"/>
      <c r="P14" s="956"/>
      <c r="Q14" s="1273"/>
      <c r="R14" s="1273"/>
      <c r="S14" s="1273"/>
      <c r="T14" s="1273"/>
      <c r="U14" s="1273"/>
      <c r="V14" s="1273"/>
      <c r="W14" s="1273"/>
      <c r="X14" s="1273"/>
      <c r="Y14" s="1273"/>
      <c r="Z14" s="1273"/>
    </row>
    <row r="15" spans="1:26" x14ac:dyDescent="0.2">
      <c r="P15" s="1274"/>
      <c r="Q15" s="1262"/>
      <c r="R15" s="1262"/>
      <c r="S15" s="1262"/>
      <c r="T15" s="1262"/>
      <c r="U15" s="1262"/>
      <c r="V15" s="1262"/>
      <c r="W15" s="1262"/>
      <c r="X15" s="1262"/>
      <c r="Y15" s="956"/>
      <c r="Z15" s="1052"/>
    </row>
    <row r="16" spans="1:26" x14ac:dyDescent="0.2">
      <c r="P16" s="1264"/>
      <c r="Q16" s="1262"/>
      <c r="R16" s="1262"/>
      <c r="S16" s="1262"/>
      <c r="T16" s="1262"/>
      <c r="U16" s="1262"/>
      <c r="V16" s="1262"/>
      <c r="W16" s="1262"/>
      <c r="X16" s="1262"/>
      <c r="Y16" s="956"/>
      <c r="Z16" s="956"/>
    </row>
    <row r="17" spans="16:29" x14ac:dyDescent="0.2">
      <c r="P17" s="1265"/>
      <c r="Q17" s="1265"/>
      <c r="R17" s="1266"/>
      <c r="S17" s="1266"/>
      <c r="T17" s="1266"/>
      <c r="U17" s="1266"/>
      <c r="V17" s="1266"/>
      <c r="W17" s="1266"/>
      <c r="X17" s="1266"/>
      <c r="Y17" s="956"/>
      <c r="Z17" s="956"/>
    </row>
    <row r="18" spans="16:29" x14ac:dyDescent="0.2">
      <c r="P18" s="1267"/>
      <c r="Q18" s="1268"/>
      <c r="R18" s="1268"/>
      <c r="S18" s="1268"/>
      <c r="T18" s="1268"/>
      <c r="U18" s="1268"/>
      <c r="V18" s="1268"/>
      <c r="W18" s="1268"/>
      <c r="X18" s="1268"/>
      <c r="Y18" s="956"/>
      <c r="Z18" s="956"/>
    </row>
    <row r="19" spans="16:29" x14ac:dyDescent="0.2">
      <c r="P19" s="1275"/>
      <c r="Q19" s="1252"/>
      <c r="R19" s="1252"/>
      <c r="S19" s="1252"/>
      <c r="T19" s="1252"/>
      <c r="U19" s="1252"/>
      <c r="V19" s="1252"/>
      <c r="W19" s="1252"/>
      <c r="X19" s="1252"/>
      <c r="Y19" s="956"/>
      <c r="Z19" s="1052"/>
    </row>
    <row r="20" spans="16:29" x14ac:dyDescent="0.2">
      <c r="P20" s="1269"/>
      <c r="Q20" s="1252"/>
      <c r="R20" s="1252"/>
      <c r="S20" s="1252"/>
      <c r="T20" s="1252"/>
      <c r="U20" s="1252"/>
      <c r="V20" s="1252"/>
      <c r="W20" s="1252"/>
      <c r="X20" s="1252"/>
      <c r="Y20" s="956"/>
      <c r="Z20" s="956"/>
    </row>
    <row r="21" spans="16:29" x14ac:dyDescent="0.2">
      <c r="P21" s="1261"/>
      <c r="Q21" s="1261"/>
      <c r="R21" s="1270"/>
      <c r="S21" s="1270"/>
      <c r="T21" s="956"/>
      <c r="U21" s="956"/>
      <c r="V21" s="956"/>
      <c r="W21" s="956"/>
      <c r="X21" s="956"/>
      <c r="Y21" s="956"/>
      <c r="Z21" s="956"/>
    </row>
    <row r="22" spans="16:29" x14ac:dyDescent="0.2">
      <c r="P22" s="1271"/>
      <c r="Q22" s="1271"/>
      <c r="R22" s="1272"/>
      <c r="S22" s="1272"/>
      <c r="T22" s="956"/>
      <c r="U22" s="956"/>
      <c r="V22" s="956"/>
      <c r="W22" s="956"/>
      <c r="X22" s="956"/>
      <c r="Y22" s="956"/>
      <c r="Z22" s="956"/>
    </row>
    <row r="23" spans="16:29" x14ac:dyDescent="0.2">
      <c r="P23" s="956"/>
      <c r="Q23" s="956"/>
      <c r="R23" s="956"/>
      <c r="S23" s="956"/>
      <c r="T23" s="956"/>
      <c r="U23" s="956"/>
      <c r="V23" s="956"/>
      <c r="W23" s="956"/>
      <c r="X23" s="956"/>
      <c r="Y23" s="956"/>
      <c r="Z23" s="956"/>
    </row>
    <row r="24" spans="16:29" x14ac:dyDescent="0.2">
      <c r="P24" s="956"/>
      <c r="Q24" s="956"/>
      <c r="R24" s="956"/>
      <c r="S24" s="956"/>
      <c r="T24" s="956"/>
      <c r="U24" s="956"/>
      <c r="V24" s="956"/>
      <c r="W24" s="956"/>
      <c r="X24" s="956"/>
      <c r="Y24" s="956"/>
      <c r="Z24" s="956"/>
    </row>
    <row r="25" spans="16:29" x14ac:dyDescent="0.2">
      <c r="P25" s="956"/>
      <c r="Q25" s="956"/>
      <c r="R25" s="956"/>
      <c r="S25" s="956"/>
      <c r="T25" s="956"/>
      <c r="U25" s="956"/>
      <c r="V25" s="956"/>
      <c r="W25" s="956"/>
      <c r="X25" s="956"/>
      <c r="Y25" s="956"/>
      <c r="Z25" s="956"/>
    </row>
    <row r="26" spans="16:29" x14ac:dyDescent="0.2">
      <c r="P26" s="1274"/>
      <c r="Q26" s="1262"/>
      <c r="R26" s="1262"/>
      <c r="S26" s="1262"/>
      <c r="T26" s="1262"/>
      <c r="U26" s="1262"/>
      <c r="V26" s="1262"/>
      <c r="W26" s="1262"/>
      <c r="X26" s="1262"/>
      <c r="Y26" s="1262"/>
      <c r="Z26" s="956"/>
      <c r="AA26" s="956"/>
      <c r="AB26" s="956"/>
      <c r="AC26" s="956"/>
    </row>
    <row r="27" spans="16:29" x14ac:dyDescent="0.2">
      <c r="P27" s="1264"/>
      <c r="Q27" s="1262"/>
      <c r="R27" s="1262"/>
      <c r="S27" s="1262"/>
      <c r="T27" s="1262"/>
      <c r="U27" s="1262"/>
      <c r="V27" s="1262"/>
      <c r="W27" s="1262"/>
      <c r="X27" s="1262"/>
      <c r="Y27" s="1262"/>
      <c r="Z27" s="956"/>
      <c r="AA27" s="956"/>
      <c r="AB27" s="956"/>
      <c r="AC27" s="956"/>
    </row>
    <row r="28" spans="16:29" x14ac:dyDescent="0.2">
      <c r="P28" s="1265"/>
      <c r="Q28" s="1265"/>
      <c r="R28" s="1266"/>
      <c r="S28" s="1266"/>
      <c r="T28" s="1266"/>
      <c r="U28" s="1266"/>
      <c r="V28" s="1266"/>
      <c r="W28" s="1266"/>
      <c r="X28" s="1266"/>
      <c r="Y28" s="956"/>
      <c r="Z28" s="956"/>
      <c r="AA28" s="956"/>
      <c r="AB28" s="956"/>
      <c r="AC28" s="956"/>
    </row>
    <row r="29" spans="16:29" x14ac:dyDescent="0.2">
      <c r="P29" s="1267"/>
      <c r="Q29" s="1268"/>
      <c r="R29" s="1268"/>
      <c r="S29" s="1268"/>
      <c r="T29" s="1268"/>
      <c r="U29" s="1268"/>
      <c r="V29" s="1268"/>
      <c r="W29" s="1268"/>
      <c r="X29" s="1268"/>
      <c r="Y29" s="956"/>
      <c r="Z29" s="956"/>
      <c r="AA29" s="956"/>
      <c r="AB29" s="956"/>
      <c r="AC29" s="956"/>
    </row>
    <row r="30" spans="16:29" x14ac:dyDescent="0.2">
      <c r="P30" s="1275"/>
      <c r="Q30" s="1252"/>
      <c r="R30" s="1252"/>
      <c r="S30" s="1252"/>
      <c r="T30" s="1252"/>
      <c r="U30" s="1252"/>
      <c r="V30" s="1252"/>
      <c r="W30" s="1252"/>
      <c r="X30" s="1252"/>
      <c r="Y30" s="956"/>
      <c r="Z30" s="1052"/>
      <c r="AA30" s="956"/>
      <c r="AB30" s="956"/>
      <c r="AC30" s="956"/>
    </row>
    <row r="31" spans="16:29" x14ac:dyDescent="0.2">
      <c r="P31" s="1269"/>
      <c r="Q31" s="1252"/>
      <c r="R31" s="1252"/>
      <c r="S31" s="1252"/>
      <c r="T31" s="1252"/>
      <c r="U31" s="1252"/>
      <c r="V31" s="1252"/>
      <c r="W31" s="1252"/>
      <c r="X31" s="1252"/>
      <c r="Y31" s="956"/>
      <c r="Z31" s="956"/>
      <c r="AA31" s="956"/>
      <c r="AB31" s="956"/>
      <c r="AC31" s="956"/>
    </row>
    <row r="32" spans="16:29" x14ac:dyDescent="0.2">
      <c r="P32" s="1261"/>
      <c r="Q32" s="1261"/>
      <c r="R32" s="1270"/>
      <c r="S32" s="1270"/>
      <c r="T32" s="1270"/>
      <c r="U32" s="1270"/>
      <c r="V32" s="1270"/>
      <c r="W32" s="1270"/>
      <c r="X32" s="1270"/>
      <c r="Y32" s="956"/>
      <c r="Z32" s="956"/>
      <c r="AA32" s="956"/>
      <c r="AB32" s="956"/>
      <c r="AC32" s="956"/>
    </row>
    <row r="33" spans="7:29" x14ac:dyDescent="0.2">
      <c r="P33" s="1271"/>
      <c r="Q33" s="1271"/>
      <c r="R33" s="1272"/>
      <c r="S33" s="1272"/>
      <c r="T33" s="1272"/>
      <c r="U33" s="1272"/>
      <c r="V33" s="1272"/>
      <c r="W33" s="1272"/>
      <c r="X33" s="1272"/>
      <c r="Y33" s="956"/>
      <c r="Z33" s="956"/>
      <c r="AA33" s="956"/>
      <c r="AB33" s="956"/>
      <c r="AC33" s="956"/>
    </row>
    <row r="34" spans="7:29" x14ac:dyDescent="0.2">
      <c r="H34" s="1188"/>
      <c r="J34" s="1188"/>
      <c r="P34" s="956"/>
      <c r="Q34" s="956"/>
      <c r="R34" s="956"/>
      <c r="S34" s="1272"/>
      <c r="T34" s="1272"/>
      <c r="U34" s="1272"/>
      <c r="V34" s="1272"/>
      <c r="W34" s="1272"/>
      <c r="X34" s="1272"/>
      <c r="Y34" s="956"/>
      <c r="Z34" s="956"/>
      <c r="AA34" s="956"/>
      <c r="AB34" s="956"/>
      <c r="AC34" s="956"/>
    </row>
    <row r="35" spans="7:29" x14ac:dyDescent="0.2"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</row>
    <row r="36" spans="7:29" x14ac:dyDescent="0.2">
      <c r="P36" s="956"/>
      <c r="Q36" s="956"/>
      <c r="R36" s="956"/>
      <c r="S36" s="956"/>
      <c r="T36" s="956"/>
      <c r="U36" s="956"/>
      <c r="V36" s="956"/>
      <c r="W36" s="956"/>
      <c r="X36" s="956"/>
      <c r="Y36" s="956"/>
      <c r="Z36" s="956"/>
      <c r="AA36" s="956"/>
      <c r="AB36" s="956"/>
      <c r="AC36" s="956"/>
    </row>
    <row r="37" spans="7:29" x14ac:dyDescent="0.2">
      <c r="G37" s="1181"/>
      <c r="P37" s="956"/>
      <c r="Q37" s="956"/>
      <c r="R37" s="956"/>
      <c r="S37" s="956"/>
      <c r="T37" s="956"/>
      <c r="U37" s="956"/>
      <c r="V37" s="956"/>
      <c r="W37" s="956"/>
      <c r="X37" s="956"/>
      <c r="Y37" s="956"/>
      <c r="Z37" s="956"/>
    </row>
    <row r="38" spans="7:29" x14ac:dyDescent="0.2">
      <c r="P38" s="956"/>
      <c r="Q38" s="956"/>
      <c r="R38" s="956"/>
      <c r="S38" s="956"/>
      <c r="T38" s="956"/>
      <c r="U38" s="956"/>
      <c r="V38" s="956"/>
      <c r="W38" s="956"/>
      <c r="X38" s="956"/>
      <c r="Y38" s="956"/>
      <c r="Z38" s="956"/>
    </row>
    <row r="39" spans="7:29" x14ac:dyDescent="0.2">
      <c r="P39" s="956"/>
      <c r="Q39" s="956"/>
      <c r="R39" s="956"/>
      <c r="S39" s="956"/>
      <c r="T39" s="956"/>
      <c r="U39" s="956"/>
      <c r="V39" s="956"/>
      <c r="W39" s="956"/>
      <c r="X39" s="956"/>
      <c r="Y39" s="956"/>
      <c r="Z39" s="956"/>
    </row>
    <row r="40" spans="7:29" x14ac:dyDescent="0.2">
      <c r="P40" s="956"/>
      <c r="Q40" s="956"/>
      <c r="R40" s="956"/>
      <c r="S40" s="956"/>
      <c r="T40" s="956"/>
      <c r="U40" s="956"/>
      <c r="V40" s="956"/>
      <c r="W40" s="956"/>
      <c r="X40" s="956"/>
      <c r="Y40" s="956"/>
      <c r="Z40" s="956"/>
    </row>
    <row r="41" spans="7:29" x14ac:dyDescent="0.2">
      <c r="P41" s="956"/>
      <c r="Q41" s="956"/>
      <c r="R41" s="956"/>
      <c r="S41" s="956"/>
      <c r="T41" s="956"/>
      <c r="U41" s="956"/>
      <c r="V41" s="956"/>
      <c r="W41" s="956"/>
      <c r="X41" s="956"/>
      <c r="Y41" s="956"/>
      <c r="Z41" s="956"/>
    </row>
    <row r="42" spans="7:29" x14ac:dyDescent="0.2"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</row>
    <row r="43" spans="7:29" x14ac:dyDescent="0.2">
      <c r="P43" s="956"/>
      <c r="Q43" s="956"/>
      <c r="R43" s="956"/>
      <c r="S43" s="956"/>
      <c r="T43" s="956"/>
      <c r="U43" s="956"/>
      <c r="V43" s="956"/>
      <c r="W43" s="956"/>
      <c r="X43" s="956"/>
      <c r="Y43" s="956"/>
      <c r="Z43" s="956"/>
    </row>
    <row r="44" spans="7:29" x14ac:dyDescent="0.2">
      <c r="P44" s="956"/>
      <c r="Q44" s="956"/>
      <c r="R44" s="956"/>
      <c r="S44" s="956"/>
      <c r="T44" s="956"/>
      <c r="U44" s="956"/>
      <c r="V44" s="956"/>
      <c r="W44" s="956"/>
      <c r="X44" s="956"/>
      <c r="Y44" s="956"/>
      <c r="Z44" s="956"/>
    </row>
    <row r="45" spans="7:29" x14ac:dyDescent="0.2">
      <c r="P45" s="956"/>
      <c r="Q45" s="956"/>
      <c r="R45" s="956"/>
      <c r="S45" s="956"/>
      <c r="T45" s="956"/>
      <c r="U45" s="956"/>
      <c r="V45" s="956"/>
      <c r="W45" s="956"/>
      <c r="X45" s="956"/>
      <c r="Y45" s="956"/>
      <c r="Z45" s="956"/>
    </row>
    <row r="46" spans="7:29" x14ac:dyDescent="0.2"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</row>
    <row r="47" spans="7:29" x14ac:dyDescent="0.2">
      <c r="P47" s="956"/>
      <c r="Q47" s="956"/>
      <c r="R47" s="956"/>
      <c r="S47" s="956"/>
      <c r="T47" s="956"/>
      <c r="U47" s="956"/>
      <c r="V47" s="956"/>
      <c r="W47" s="956"/>
      <c r="X47" s="956"/>
      <c r="Y47" s="956"/>
      <c r="Z47" s="956"/>
    </row>
  </sheetData>
  <mergeCells count="1">
    <mergeCell ref="P2:S2"/>
  </mergeCells>
  <pageMargins left="0.7" right="0.7" top="0.75" bottom="0.75" header="0.3" footer="0.3"/>
  <pageSetup paperSize="9" scale="43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A95C-78ED-4B66-9BAA-E6244843828A}">
  <dimension ref="A1:T108"/>
  <sheetViews>
    <sheetView showGridLines="0" workbookViewId="0">
      <selection activeCell="M1" sqref="M1"/>
    </sheetView>
  </sheetViews>
  <sheetFormatPr defaultRowHeight="12.75" x14ac:dyDescent="0.2"/>
  <cols>
    <col min="1" max="1" width="40.5703125" style="272" customWidth="1"/>
    <col min="2" max="16384" width="9.140625" style="272"/>
  </cols>
  <sheetData>
    <row r="1" spans="1:19" x14ac:dyDescent="0.2">
      <c r="A1" s="1249"/>
      <c r="B1" s="1276">
        <v>2013</v>
      </c>
      <c r="C1" s="1276">
        <v>2014</v>
      </c>
      <c r="D1" s="1276">
        <v>2015</v>
      </c>
      <c r="E1" s="534">
        <v>2016</v>
      </c>
      <c r="F1" s="1276">
        <v>2017</v>
      </c>
      <c r="G1" s="534">
        <v>2018</v>
      </c>
      <c r="H1" s="534">
        <v>2019</v>
      </c>
      <c r="I1" s="534">
        <v>2020</v>
      </c>
      <c r="J1" s="534">
        <v>2021</v>
      </c>
      <c r="M1" s="1174" t="s">
        <v>1037</v>
      </c>
      <c r="N1" s="1277"/>
      <c r="O1" s="1277"/>
      <c r="P1" s="1277"/>
      <c r="Q1" s="1277"/>
      <c r="R1" s="1277"/>
      <c r="S1" s="1278"/>
    </row>
    <row r="2" spans="1:19" x14ac:dyDescent="0.2">
      <c r="A2" s="1279" t="s">
        <v>1038</v>
      </c>
      <c r="B2" s="1280">
        <v>2.732625771167223</v>
      </c>
      <c r="C2" s="1280">
        <v>2.7594402405489791</v>
      </c>
      <c r="D2" s="1280">
        <v>5.4382381936535813</v>
      </c>
      <c r="E2" s="1281">
        <v>2.1297560326226774</v>
      </c>
      <c r="F2" s="1280">
        <v>1.6878105463003248</v>
      </c>
      <c r="G2" s="1280">
        <v>1.6246781377184965</v>
      </c>
      <c r="H2" s="1280">
        <v>1.7211999869204884</v>
      </c>
      <c r="I2" s="1280">
        <v>2.7381522681289292</v>
      </c>
      <c r="J2" s="1280">
        <v>2.0047916992665118</v>
      </c>
      <c r="K2" s="998"/>
      <c r="L2" s="998"/>
      <c r="M2" s="998"/>
      <c r="N2" s="998"/>
      <c r="O2" s="998"/>
      <c r="P2" s="998"/>
      <c r="Q2" s="998"/>
      <c r="R2" s="998"/>
      <c r="S2" s="998"/>
    </row>
    <row r="3" spans="1:19" x14ac:dyDescent="0.2">
      <c r="A3" s="1279" t="s">
        <v>1039</v>
      </c>
      <c r="B3" s="1281">
        <v>2.732625771167223</v>
      </c>
      <c r="C3" s="1281">
        <v>2.7594402405489791</v>
      </c>
      <c r="D3" s="1281">
        <v>5.4382381936535813</v>
      </c>
      <c r="E3" s="1281">
        <v>2.1297560326226774</v>
      </c>
      <c r="F3" s="1281">
        <v>2.2168904934673979</v>
      </c>
      <c r="G3" s="1281">
        <v>2.2023130024650981</v>
      </c>
      <c r="H3" s="1281">
        <v>2.2964786714236305</v>
      </c>
      <c r="I3" s="1281">
        <v>2.3415918034366614</v>
      </c>
      <c r="J3" s="1281">
        <v>2.4219898094845473</v>
      </c>
      <c r="K3" s="998"/>
      <c r="L3" s="998"/>
      <c r="M3" s="998"/>
      <c r="N3" s="998"/>
      <c r="O3" s="998"/>
      <c r="P3" s="998"/>
      <c r="Q3" s="998"/>
      <c r="R3" s="998"/>
      <c r="S3" s="998"/>
    </row>
    <row r="4" spans="1:19" x14ac:dyDescent="0.2">
      <c r="A4" s="1279" t="s">
        <v>1040</v>
      </c>
      <c r="B4" s="998"/>
      <c r="C4" s="998"/>
      <c r="D4" s="1281">
        <v>5.4906695568820716</v>
      </c>
      <c r="E4" s="1281">
        <v>2.1297560326226774</v>
      </c>
      <c r="F4" s="1281">
        <v>1.6878106572243443</v>
      </c>
      <c r="G4" s="1281">
        <v>2.0906761038678385</v>
      </c>
      <c r="H4" s="1281">
        <v>2.4328997306783453</v>
      </c>
      <c r="I4" s="1281">
        <v>2.5000692378364122</v>
      </c>
      <c r="J4" s="1281">
        <v>2.4262297446217151</v>
      </c>
      <c r="K4" s="998"/>
      <c r="L4" s="998"/>
      <c r="M4" s="998"/>
      <c r="N4" s="998"/>
      <c r="O4" s="998"/>
      <c r="P4" s="998"/>
      <c r="Q4" s="998"/>
      <c r="R4" s="998"/>
      <c r="S4" s="998"/>
    </row>
    <row r="5" spans="1:19" x14ac:dyDescent="0.2">
      <c r="A5" s="1282"/>
      <c r="B5" s="981"/>
      <c r="C5" s="981"/>
      <c r="D5" s="981"/>
      <c r="E5" s="981"/>
      <c r="F5" s="956"/>
      <c r="G5" s="956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</row>
    <row r="6" spans="1:19" x14ac:dyDescent="0.2">
      <c r="A6" s="1074"/>
      <c r="B6" s="1283"/>
      <c r="C6" s="1283"/>
      <c r="D6" s="1283"/>
      <c r="E6" s="1283"/>
      <c r="F6" s="956"/>
      <c r="G6" s="956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8"/>
    </row>
    <row r="7" spans="1:19" x14ac:dyDescent="0.2">
      <c r="A7" s="1284"/>
      <c r="B7" s="1283"/>
      <c r="C7" s="1283"/>
      <c r="D7" s="1283"/>
      <c r="E7" s="1283"/>
      <c r="F7" s="1283"/>
      <c r="G7" s="1283"/>
      <c r="H7" s="1283"/>
      <c r="I7" s="1283"/>
      <c r="J7" s="1283"/>
      <c r="L7" s="998"/>
      <c r="M7" s="998"/>
      <c r="N7" s="998"/>
      <c r="O7" s="998"/>
      <c r="P7" s="998"/>
      <c r="Q7" s="998"/>
      <c r="R7" s="998"/>
      <c r="S7" s="998"/>
    </row>
    <row r="8" spans="1:19" x14ac:dyDescent="0.2">
      <c r="A8" s="1271"/>
      <c r="B8" s="1283"/>
      <c r="C8" s="1283"/>
      <c r="D8" s="1283"/>
      <c r="E8" s="1283"/>
      <c r="F8" s="1283"/>
      <c r="G8" s="1283"/>
      <c r="H8" s="1283"/>
      <c r="I8" s="1283"/>
      <c r="J8" s="1283"/>
      <c r="K8" s="998"/>
      <c r="L8" s="998"/>
      <c r="M8" s="998"/>
      <c r="N8" s="998"/>
      <c r="O8" s="998"/>
      <c r="P8" s="998"/>
      <c r="Q8" s="998"/>
      <c r="R8" s="998"/>
      <c r="S8" s="998"/>
    </row>
    <row r="9" spans="1:19" x14ac:dyDescent="0.2">
      <c r="A9" s="1271"/>
      <c r="B9" s="1283"/>
      <c r="C9" s="1283"/>
      <c r="D9" s="1283"/>
      <c r="E9" s="1283"/>
      <c r="F9" s="1283"/>
      <c r="G9" s="1283"/>
      <c r="H9" s="1283"/>
      <c r="I9" s="1283"/>
      <c r="J9" s="1283"/>
      <c r="L9" s="998"/>
      <c r="M9" s="998"/>
      <c r="N9" s="998"/>
      <c r="O9" s="998"/>
      <c r="P9" s="998"/>
      <c r="Q9" s="998"/>
      <c r="R9" s="998"/>
      <c r="S9" s="998"/>
    </row>
    <row r="10" spans="1:19" x14ac:dyDescent="0.2">
      <c r="A10" s="956"/>
      <c r="J10" s="998"/>
      <c r="K10" s="998"/>
      <c r="L10" s="998"/>
      <c r="M10" s="998"/>
      <c r="N10" s="998"/>
      <c r="O10" s="998"/>
      <c r="P10" s="998"/>
      <c r="Q10" s="998"/>
      <c r="R10" s="998"/>
      <c r="S10" s="998"/>
    </row>
    <row r="11" spans="1:19" x14ac:dyDescent="0.2">
      <c r="A11" s="956"/>
      <c r="B11" s="956"/>
      <c r="C11" s="956"/>
      <c r="D11" s="956"/>
      <c r="E11" s="956"/>
      <c r="F11" s="956"/>
      <c r="G11" s="956"/>
      <c r="H11" s="998"/>
      <c r="I11" s="998"/>
      <c r="J11" s="998"/>
      <c r="K11" s="998"/>
      <c r="L11" s="998"/>
      <c r="M11" s="998"/>
      <c r="N11" s="998"/>
      <c r="O11" s="998"/>
      <c r="P11" s="998"/>
      <c r="Q11" s="998"/>
      <c r="R11" s="998"/>
      <c r="S11" s="998"/>
    </row>
    <row r="12" spans="1:19" x14ac:dyDescent="0.2">
      <c r="A12" s="1282"/>
      <c r="B12" s="956"/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98"/>
      <c r="N12" s="998"/>
      <c r="O12" s="998"/>
      <c r="P12" s="998"/>
      <c r="Q12" s="998"/>
      <c r="R12" s="998"/>
      <c r="S12" s="998"/>
    </row>
    <row r="13" spans="1:19" x14ac:dyDescent="0.2">
      <c r="A13" s="956"/>
      <c r="B13" s="1283"/>
      <c r="C13" s="1283"/>
      <c r="D13" s="1283"/>
      <c r="E13" s="1283"/>
      <c r="F13" s="1283"/>
      <c r="G13" s="1283"/>
      <c r="H13" s="1283"/>
      <c r="I13" s="1283"/>
      <c r="J13" s="1283"/>
      <c r="K13" s="956"/>
      <c r="L13" s="956"/>
      <c r="M13" s="998"/>
      <c r="N13" s="998"/>
      <c r="O13" s="998"/>
      <c r="P13" s="998"/>
      <c r="Q13" s="998"/>
      <c r="R13" s="998"/>
      <c r="S13" s="998"/>
    </row>
    <row r="14" spans="1:19" x14ac:dyDescent="0.2">
      <c r="A14" s="1271"/>
      <c r="B14" s="1283"/>
      <c r="C14" s="1283"/>
      <c r="D14" s="1283"/>
      <c r="E14" s="1283"/>
      <c r="F14" s="1283"/>
      <c r="G14" s="1283"/>
      <c r="H14" s="1283"/>
      <c r="I14" s="1283"/>
      <c r="J14" s="1283"/>
      <c r="K14" s="956"/>
      <c r="L14" s="956"/>
      <c r="M14" s="998"/>
      <c r="N14" s="998"/>
      <c r="O14" s="998"/>
      <c r="P14" s="998"/>
      <c r="Q14" s="998"/>
      <c r="R14" s="998"/>
      <c r="S14" s="998"/>
    </row>
    <row r="15" spans="1:19" x14ac:dyDescent="0.2">
      <c r="A15" s="1271"/>
      <c r="B15" s="1283"/>
      <c r="C15" s="1283"/>
      <c r="D15" s="1283"/>
      <c r="E15" s="1283"/>
      <c r="F15" s="1283"/>
      <c r="G15" s="1283"/>
      <c r="H15" s="1283"/>
      <c r="I15" s="1283"/>
      <c r="J15" s="1283"/>
      <c r="K15" s="956"/>
      <c r="L15" s="956"/>
      <c r="M15" s="998"/>
      <c r="N15" s="998"/>
      <c r="O15" s="998"/>
      <c r="P15" s="998"/>
      <c r="Q15" s="998"/>
      <c r="R15" s="998"/>
      <c r="S15" s="998"/>
    </row>
    <row r="16" spans="1:19" x14ac:dyDescent="0.2">
      <c r="A16" s="956"/>
      <c r="B16" s="956"/>
      <c r="C16" s="956"/>
      <c r="D16" s="956"/>
      <c r="E16" s="956"/>
      <c r="F16" s="956"/>
      <c r="G16" s="956"/>
      <c r="H16" s="956"/>
      <c r="I16" s="956"/>
      <c r="J16" s="956"/>
      <c r="K16" s="956"/>
      <c r="L16" s="956"/>
      <c r="M16" s="998"/>
      <c r="N16" s="998"/>
      <c r="O16" s="998"/>
      <c r="P16" s="998"/>
      <c r="Q16" s="998"/>
      <c r="R16" s="998"/>
      <c r="S16" s="998"/>
    </row>
    <row r="17" spans="1:20" x14ac:dyDescent="0.2">
      <c r="A17" s="956"/>
      <c r="B17" s="956"/>
      <c r="C17" s="956"/>
      <c r="D17" s="956"/>
      <c r="E17" s="956"/>
      <c r="F17" s="956"/>
      <c r="G17" s="956"/>
      <c r="H17" s="956"/>
      <c r="I17" s="956"/>
      <c r="J17" s="956"/>
      <c r="K17" s="956"/>
      <c r="L17" s="956"/>
      <c r="M17" s="998"/>
      <c r="N17" s="998"/>
      <c r="O17" s="998"/>
      <c r="P17" s="998"/>
      <c r="Q17" s="998"/>
      <c r="R17" s="998"/>
      <c r="S17" s="998"/>
    </row>
    <row r="18" spans="1:20" x14ac:dyDescent="0.2">
      <c r="A18" s="956"/>
      <c r="B18" s="956"/>
      <c r="C18" s="956"/>
      <c r="D18" s="956"/>
      <c r="E18" s="956"/>
      <c r="F18" s="956"/>
      <c r="G18" s="956"/>
      <c r="H18" s="956"/>
      <c r="I18" s="956"/>
      <c r="J18" s="956"/>
      <c r="K18" s="956"/>
      <c r="L18" s="956"/>
    </row>
    <row r="19" spans="1:20" x14ac:dyDescent="0.2">
      <c r="A19" s="956"/>
      <c r="B19" s="956"/>
      <c r="C19" s="956"/>
      <c r="D19" s="956"/>
      <c r="E19" s="956"/>
      <c r="F19" s="956"/>
      <c r="G19" s="956"/>
      <c r="H19" s="956"/>
      <c r="I19" s="956"/>
      <c r="J19" s="956"/>
      <c r="K19" s="956"/>
      <c r="L19" s="956"/>
    </row>
    <row r="20" spans="1:20" x14ac:dyDescent="0.2">
      <c r="A20" s="1285"/>
      <c r="B20" s="1283"/>
      <c r="C20" s="1283"/>
      <c r="D20" s="1283"/>
      <c r="E20" s="1283"/>
      <c r="F20" s="1283"/>
      <c r="G20" s="1283"/>
      <c r="H20" s="1283"/>
      <c r="I20" s="1283"/>
      <c r="J20" s="1283"/>
      <c r="K20" s="956"/>
      <c r="L20" s="956"/>
    </row>
    <row r="21" spans="1:20" x14ac:dyDescent="0.2">
      <c r="A21" s="956"/>
      <c r="B21" s="956"/>
      <c r="C21" s="956"/>
      <c r="D21" s="956"/>
      <c r="E21" s="956"/>
      <c r="F21" s="956"/>
      <c r="G21" s="956"/>
      <c r="H21" s="956"/>
      <c r="I21" s="956"/>
      <c r="J21" s="956"/>
      <c r="K21" s="956"/>
      <c r="L21" s="956"/>
      <c r="M21" s="956"/>
      <c r="N21" s="956"/>
      <c r="O21" s="956"/>
      <c r="P21" s="956"/>
      <c r="Q21" s="956"/>
      <c r="R21" s="956"/>
      <c r="S21" s="956"/>
      <c r="T21" s="956"/>
    </row>
    <row r="22" spans="1:20" x14ac:dyDescent="0.2">
      <c r="A22" s="956"/>
      <c r="B22" s="956"/>
      <c r="C22" s="956"/>
      <c r="D22" s="956"/>
      <c r="E22" s="956"/>
      <c r="F22" s="956"/>
      <c r="G22" s="956"/>
      <c r="H22" s="956"/>
      <c r="I22" s="956"/>
      <c r="J22" s="956"/>
      <c r="K22" s="956"/>
      <c r="L22" s="956"/>
      <c r="M22" s="1286"/>
      <c r="N22" s="1287"/>
      <c r="O22" s="1287"/>
      <c r="P22" s="1287"/>
      <c r="Q22" s="1287"/>
      <c r="R22" s="1287"/>
      <c r="S22" s="956"/>
      <c r="T22" s="956"/>
    </row>
    <row r="23" spans="1:20" x14ac:dyDescent="0.2">
      <c r="A23" s="1288"/>
      <c r="B23" s="1289"/>
      <c r="C23" s="1289"/>
      <c r="D23" s="1289"/>
      <c r="E23" s="1289"/>
      <c r="F23" s="1289"/>
      <c r="G23" s="1289"/>
      <c r="H23" s="1289"/>
      <c r="I23" s="956"/>
      <c r="J23" s="956"/>
      <c r="K23" s="956"/>
      <c r="L23" s="956"/>
      <c r="M23" s="1290"/>
      <c r="N23" s="1291"/>
      <c r="O23" s="1291"/>
      <c r="P23" s="1291"/>
      <c r="Q23" s="1291"/>
      <c r="R23" s="1291"/>
      <c r="S23" s="956"/>
      <c r="T23" s="956"/>
    </row>
    <row r="24" spans="1:20" x14ac:dyDescent="0.2">
      <c r="A24" s="1292"/>
      <c r="B24" s="1293"/>
      <c r="C24" s="1293"/>
      <c r="D24" s="1293"/>
      <c r="E24" s="1293"/>
      <c r="F24" s="1293"/>
      <c r="G24" s="1293"/>
      <c r="H24" s="956"/>
      <c r="I24" s="956"/>
      <c r="J24" s="956"/>
      <c r="K24" s="956"/>
      <c r="L24" s="956"/>
      <c r="M24" s="1294"/>
      <c r="N24" s="1291"/>
      <c r="O24" s="1291"/>
      <c r="P24" s="1291"/>
      <c r="Q24" s="1291"/>
      <c r="R24" s="1291"/>
      <c r="S24" s="956"/>
      <c r="T24" s="956"/>
    </row>
    <row r="25" spans="1:20" x14ac:dyDescent="0.2">
      <c r="A25" s="1295"/>
      <c r="B25" s="1296"/>
      <c r="C25" s="1296"/>
      <c r="D25" s="1296"/>
      <c r="E25" s="1296"/>
      <c r="F25" s="1296"/>
      <c r="G25" s="1296"/>
      <c r="H25" s="1296"/>
      <c r="I25" s="956"/>
      <c r="J25" s="956"/>
      <c r="K25" s="956"/>
      <c r="L25" s="956"/>
      <c r="M25" s="1294"/>
      <c r="N25" s="1291"/>
      <c r="O25" s="1291"/>
      <c r="P25" s="1291"/>
      <c r="Q25" s="1291"/>
      <c r="R25" s="1291"/>
      <c r="S25" s="956"/>
      <c r="T25" s="956"/>
    </row>
    <row r="26" spans="1:20" x14ac:dyDescent="0.2">
      <c r="A26" s="1292"/>
      <c r="B26" s="1296"/>
      <c r="C26" s="1296"/>
      <c r="D26" s="1296"/>
      <c r="E26" s="1296"/>
      <c r="F26" s="1296"/>
      <c r="G26" s="1296"/>
      <c r="H26" s="956"/>
      <c r="I26" s="956"/>
      <c r="J26" s="956"/>
      <c r="K26" s="956"/>
      <c r="L26" s="956"/>
      <c r="M26" s="1290"/>
      <c r="N26" s="1291"/>
      <c r="O26" s="1291"/>
      <c r="P26" s="1291"/>
      <c r="Q26" s="1291"/>
      <c r="R26" s="1291"/>
      <c r="S26" s="956"/>
      <c r="T26" s="956"/>
    </row>
    <row r="27" spans="1:20" x14ac:dyDescent="0.2">
      <c r="A27" s="1295"/>
      <c r="B27" s="1296"/>
      <c r="C27" s="1296"/>
      <c r="D27" s="1296"/>
      <c r="E27" s="1296"/>
      <c r="F27" s="1296"/>
      <c r="G27" s="1296"/>
      <c r="H27" s="956"/>
      <c r="I27" s="956"/>
      <c r="J27" s="956"/>
      <c r="K27" s="956"/>
      <c r="L27" s="956"/>
      <c r="M27" s="1290"/>
      <c r="N27" s="1290"/>
      <c r="O27" s="1290"/>
      <c r="P27" s="1290"/>
      <c r="Q27" s="1290"/>
      <c r="R27" s="1290"/>
      <c r="S27" s="956"/>
      <c r="T27" s="956"/>
    </row>
    <row r="28" spans="1:20" ht="15" x14ac:dyDescent="0.25">
      <c r="A28" s="956"/>
      <c r="B28" s="956"/>
      <c r="C28" s="956"/>
      <c r="D28" s="956"/>
      <c r="E28" s="956"/>
      <c r="F28" s="956"/>
      <c r="G28" s="956"/>
      <c r="H28" s="1297"/>
      <c r="I28" s="1297"/>
      <c r="J28" s="1297"/>
      <c r="K28" s="1297"/>
      <c r="L28" s="956"/>
      <c r="M28" s="1286"/>
      <c r="N28" s="1287"/>
      <c r="O28" s="1287"/>
      <c r="P28" s="1287"/>
      <c r="Q28" s="1287"/>
      <c r="R28" s="1287"/>
      <c r="S28" s="956"/>
      <c r="T28" s="956"/>
    </row>
    <row r="29" spans="1:20" ht="15" x14ac:dyDescent="0.25">
      <c r="A29" s="1295"/>
      <c r="B29" s="956"/>
      <c r="C29" s="1296"/>
      <c r="D29" s="1296"/>
      <c r="E29" s="1296"/>
      <c r="F29" s="1296"/>
      <c r="G29" s="1296"/>
      <c r="H29" s="1296"/>
      <c r="I29" s="1298"/>
      <c r="J29" s="1298"/>
      <c r="K29" s="1298"/>
      <c r="L29" s="956"/>
      <c r="M29" s="1290"/>
      <c r="N29" s="1291"/>
      <c r="O29" s="1291"/>
      <c r="P29" s="1291"/>
      <c r="Q29" s="1291"/>
      <c r="R29" s="1291"/>
      <c r="S29" s="956"/>
      <c r="T29" s="956"/>
    </row>
    <row r="30" spans="1:20" ht="15" x14ac:dyDescent="0.25">
      <c r="A30" s="956"/>
      <c r="B30" s="956"/>
      <c r="C30" s="956"/>
      <c r="D30" s="956"/>
      <c r="E30" s="956"/>
      <c r="F30" s="956"/>
      <c r="G30" s="956"/>
      <c r="H30" s="1298"/>
      <c r="I30" s="1298"/>
      <c r="J30" s="1298"/>
      <c r="K30" s="1298"/>
      <c r="L30" s="956"/>
      <c r="M30" s="1294"/>
      <c r="N30" s="1291"/>
      <c r="O30" s="1291"/>
      <c r="P30" s="1291"/>
      <c r="Q30" s="1291"/>
      <c r="R30" s="1291"/>
      <c r="S30" s="956"/>
      <c r="T30" s="956"/>
    </row>
    <row r="31" spans="1:20" ht="15" x14ac:dyDescent="0.25">
      <c r="A31" s="956"/>
      <c r="B31" s="956"/>
      <c r="C31" s="956"/>
      <c r="D31" s="956"/>
      <c r="E31" s="956"/>
      <c r="F31" s="956"/>
      <c r="G31" s="956"/>
      <c r="H31" s="1297"/>
      <c r="I31" s="1297"/>
      <c r="J31" s="1297"/>
      <c r="K31" s="1297"/>
      <c r="L31" s="956"/>
      <c r="M31" s="1294"/>
      <c r="N31" s="1291"/>
      <c r="O31" s="1291"/>
      <c r="P31" s="1291"/>
      <c r="Q31" s="1291"/>
      <c r="R31" s="1291"/>
      <c r="S31" s="956"/>
    </row>
    <row r="32" spans="1:20" x14ac:dyDescent="0.2">
      <c r="A32" s="956"/>
      <c r="B32" s="956"/>
      <c r="C32" s="956"/>
      <c r="D32" s="956"/>
      <c r="E32" s="956"/>
      <c r="F32" s="956"/>
      <c r="G32" s="956"/>
      <c r="H32" s="1296"/>
      <c r="I32" s="956"/>
      <c r="J32" s="956"/>
      <c r="K32" s="956"/>
      <c r="L32" s="956"/>
      <c r="M32" s="1290"/>
      <c r="N32" s="1299"/>
      <c r="O32" s="1300"/>
      <c r="P32" s="1300"/>
      <c r="Q32" s="1300"/>
      <c r="R32" s="1300"/>
      <c r="S32" s="956"/>
    </row>
    <row r="33" spans="1:19" x14ac:dyDescent="0.2">
      <c r="A33" s="956"/>
      <c r="B33" s="956"/>
      <c r="C33" s="956"/>
      <c r="D33" s="956"/>
      <c r="E33" s="956"/>
      <c r="F33" s="956"/>
      <c r="G33" s="956"/>
      <c r="H33" s="956"/>
      <c r="I33" s="956"/>
      <c r="J33" s="956"/>
      <c r="K33" s="956"/>
      <c r="L33" s="956"/>
      <c r="M33" s="956"/>
      <c r="N33" s="956"/>
      <c r="O33" s="956"/>
      <c r="P33" s="956"/>
      <c r="Q33" s="956"/>
      <c r="R33" s="956"/>
      <c r="S33" s="956"/>
    </row>
    <row r="34" spans="1:19" x14ac:dyDescent="0.2">
      <c r="A34" s="956"/>
      <c r="B34" s="956"/>
      <c r="C34" s="956"/>
      <c r="D34" s="956"/>
      <c r="E34" s="956"/>
      <c r="F34" s="956"/>
      <c r="G34" s="956"/>
      <c r="H34" s="956"/>
      <c r="I34" s="956"/>
      <c r="J34" s="956"/>
      <c r="K34" s="956"/>
      <c r="L34" s="956"/>
    </row>
    <row r="35" spans="1:19" x14ac:dyDescent="0.2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</row>
    <row r="36" spans="1:19" ht="15" x14ac:dyDescent="0.25">
      <c r="A36" s="1301"/>
      <c r="B36" s="956"/>
      <c r="C36" s="956"/>
      <c r="D36" s="956"/>
      <c r="E36" s="956"/>
      <c r="F36" s="956"/>
      <c r="G36" s="956"/>
      <c r="H36" s="956"/>
      <c r="I36" s="956"/>
      <c r="J36" s="956"/>
      <c r="K36" s="956"/>
      <c r="L36" s="956"/>
    </row>
    <row r="37" spans="1:19" ht="15" x14ac:dyDescent="0.25">
      <c r="A37" s="1302"/>
      <c r="B37" s="1302"/>
      <c r="C37" s="1302"/>
      <c r="D37" s="1302"/>
      <c r="E37" s="956"/>
      <c r="F37" s="1283"/>
      <c r="G37" s="1283"/>
      <c r="H37" s="1283"/>
      <c r="I37" s="1283"/>
      <c r="J37" s="956"/>
      <c r="K37" s="956"/>
      <c r="L37" s="956"/>
    </row>
    <row r="38" spans="1:19" ht="15" x14ac:dyDescent="0.25">
      <c r="A38" s="1301"/>
      <c r="B38" s="1303"/>
      <c r="C38" s="1303"/>
      <c r="D38" s="1303"/>
      <c r="E38" s="956"/>
      <c r="F38" s="1283"/>
      <c r="G38" s="1283"/>
      <c r="H38" s="1283"/>
      <c r="I38" s="1283"/>
      <c r="J38" s="956"/>
      <c r="K38" s="956"/>
      <c r="L38" s="956"/>
    </row>
    <row r="39" spans="1:19" ht="15" x14ac:dyDescent="0.25">
      <c r="A39" s="1301"/>
      <c r="B39" s="1303"/>
      <c r="C39" s="1303"/>
      <c r="D39" s="1303"/>
      <c r="E39" s="956"/>
      <c r="F39" s="1283"/>
      <c r="G39" s="1283"/>
      <c r="H39" s="1283"/>
      <c r="I39" s="1283"/>
      <c r="J39" s="956"/>
      <c r="K39" s="956"/>
      <c r="L39" s="956"/>
    </row>
    <row r="40" spans="1:19" ht="15" x14ac:dyDescent="0.25">
      <c r="A40" s="1301"/>
      <c r="B40" s="1303"/>
      <c r="C40" s="1303"/>
      <c r="D40" s="1303"/>
      <c r="E40" s="956"/>
      <c r="F40" s="956"/>
      <c r="G40" s="956"/>
      <c r="H40" s="956"/>
      <c r="I40" s="956"/>
      <c r="J40" s="956"/>
      <c r="K40" s="956"/>
      <c r="L40" s="956"/>
    </row>
    <row r="41" spans="1:19" ht="15" x14ac:dyDescent="0.25">
      <c r="A41" s="1301"/>
      <c r="B41" s="1303"/>
      <c r="C41" s="1303"/>
      <c r="D41" s="1303"/>
      <c r="E41" s="956"/>
      <c r="F41" s="956"/>
      <c r="G41" s="956"/>
      <c r="H41" s="956"/>
      <c r="I41" s="956"/>
      <c r="J41" s="956"/>
      <c r="K41" s="956"/>
      <c r="L41" s="956"/>
    </row>
    <row r="42" spans="1:19" x14ac:dyDescent="0.2">
      <c r="A42" s="956"/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</row>
    <row r="43" spans="1:19" x14ac:dyDescent="0.2">
      <c r="A43" s="956"/>
      <c r="B43" s="956"/>
      <c r="C43" s="956"/>
      <c r="D43" s="956"/>
      <c r="E43" s="956"/>
      <c r="F43" s="956"/>
      <c r="G43" s="956"/>
      <c r="H43" s="956"/>
      <c r="I43" s="956"/>
      <c r="J43" s="956"/>
      <c r="K43" s="956"/>
      <c r="L43" s="956"/>
    </row>
    <row r="44" spans="1:19" x14ac:dyDescent="0.2">
      <c r="A44" s="956"/>
      <c r="B44" s="956"/>
      <c r="C44" s="956"/>
      <c r="D44" s="956"/>
      <c r="E44" s="956"/>
      <c r="F44" s="956"/>
      <c r="G44" s="956"/>
      <c r="H44" s="956"/>
      <c r="I44" s="956"/>
      <c r="J44" s="956"/>
      <c r="K44" s="956"/>
      <c r="L44" s="956"/>
    </row>
    <row r="45" spans="1:19" x14ac:dyDescent="0.2">
      <c r="A45" s="956"/>
      <c r="B45" s="956"/>
      <c r="C45" s="956"/>
      <c r="D45" s="956"/>
      <c r="E45" s="956"/>
      <c r="F45" s="956"/>
      <c r="G45" s="956"/>
      <c r="H45" s="956"/>
      <c r="I45" s="956"/>
      <c r="J45" s="956"/>
      <c r="K45" s="956"/>
      <c r="L45" s="956"/>
    </row>
    <row r="46" spans="1:19" x14ac:dyDescent="0.2">
      <c r="A46" s="956"/>
      <c r="B46" s="956"/>
      <c r="C46" s="956"/>
      <c r="D46" s="956"/>
      <c r="E46" s="956"/>
      <c r="F46" s="956"/>
      <c r="G46" s="956"/>
      <c r="H46" s="956"/>
      <c r="I46" s="956"/>
      <c r="J46" s="956"/>
      <c r="K46" s="956"/>
      <c r="L46" s="956"/>
    </row>
    <row r="47" spans="1:19" x14ac:dyDescent="0.2">
      <c r="A47" s="1304"/>
      <c r="B47" s="1305"/>
      <c r="C47" s="1305"/>
      <c r="D47" s="1305"/>
      <c r="E47" s="1305"/>
      <c r="F47" s="1305"/>
      <c r="G47" s="1306"/>
      <c r="H47" s="1306"/>
      <c r="I47" s="1306"/>
      <c r="J47" s="1306"/>
      <c r="K47" s="1305"/>
      <c r="L47" s="956"/>
    </row>
    <row r="48" spans="1:19" x14ac:dyDescent="0.2">
      <c r="A48" s="1306"/>
      <c r="B48" s="1307"/>
      <c r="C48" s="1307"/>
      <c r="D48" s="1307"/>
      <c r="E48" s="1307"/>
      <c r="F48" s="1307"/>
      <c r="G48" s="1306"/>
      <c r="H48" s="1306"/>
      <c r="I48" s="1306"/>
      <c r="J48" s="1306"/>
      <c r="K48" s="1307"/>
      <c r="L48" s="956"/>
    </row>
    <row r="49" spans="1:12" x14ac:dyDescent="0.2">
      <c r="A49" s="1308"/>
      <c r="B49" s="1307"/>
      <c r="C49" s="1307"/>
      <c r="D49" s="1307"/>
      <c r="E49" s="1307"/>
      <c r="F49" s="1307"/>
      <c r="G49" s="1306"/>
      <c r="H49" s="1306"/>
      <c r="I49" s="1306"/>
      <c r="J49" s="1306"/>
      <c r="K49" s="1307"/>
      <c r="L49" s="956"/>
    </row>
    <row r="50" spans="1:12" x14ac:dyDescent="0.2">
      <c r="A50" s="1308"/>
      <c r="B50" s="1307"/>
      <c r="C50" s="1307"/>
      <c r="D50" s="1307"/>
      <c r="E50" s="1307"/>
      <c r="F50" s="1307"/>
      <c r="G50" s="1306"/>
      <c r="H50" s="1306"/>
      <c r="I50" s="1306"/>
      <c r="J50" s="1306"/>
      <c r="K50" s="1307"/>
      <c r="L50" s="956"/>
    </row>
    <row r="51" spans="1:12" x14ac:dyDescent="0.2">
      <c r="A51" s="1306"/>
      <c r="B51" s="1307"/>
      <c r="C51" s="1307"/>
      <c r="D51" s="1307"/>
      <c r="E51" s="1307"/>
      <c r="F51" s="1307"/>
      <c r="G51" s="1306"/>
      <c r="H51" s="1306"/>
      <c r="I51" s="1306"/>
      <c r="J51" s="1306"/>
      <c r="K51" s="1307"/>
      <c r="L51" s="956"/>
    </row>
    <row r="52" spans="1:12" x14ac:dyDescent="0.2">
      <c r="A52" s="1306"/>
      <c r="B52" s="1306"/>
      <c r="C52" s="1306"/>
      <c r="D52" s="1306"/>
      <c r="E52" s="1306"/>
      <c r="F52" s="956"/>
      <c r="G52" s="1306"/>
      <c r="H52" s="1306"/>
      <c r="I52" s="1306"/>
      <c r="J52" s="1306"/>
      <c r="K52" s="1306"/>
      <c r="L52" s="956"/>
    </row>
    <row r="53" spans="1:12" x14ac:dyDescent="0.2">
      <c r="A53" s="1304"/>
      <c r="B53" s="1305"/>
      <c r="C53" s="1305"/>
      <c r="D53" s="1305"/>
      <c r="E53" s="1305"/>
      <c r="F53" s="1305"/>
      <c r="G53" s="1306"/>
      <c r="H53" s="1306"/>
      <c r="I53" s="1306"/>
      <c r="J53" s="1306"/>
      <c r="K53" s="1305"/>
      <c r="L53" s="956"/>
    </row>
    <row r="54" spans="1:12" x14ac:dyDescent="0.2">
      <c r="A54" s="1306"/>
      <c r="B54" s="1307"/>
      <c r="C54" s="1307"/>
      <c r="D54" s="1307"/>
      <c r="E54" s="1307"/>
      <c r="F54" s="1307"/>
      <c r="G54" s="1306"/>
      <c r="H54" s="1306"/>
      <c r="I54" s="1306"/>
      <c r="J54" s="1306"/>
      <c r="K54" s="1307"/>
      <c r="L54" s="956"/>
    </row>
    <row r="55" spans="1:12" x14ac:dyDescent="0.2">
      <c r="A55" s="1308"/>
      <c r="B55" s="1307"/>
      <c r="C55" s="1307"/>
      <c r="D55" s="1307"/>
      <c r="E55" s="1307"/>
      <c r="F55" s="1307"/>
      <c r="G55" s="1306"/>
      <c r="H55" s="1306"/>
      <c r="I55" s="1306"/>
      <c r="J55" s="1306"/>
      <c r="K55" s="1307"/>
      <c r="L55" s="956"/>
    </row>
    <row r="56" spans="1:12" x14ac:dyDescent="0.2">
      <c r="A56" s="1308"/>
      <c r="B56" s="1307"/>
      <c r="C56" s="1307"/>
      <c r="D56" s="1307"/>
      <c r="E56" s="1307"/>
      <c r="F56" s="1307"/>
      <c r="G56" s="1306"/>
      <c r="H56" s="1306"/>
      <c r="I56" s="1306"/>
      <c r="J56" s="1306"/>
      <c r="K56" s="1307"/>
      <c r="L56" s="956"/>
    </row>
    <row r="57" spans="1:12" x14ac:dyDescent="0.2">
      <c r="A57" s="1306"/>
      <c r="B57" s="1309"/>
      <c r="C57" s="1309"/>
      <c r="D57" s="1309"/>
      <c r="E57" s="1309"/>
      <c r="F57" s="1309"/>
      <c r="G57" s="1306"/>
      <c r="H57" s="1306"/>
      <c r="I57" s="1306"/>
      <c r="J57" s="1306"/>
      <c r="K57" s="1306"/>
      <c r="L57" s="956"/>
    </row>
    <row r="58" spans="1:12" x14ac:dyDescent="0.2">
      <c r="A58" s="1306"/>
      <c r="B58" s="1307"/>
      <c r="C58" s="1307"/>
      <c r="D58" s="1307"/>
      <c r="E58" s="1307"/>
      <c r="F58" s="1307"/>
      <c r="G58" s="956"/>
      <c r="H58" s="956"/>
      <c r="I58" s="956"/>
      <c r="J58" s="956"/>
      <c r="K58" s="956"/>
      <c r="L58" s="956"/>
    </row>
    <row r="59" spans="1:12" x14ac:dyDescent="0.2">
      <c r="A59" s="956"/>
      <c r="B59" s="1307"/>
      <c r="C59" s="1307"/>
      <c r="D59" s="1307"/>
      <c r="E59" s="1307"/>
      <c r="F59" s="956"/>
      <c r="G59" s="956"/>
      <c r="H59" s="956"/>
      <c r="I59" s="956"/>
      <c r="J59" s="956"/>
      <c r="K59" s="956"/>
      <c r="L59" s="956"/>
    </row>
    <row r="60" spans="1:12" ht="15" x14ac:dyDescent="0.25">
      <c r="A60" s="1304"/>
      <c r="B60" s="1305"/>
      <c r="C60" s="1305"/>
      <c r="D60" s="1305"/>
      <c r="E60" s="1305"/>
      <c r="F60" s="1305"/>
      <c r="G60" s="1310"/>
      <c r="H60" s="1310"/>
      <c r="I60" s="1310"/>
      <c r="J60" s="1310"/>
      <c r="K60" s="1305"/>
      <c r="L60" s="956"/>
    </row>
    <row r="61" spans="1:12" x14ac:dyDescent="0.2">
      <c r="A61" s="1306"/>
      <c r="B61" s="1307"/>
      <c r="C61" s="1307"/>
      <c r="D61" s="1307"/>
      <c r="E61" s="1307"/>
      <c r="F61" s="1307"/>
      <c r="G61" s="956"/>
      <c r="H61" s="956"/>
      <c r="I61" s="956"/>
      <c r="J61" s="956"/>
      <c r="K61" s="1307"/>
      <c r="L61" s="956"/>
    </row>
    <row r="62" spans="1:12" x14ac:dyDescent="0.2">
      <c r="A62" s="1306"/>
      <c r="B62" s="1307"/>
      <c r="C62" s="1307"/>
      <c r="D62" s="1307"/>
      <c r="E62" s="1307"/>
      <c r="F62" s="1307"/>
      <c r="G62" s="956"/>
      <c r="H62" s="956"/>
      <c r="I62" s="956"/>
      <c r="J62" s="956"/>
      <c r="K62" s="1307"/>
      <c r="L62" s="956"/>
    </row>
    <row r="63" spans="1:12" ht="15" x14ac:dyDescent="0.25">
      <c r="A63" s="1311"/>
      <c r="B63" s="1312"/>
      <c r="C63" s="1312"/>
      <c r="D63" s="1312"/>
      <c r="E63" s="1312"/>
      <c r="F63" s="1312"/>
      <c r="G63" s="1310"/>
      <c r="H63" s="1310"/>
      <c r="I63" s="1310"/>
      <c r="J63" s="1310"/>
      <c r="K63" s="1310"/>
      <c r="L63" s="956"/>
    </row>
    <row r="64" spans="1:12" x14ac:dyDescent="0.2">
      <c r="A64" s="1313"/>
      <c r="B64" s="956"/>
      <c r="C64" s="956"/>
      <c r="D64" s="956"/>
      <c r="E64" s="956"/>
      <c r="F64" s="956"/>
      <c r="G64" s="956"/>
      <c r="H64" s="956"/>
      <c r="I64" s="956"/>
      <c r="J64" s="956"/>
      <c r="K64" s="956"/>
      <c r="L64" s="956"/>
    </row>
    <row r="65" spans="1:12" ht="15" x14ac:dyDescent="0.25">
      <c r="A65" s="1311"/>
      <c r="B65" s="1310"/>
      <c r="C65" s="1312"/>
      <c r="D65" s="1312"/>
      <c r="E65" s="1312"/>
      <c r="F65" s="1312"/>
      <c r="G65" s="1310"/>
      <c r="H65" s="1310"/>
      <c r="I65" s="1310"/>
      <c r="J65" s="1310"/>
      <c r="K65" s="1310"/>
      <c r="L65" s="956"/>
    </row>
    <row r="66" spans="1:12" ht="15" x14ac:dyDescent="0.25">
      <c r="A66" s="1311"/>
      <c r="B66" s="1310"/>
      <c r="C66" s="1312"/>
      <c r="D66" s="1312"/>
      <c r="E66" s="1312"/>
      <c r="F66" s="1312"/>
      <c r="G66" s="1310"/>
      <c r="H66" s="1310"/>
      <c r="I66" s="1310"/>
      <c r="J66" s="1310"/>
      <c r="K66" s="1310"/>
      <c r="L66" s="956"/>
    </row>
    <row r="67" spans="1:12" x14ac:dyDescent="0.2">
      <c r="A67" s="956"/>
      <c r="B67" s="956"/>
      <c r="C67" s="956"/>
      <c r="D67" s="956"/>
      <c r="E67" s="956"/>
      <c r="F67" s="956"/>
      <c r="G67" s="956"/>
      <c r="H67" s="956"/>
      <c r="I67" s="956"/>
      <c r="J67" s="956"/>
      <c r="K67" s="956"/>
      <c r="L67" s="956"/>
    </row>
    <row r="68" spans="1:12" x14ac:dyDescent="0.2">
      <c r="A68" s="956"/>
      <c r="B68" s="956"/>
      <c r="C68" s="956"/>
      <c r="D68" s="956"/>
      <c r="E68" s="956"/>
      <c r="F68" s="956"/>
      <c r="G68" s="956"/>
      <c r="H68" s="956"/>
      <c r="I68" s="956"/>
      <c r="J68" s="956"/>
      <c r="K68" s="956"/>
      <c r="L68" s="956"/>
    </row>
    <row r="69" spans="1:12" x14ac:dyDescent="0.2">
      <c r="A69" s="956"/>
      <c r="B69" s="956"/>
      <c r="C69" s="956"/>
      <c r="D69" s="956"/>
      <c r="E69" s="956"/>
      <c r="F69" s="956"/>
      <c r="G69" s="956"/>
      <c r="H69" s="956"/>
      <c r="I69" s="956"/>
      <c r="J69" s="956"/>
      <c r="K69" s="956"/>
      <c r="L69" s="956"/>
    </row>
    <row r="70" spans="1:12" x14ac:dyDescent="0.2">
      <c r="A70" s="956"/>
      <c r="B70" s="956"/>
      <c r="C70" s="956"/>
      <c r="D70" s="956"/>
      <c r="E70" s="956"/>
      <c r="F70" s="956"/>
      <c r="G70" s="956"/>
      <c r="H70" s="956"/>
      <c r="I70" s="956"/>
      <c r="J70" s="956"/>
      <c r="K70" s="956"/>
      <c r="L70" s="956"/>
    </row>
    <row r="71" spans="1:12" x14ac:dyDescent="0.2">
      <c r="A71" s="956"/>
      <c r="B71" s="956"/>
      <c r="C71" s="956"/>
      <c r="D71" s="956"/>
      <c r="E71" s="956"/>
      <c r="F71" s="956"/>
      <c r="G71" s="956"/>
      <c r="H71" s="956"/>
      <c r="I71" s="956"/>
      <c r="J71" s="956"/>
      <c r="K71" s="956"/>
      <c r="L71" s="956"/>
    </row>
    <row r="72" spans="1:12" x14ac:dyDescent="0.2">
      <c r="A72" s="956"/>
      <c r="B72" s="956"/>
      <c r="C72" s="956"/>
      <c r="D72" s="956"/>
      <c r="E72" s="956"/>
      <c r="F72" s="956"/>
      <c r="G72" s="956"/>
      <c r="H72" s="956"/>
      <c r="I72" s="956"/>
      <c r="J72" s="956"/>
      <c r="K72" s="956"/>
      <c r="L72" s="956"/>
    </row>
    <row r="73" spans="1:12" x14ac:dyDescent="0.2">
      <c r="A73" s="956"/>
      <c r="B73" s="956"/>
      <c r="C73" s="956"/>
      <c r="D73" s="956"/>
      <c r="E73" s="956"/>
      <c r="F73" s="956"/>
      <c r="G73" s="956"/>
      <c r="H73" s="956"/>
      <c r="I73" s="956"/>
      <c r="J73" s="956"/>
      <c r="K73" s="956"/>
      <c r="L73" s="956"/>
    </row>
    <row r="74" spans="1:12" x14ac:dyDescent="0.2">
      <c r="A74" s="956"/>
      <c r="B74" s="956"/>
      <c r="C74" s="956"/>
      <c r="D74" s="956"/>
      <c r="E74" s="956"/>
      <c r="F74" s="956"/>
      <c r="G74" s="956"/>
      <c r="H74" s="956"/>
      <c r="I74" s="956"/>
      <c r="J74" s="956"/>
      <c r="K74" s="956"/>
      <c r="L74" s="956"/>
    </row>
    <row r="75" spans="1:12" x14ac:dyDescent="0.2">
      <c r="A75" s="956"/>
      <c r="B75" s="956"/>
      <c r="C75" s="956"/>
      <c r="D75" s="956"/>
      <c r="E75" s="956"/>
      <c r="F75" s="956"/>
      <c r="G75" s="956"/>
      <c r="H75" s="956"/>
      <c r="I75" s="956"/>
      <c r="J75" s="956"/>
      <c r="K75" s="956"/>
      <c r="L75" s="956"/>
    </row>
    <row r="76" spans="1:12" x14ac:dyDescent="0.2">
      <c r="A76" s="956"/>
      <c r="B76" s="956"/>
      <c r="C76" s="956"/>
      <c r="D76" s="956"/>
      <c r="E76" s="956"/>
      <c r="F76" s="956"/>
      <c r="G76" s="956"/>
      <c r="H76" s="956"/>
      <c r="I76" s="956"/>
      <c r="J76" s="956"/>
      <c r="K76" s="956"/>
      <c r="L76" s="956"/>
    </row>
    <row r="77" spans="1:12" x14ac:dyDescent="0.2">
      <c r="A77" s="956"/>
      <c r="B77" s="956"/>
      <c r="C77" s="956"/>
      <c r="D77" s="956"/>
      <c r="E77" s="956"/>
      <c r="F77" s="956"/>
      <c r="G77" s="956"/>
      <c r="H77" s="956"/>
      <c r="I77" s="956"/>
      <c r="J77" s="956"/>
      <c r="K77" s="956"/>
      <c r="L77" s="956"/>
    </row>
    <row r="78" spans="1:12" x14ac:dyDescent="0.2">
      <c r="A78" s="956"/>
      <c r="B78" s="956"/>
      <c r="C78" s="956"/>
      <c r="D78" s="956"/>
      <c r="E78" s="956"/>
      <c r="F78" s="956"/>
      <c r="G78" s="956"/>
      <c r="H78" s="956"/>
      <c r="I78" s="956"/>
      <c r="J78" s="956"/>
      <c r="K78" s="956"/>
      <c r="L78" s="956"/>
    </row>
    <row r="79" spans="1:12" x14ac:dyDescent="0.2">
      <c r="A79" s="956"/>
      <c r="B79" s="956"/>
      <c r="C79" s="956"/>
      <c r="D79" s="956"/>
      <c r="E79" s="956"/>
      <c r="F79" s="956"/>
      <c r="G79" s="956"/>
      <c r="H79" s="956"/>
      <c r="I79" s="956"/>
      <c r="J79" s="956"/>
      <c r="K79" s="956"/>
      <c r="L79" s="956"/>
    </row>
    <row r="80" spans="1:12" x14ac:dyDescent="0.2">
      <c r="A80" s="956"/>
      <c r="B80" s="956"/>
      <c r="C80" s="956"/>
      <c r="D80" s="956"/>
      <c r="E80" s="956"/>
      <c r="F80" s="956"/>
      <c r="G80" s="956"/>
      <c r="H80" s="956"/>
      <c r="I80" s="956"/>
      <c r="J80" s="956"/>
      <c r="K80" s="956"/>
      <c r="L80" s="956"/>
    </row>
    <row r="81" spans="1:12" x14ac:dyDescent="0.2">
      <c r="A81" s="956"/>
      <c r="B81" s="956"/>
      <c r="C81" s="956"/>
      <c r="D81" s="956"/>
      <c r="E81" s="956"/>
      <c r="F81" s="956"/>
      <c r="G81" s="956"/>
      <c r="H81" s="956"/>
      <c r="I81" s="956"/>
      <c r="J81" s="956"/>
      <c r="K81" s="956"/>
      <c r="L81" s="956"/>
    </row>
    <row r="82" spans="1:12" x14ac:dyDescent="0.2">
      <c r="A82" s="956"/>
      <c r="B82" s="956"/>
      <c r="C82" s="956"/>
      <c r="D82" s="956"/>
      <c r="E82" s="956"/>
      <c r="F82" s="956"/>
      <c r="G82" s="956"/>
      <c r="H82" s="956"/>
      <c r="I82" s="956"/>
      <c r="J82" s="956"/>
      <c r="K82" s="956"/>
      <c r="L82" s="956"/>
    </row>
    <row r="83" spans="1:12" x14ac:dyDescent="0.2">
      <c r="A83" s="956"/>
      <c r="B83" s="956"/>
      <c r="C83" s="956"/>
      <c r="D83" s="956"/>
      <c r="E83" s="956"/>
      <c r="F83" s="956"/>
      <c r="G83" s="956"/>
      <c r="H83" s="956"/>
      <c r="I83" s="956"/>
      <c r="J83" s="956"/>
      <c r="K83" s="956"/>
      <c r="L83" s="956"/>
    </row>
    <row r="84" spans="1:12" x14ac:dyDescent="0.2">
      <c r="A84" s="956"/>
      <c r="B84" s="956"/>
      <c r="C84" s="956"/>
      <c r="D84" s="956"/>
      <c r="E84" s="956"/>
      <c r="F84" s="956"/>
      <c r="G84" s="956"/>
      <c r="H84" s="956"/>
      <c r="I84" s="956"/>
      <c r="J84" s="956"/>
      <c r="K84" s="956"/>
      <c r="L84" s="956"/>
    </row>
    <row r="85" spans="1:12" x14ac:dyDescent="0.2">
      <c r="A85" s="956"/>
      <c r="B85" s="956"/>
      <c r="C85" s="956"/>
      <c r="D85" s="956"/>
      <c r="E85" s="956"/>
      <c r="F85" s="956"/>
      <c r="G85" s="956"/>
      <c r="H85" s="956"/>
      <c r="I85" s="956"/>
      <c r="J85" s="956"/>
      <c r="K85" s="956"/>
      <c r="L85" s="956"/>
    </row>
    <row r="86" spans="1:12" x14ac:dyDescent="0.2">
      <c r="A86" s="956"/>
      <c r="B86" s="956"/>
      <c r="C86" s="956"/>
      <c r="D86" s="956"/>
      <c r="E86" s="956"/>
      <c r="F86" s="956"/>
      <c r="G86" s="956"/>
      <c r="H86" s="956"/>
      <c r="I86" s="956"/>
      <c r="J86" s="956"/>
      <c r="K86" s="956"/>
      <c r="L86" s="956"/>
    </row>
    <row r="87" spans="1:12" x14ac:dyDescent="0.2">
      <c r="A87" s="956"/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</row>
    <row r="88" spans="1:12" x14ac:dyDescent="0.2">
      <c r="A88" s="956"/>
      <c r="B88" s="956"/>
      <c r="C88" s="956"/>
      <c r="D88" s="956"/>
      <c r="E88" s="956"/>
      <c r="F88" s="956"/>
      <c r="G88" s="956"/>
      <c r="H88" s="956"/>
      <c r="I88" s="956"/>
      <c r="J88" s="956"/>
      <c r="K88" s="956"/>
      <c r="L88" s="956"/>
    </row>
    <row r="89" spans="1:12" x14ac:dyDescent="0.2">
      <c r="A89" s="956"/>
      <c r="B89" s="956"/>
      <c r="C89" s="956"/>
      <c r="D89" s="956"/>
      <c r="E89" s="956"/>
      <c r="F89" s="956"/>
      <c r="G89" s="956"/>
      <c r="H89" s="956"/>
      <c r="I89" s="956"/>
      <c r="J89" s="956"/>
      <c r="K89" s="956"/>
      <c r="L89" s="956"/>
    </row>
    <row r="90" spans="1:12" x14ac:dyDescent="0.2">
      <c r="A90" s="956"/>
      <c r="B90" s="956"/>
      <c r="C90" s="956"/>
      <c r="D90" s="956"/>
      <c r="E90" s="956"/>
      <c r="F90" s="956"/>
      <c r="G90" s="956"/>
      <c r="H90" s="956"/>
      <c r="I90" s="956"/>
      <c r="J90" s="956"/>
      <c r="K90" s="956"/>
      <c r="L90" s="956"/>
    </row>
    <row r="91" spans="1:12" x14ac:dyDescent="0.2">
      <c r="A91" s="956"/>
      <c r="B91" s="956"/>
      <c r="C91" s="956"/>
      <c r="D91" s="956"/>
      <c r="E91" s="956"/>
      <c r="F91" s="956"/>
      <c r="G91" s="956"/>
      <c r="H91" s="956"/>
      <c r="I91" s="956"/>
      <c r="J91" s="956"/>
      <c r="K91" s="956"/>
      <c r="L91" s="956"/>
    </row>
    <row r="92" spans="1:12" x14ac:dyDescent="0.2">
      <c r="A92" s="956"/>
      <c r="B92" s="956"/>
      <c r="C92" s="956"/>
      <c r="D92" s="956"/>
      <c r="E92" s="956"/>
      <c r="F92" s="956"/>
      <c r="G92" s="956"/>
      <c r="H92" s="956"/>
      <c r="I92" s="956"/>
      <c r="J92" s="956"/>
      <c r="K92" s="956"/>
      <c r="L92" s="956"/>
    </row>
    <row r="93" spans="1:12" x14ac:dyDescent="0.2">
      <c r="A93" s="956"/>
      <c r="B93" s="956"/>
      <c r="C93" s="956"/>
      <c r="D93" s="956"/>
      <c r="E93" s="956"/>
      <c r="F93" s="956"/>
      <c r="G93" s="956"/>
      <c r="H93" s="956"/>
      <c r="I93" s="956"/>
      <c r="J93" s="956"/>
      <c r="K93" s="956"/>
      <c r="L93" s="956"/>
    </row>
    <row r="94" spans="1:12" x14ac:dyDescent="0.2">
      <c r="A94" s="956"/>
      <c r="B94" s="956"/>
      <c r="C94" s="956"/>
      <c r="D94" s="956"/>
      <c r="E94" s="956"/>
      <c r="F94" s="956"/>
      <c r="G94" s="956"/>
      <c r="H94" s="956"/>
      <c r="I94" s="956"/>
      <c r="J94" s="956"/>
      <c r="K94" s="956"/>
      <c r="L94" s="956"/>
    </row>
    <row r="95" spans="1:12" x14ac:dyDescent="0.2">
      <c r="A95" s="956"/>
      <c r="B95" s="956"/>
      <c r="C95" s="956"/>
      <c r="D95" s="956"/>
      <c r="E95" s="956"/>
      <c r="F95" s="956"/>
      <c r="G95" s="956"/>
      <c r="H95" s="956"/>
      <c r="I95" s="956"/>
      <c r="J95" s="956"/>
      <c r="K95" s="956"/>
      <c r="L95" s="956"/>
    </row>
    <row r="96" spans="1:12" x14ac:dyDescent="0.2">
      <c r="A96" s="956"/>
      <c r="B96" s="956"/>
      <c r="C96" s="956"/>
      <c r="D96" s="956"/>
      <c r="E96" s="956"/>
      <c r="F96" s="956"/>
      <c r="G96" s="956"/>
      <c r="H96" s="956"/>
      <c r="I96" s="956"/>
      <c r="J96" s="956"/>
      <c r="K96" s="956"/>
      <c r="L96" s="956"/>
    </row>
    <row r="97" spans="1:12" x14ac:dyDescent="0.2">
      <c r="A97" s="956"/>
      <c r="B97" s="956"/>
      <c r="C97" s="956"/>
      <c r="D97" s="956"/>
      <c r="E97" s="956"/>
      <c r="F97" s="956"/>
      <c r="G97" s="956"/>
      <c r="H97" s="956"/>
      <c r="I97" s="956"/>
      <c r="J97" s="956"/>
      <c r="K97" s="956"/>
      <c r="L97" s="956"/>
    </row>
    <row r="98" spans="1:12" x14ac:dyDescent="0.2">
      <c r="A98" s="956"/>
      <c r="B98" s="956"/>
      <c r="C98" s="956"/>
      <c r="D98" s="956"/>
      <c r="E98" s="956"/>
      <c r="F98" s="956"/>
      <c r="G98" s="956"/>
      <c r="H98" s="956"/>
      <c r="I98" s="956"/>
      <c r="J98" s="956"/>
      <c r="K98" s="956"/>
      <c r="L98" s="956"/>
    </row>
    <row r="99" spans="1:12" x14ac:dyDescent="0.2">
      <c r="A99" s="956"/>
      <c r="B99" s="956"/>
      <c r="C99" s="956"/>
      <c r="D99" s="956"/>
      <c r="E99" s="956"/>
      <c r="F99" s="956"/>
      <c r="G99" s="956"/>
      <c r="H99" s="956"/>
      <c r="I99" s="956"/>
      <c r="J99" s="956"/>
      <c r="K99" s="956"/>
      <c r="L99" s="956"/>
    </row>
    <row r="100" spans="1:12" x14ac:dyDescent="0.2">
      <c r="A100" s="956"/>
      <c r="B100" s="956"/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</row>
    <row r="101" spans="1:12" x14ac:dyDescent="0.2">
      <c r="A101" s="956"/>
      <c r="B101" s="956"/>
      <c r="C101" s="956"/>
      <c r="D101" s="956"/>
      <c r="E101" s="956"/>
      <c r="F101" s="956"/>
      <c r="G101" s="956"/>
      <c r="H101" s="956"/>
      <c r="I101" s="956"/>
      <c r="J101" s="956"/>
      <c r="K101" s="956"/>
      <c r="L101" s="956"/>
    </row>
    <row r="102" spans="1:12" x14ac:dyDescent="0.2">
      <c r="A102" s="956"/>
      <c r="B102" s="956"/>
      <c r="C102" s="956"/>
      <c r="D102" s="956"/>
      <c r="E102" s="956"/>
      <c r="F102" s="956"/>
      <c r="G102" s="956"/>
      <c r="H102" s="956"/>
      <c r="I102" s="956"/>
      <c r="J102" s="956"/>
      <c r="K102" s="956"/>
      <c r="L102" s="956"/>
    </row>
    <row r="103" spans="1:12" x14ac:dyDescent="0.2">
      <c r="A103" s="956"/>
      <c r="B103" s="956"/>
      <c r="C103" s="956"/>
      <c r="D103" s="956"/>
      <c r="E103" s="956"/>
      <c r="F103" s="956"/>
      <c r="G103" s="956"/>
      <c r="H103" s="956"/>
      <c r="I103" s="956"/>
      <c r="J103" s="956"/>
      <c r="K103" s="956"/>
      <c r="L103" s="956"/>
    </row>
    <row r="104" spans="1:12" x14ac:dyDescent="0.2">
      <c r="A104" s="956"/>
      <c r="B104" s="956"/>
      <c r="C104" s="956"/>
      <c r="D104" s="956"/>
      <c r="E104" s="956"/>
      <c r="F104" s="956"/>
      <c r="G104" s="956"/>
      <c r="H104" s="956"/>
      <c r="I104" s="956"/>
      <c r="J104" s="956"/>
      <c r="K104" s="956"/>
      <c r="L104" s="956"/>
    </row>
    <row r="105" spans="1:12" x14ac:dyDescent="0.2">
      <c r="A105" s="956"/>
      <c r="B105" s="956"/>
      <c r="C105" s="956"/>
      <c r="D105" s="956"/>
      <c r="E105" s="956"/>
      <c r="F105" s="956"/>
      <c r="G105" s="956"/>
      <c r="H105" s="956"/>
      <c r="I105" s="956"/>
      <c r="J105" s="956"/>
      <c r="K105" s="956"/>
      <c r="L105" s="956"/>
    </row>
    <row r="106" spans="1:12" x14ac:dyDescent="0.2">
      <c r="A106" s="956"/>
      <c r="B106" s="956"/>
      <c r="C106" s="956"/>
      <c r="D106" s="956"/>
      <c r="E106" s="956"/>
      <c r="F106" s="956"/>
      <c r="G106" s="956"/>
      <c r="H106" s="956"/>
      <c r="I106" s="956"/>
      <c r="J106" s="956"/>
      <c r="K106" s="956"/>
      <c r="L106" s="956"/>
    </row>
    <row r="107" spans="1:12" x14ac:dyDescent="0.2">
      <c r="A107" s="956"/>
      <c r="B107" s="956"/>
      <c r="C107" s="956"/>
      <c r="D107" s="956"/>
      <c r="E107" s="956"/>
      <c r="F107" s="956"/>
      <c r="G107" s="956"/>
      <c r="H107" s="956"/>
      <c r="I107" s="956"/>
      <c r="J107" s="956"/>
      <c r="K107" s="956"/>
      <c r="L107" s="956"/>
    </row>
    <row r="108" spans="1:12" x14ac:dyDescent="0.2">
      <c r="A108" s="956"/>
      <c r="B108" s="956"/>
      <c r="C108" s="956"/>
      <c r="D108" s="956"/>
      <c r="E108" s="956"/>
      <c r="F108" s="956"/>
      <c r="G108" s="956"/>
      <c r="H108" s="956"/>
      <c r="I108" s="956"/>
      <c r="J108" s="956"/>
      <c r="K108" s="956"/>
      <c r="L108" s="956"/>
    </row>
  </sheetData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4293-9091-440D-81AD-49D5175C51A6}">
  <sheetPr>
    <pageSetUpPr fitToPage="1"/>
  </sheetPr>
  <dimension ref="A1:K8"/>
  <sheetViews>
    <sheetView showGridLines="0" workbookViewId="0">
      <selection sqref="A1:I1"/>
    </sheetView>
  </sheetViews>
  <sheetFormatPr defaultRowHeight="15" x14ac:dyDescent="0.25"/>
  <cols>
    <col min="1" max="8" width="9.140625" style="1482"/>
    <col min="9" max="9" width="17.28515625" style="1482" customWidth="1"/>
    <col min="10" max="11" width="9.140625" style="1482"/>
    <col min="12" max="12" width="14.5703125" style="1482" bestFit="1" customWidth="1"/>
    <col min="13" max="238" width="9.140625" style="1482"/>
    <col min="239" max="239" width="14.85546875" style="1482" bestFit="1" customWidth="1"/>
    <col min="240" max="244" width="9.140625" style="1482"/>
    <col min="245" max="245" width="29.28515625" style="1482" bestFit="1" customWidth="1"/>
    <col min="246" max="494" width="9.140625" style="1482"/>
    <col min="495" max="495" width="14.85546875" style="1482" bestFit="1" customWidth="1"/>
    <col min="496" max="500" width="9.140625" style="1482"/>
    <col min="501" max="501" width="29.28515625" style="1482" bestFit="1" customWidth="1"/>
    <col min="502" max="750" width="9.140625" style="1482"/>
    <col min="751" max="751" width="14.85546875" style="1482" bestFit="1" customWidth="1"/>
    <col min="752" max="756" width="9.140625" style="1482"/>
    <col min="757" max="757" width="29.28515625" style="1482" bestFit="1" customWidth="1"/>
    <col min="758" max="1006" width="9.140625" style="1482"/>
    <col min="1007" max="1007" width="14.85546875" style="1482" bestFit="1" customWidth="1"/>
    <col min="1008" max="1012" width="9.140625" style="1482"/>
    <col min="1013" max="1013" width="29.28515625" style="1482" bestFit="1" customWidth="1"/>
    <col min="1014" max="1262" width="9.140625" style="1482"/>
    <col min="1263" max="1263" width="14.85546875" style="1482" bestFit="1" customWidth="1"/>
    <col min="1264" max="1268" width="9.140625" style="1482"/>
    <col min="1269" max="1269" width="29.28515625" style="1482" bestFit="1" customWidth="1"/>
    <col min="1270" max="1518" width="9.140625" style="1482"/>
    <col min="1519" max="1519" width="14.85546875" style="1482" bestFit="1" customWidth="1"/>
    <col min="1520" max="1524" width="9.140625" style="1482"/>
    <col min="1525" max="1525" width="29.28515625" style="1482" bestFit="1" customWidth="1"/>
    <col min="1526" max="1774" width="9.140625" style="1482"/>
    <col min="1775" max="1775" width="14.85546875" style="1482" bestFit="1" customWidth="1"/>
    <col min="1776" max="1780" width="9.140625" style="1482"/>
    <col min="1781" max="1781" width="29.28515625" style="1482" bestFit="1" customWidth="1"/>
    <col min="1782" max="2030" width="9.140625" style="1482"/>
    <col min="2031" max="2031" width="14.85546875" style="1482" bestFit="1" customWidth="1"/>
    <col min="2032" max="2036" width="9.140625" style="1482"/>
    <col min="2037" max="2037" width="29.28515625" style="1482" bestFit="1" customWidth="1"/>
    <col min="2038" max="2286" width="9.140625" style="1482"/>
    <col min="2287" max="2287" width="14.85546875" style="1482" bestFit="1" customWidth="1"/>
    <col min="2288" max="2292" width="9.140625" style="1482"/>
    <col min="2293" max="2293" width="29.28515625" style="1482" bestFit="1" customWidth="1"/>
    <col min="2294" max="2542" width="9.140625" style="1482"/>
    <col min="2543" max="2543" width="14.85546875" style="1482" bestFit="1" customWidth="1"/>
    <col min="2544" max="2548" width="9.140625" style="1482"/>
    <col min="2549" max="2549" width="29.28515625" style="1482" bestFit="1" customWidth="1"/>
    <col min="2550" max="2798" width="9.140625" style="1482"/>
    <col min="2799" max="2799" width="14.85546875" style="1482" bestFit="1" customWidth="1"/>
    <col min="2800" max="2804" width="9.140625" style="1482"/>
    <col min="2805" max="2805" width="29.28515625" style="1482" bestFit="1" customWidth="1"/>
    <col min="2806" max="3054" width="9.140625" style="1482"/>
    <col min="3055" max="3055" width="14.85546875" style="1482" bestFit="1" customWidth="1"/>
    <col min="3056" max="3060" width="9.140625" style="1482"/>
    <col min="3061" max="3061" width="29.28515625" style="1482" bestFit="1" customWidth="1"/>
    <col min="3062" max="3310" width="9.140625" style="1482"/>
    <col min="3311" max="3311" width="14.85546875" style="1482" bestFit="1" customWidth="1"/>
    <col min="3312" max="3316" width="9.140625" style="1482"/>
    <col min="3317" max="3317" width="29.28515625" style="1482" bestFit="1" customWidth="1"/>
    <col min="3318" max="3566" width="9.140625" style="1482"/>
    <col min="3567" max="3567" width="14.85546875" style="1482" bestFit="1" customWidth="1"/>
    <col min="3568" max="3572" width="9.140625" style="1482"/>
    <col min="3573" max="3573" width="29.28515625" style="1482" bestFit="1" customWidth="1"/>
    <col min="3574" max="3822" width="9.140625" style="1482"/>
    <col min="3823" max="3823" width="14.85546875" style="1482" bestFit="1" customWidth="1"/>
    <col min="3824" max="3828" width="9.140625" style="1482"/>
    <col min="3829" max="3829" width="29.28515625" style="1482" bestFit="1" customWidth="1"/>
    <col min="3830" max="4078" width="9.140625" style="1482"/>
    <col min="4079" max="4079" width="14.85546875" style="1482" bestFit="1" customWidth="1"/>
    <col min="4080" max="4084" width="9.140625" style="1482"/>
    <col min="4085" max="4085" width="29.28515625" style="1482" bestFit="1" customWidth="1"/>
    <col min="4086" max="4334" width="9.140625" style="1482"/>
    <col min="4335" max="4335" width="14.85546875" style="1482" bestFit="1" customWidth="1"/>
    <col min="4336" max="4340" width="9.140625" style="1482"/>
    <col min="4341" max="4341" width="29.28515625" style="1482" bestFit="1" customWidth="1"/>
    <col min="4342" max="4590" width="9.140625" style="1482"/>
    <col min="4591" max="4591" width="14.85546875" style="1482" bestFit="1" customWidth="1"/>
    <col min="4592" max="4596" width="9.140625" style="1482"/>
    <col min="4597" max="4597" width="29.28515625" style="1482" bestFit="1" customWidth="1"/>
    <col min="4598" max="4846" width="9.140625" style="1482"/>
    <col min="4847" max="4847" width="14.85546875" style="1482" bestFit="1" customWidth="1"/>
    <col min="4848" max="4852" width="9.140625" style="1482"/>
    <col min="4853" max="4853" width="29.28515625" style="1482" bestFit="1" customWidth="1"/>
    <col min="4854" max="5102" width="9.140625" style="1482"/>
    <col min="5103" max="5103" width="14.85546875" style="1482" bestFit="1" customWidth="1"/>
    <col min="5104" max="5108" width="9.140625" style="1482"/>
    <col min="5109" max="5109" width="29.28515625" style="1482" bestFit="1" customWidth="1"/>
    <col min="5110" max="5358" width="9.140625" style="1482"/>
    <col min="5359" max="5359" width="14.85546875" style="1482" bestFit="1" customWidth="1"/>
    <col min="5360" max="5364" width="9.140625" style="1482"/>
    <col min="5365" max="5365" width="29.28515625" style="1482" bestFit="1" customWidth="1"/>
    <col min="5366" max="5614" width="9.140625" style="1482"/>
    <col min="5615" max="5615" width="14.85546875" style="1482" bestFit="1" customWidth="1"/>
    <col min="5616" max="5620" width="9.140625" style="1482"/>
    <col min="5621" max="5621" width="29.28515625" style="1482" bestFit="1" customWidth="1"/>
    <col min="5622" max="5870" width="9.140625" style="1482"/>
    <col min="5871" max="5871" width="14.85546875" style="1482" bestFit="1" customWidth="1"/>
    <col min="5872" max="5876" width="9.140625" style="1482"/>
    <col min="5877" max="5877" width="29.28515625" style="1482" bestFit="1" customWidth="1"/>
    <col min="5878" max="6126" width="9.140625" style="1482"/>
    <col min="6127" max="6127" width="14.85546875" style="1482" bestFit="1" customWidth="1"/>
    <col min="6128" max="6132" width="9.140625" style="1482"/>
    <col min="6133" max="6133" width="29.28515625" style="1482" bestFit="1" customWidth="1"/>
    <col min="6134" max="6382" width="9.140625" style="1482"/>
    <col min="6383" max="6383" width="14.85546875" style="1482" bestFit="1" customWidth="1"/>
    <col min="6384" max="6388" width="9.140625" style="1482"/>
    <col min="6389" max="6389" width="29.28515625" style="1482" bestFit="1" customWidth="1"/>
    <col min="6390" max="6638" width="9.140625" style="1482"/>
    <col min="6639" max="6639" width="14.85546875" style="1482" bestFit="1" customWidth="1"/>
    <col min="6640" max="6644" width="9.140625" style="1482"/>
    <col min="6645" max="6645" width="29.28515625" style="1482" bestFit="1" customWidth="1"/>
    <col min="6646" max="6894" width="9.140625" style="1482"/>
    <col min="6895" max="6895" width="14.85546875" style="1482" bestFit="1" customWidth="1"/>
    <col min="6896" max="6900" width="9.140625" style="1482"/>
    <col min="6901" max="6901" width="29.28515625" style="1482" bestFit="1" customWidth="1"/>
    <col min="6902" max="7150" width="9.140625" style="1482"/>
    <col min="7151" max="7151" width="14.85546875" style="1482" bestFit="1" customWidth="1"/>
    <col min="7152" max="7156" width="9.140625" style="1482"/>
    <col min="7157" max="7157" width="29.28515625" style="1482" bestFit="1" customWidth="1"/>
    <col min="7158" max="7406" width="9.140625" style="1482"/>
    <col min="7407" max="7407" width="14.85546875" style="1482" bestFit="1" customWidth="1"/>
    <col min="7408" max="7412" width="9.140625" style="1482"/>
    <col min="7413" max="7413" width="29.28515625" style="1482" bestFit="1" customWidth="1"/>
    <col min="7414" max="7662" width="9.140625" style="1482"/>
    <col min="7663" max="7663" width="14.85546875" style="1482" bestFit="1" customWidth="1"/>
    <col min="7664" max="7668" width="9.140625" style="1482"/>
    <col min="7669" max="7669" width="29.28515625" style="1482" bestFit="1" customWidth="1"/>
    <col min="7670" max="7918" width="9.140625" style="1482"/>
    <col min="7919" max="7919" width="14.85546875" style="1482" bestFit="1" customWidth="1"/>
    <col min="7920" max="7924" width="9.140625" style="1482"/>
    <col min="7925" max="7925" width="29.28515625" style="1482" bestFit="1" customWidth="1"/>
    <col min="7926" max="8174" width="9.140625" style="1482"/>
    <col min="8175" max="8175" width="14.85546875" style="1482" bestFit="1" customWidth="1"/>
    <col min="8176" max="8180" width="9.140625" style="1482"/>
    <col min="8181" max="8181" width="29.28515625" style="1482" bestFit="1" customWidth="1"/>
    <col min="8182" max="8430" width="9.140625" style="1482"/>
    <col min="8431" max="8431" width="14.85546875" style="1482" bestFit="1" customWidth="1"/>
    <col min="8432" max="8436" width="9.140625" style="1482"/>
    <col min="8437" max="8437" width="29.28515625" style="1482" bestFit="1" customWidth="1"/>
    <col min="8438" max="8686" width="9.140625" style="1482"/>
    <col min="8687" max="8687" width="14.85546875" style="1482" bestFit="1" customWidth="1"/>
    <col min="8688" max="8692" width="9.140625" style="1482"/>
    <col min="8693" max="8693" width="29.28515625" style="1482" bestFit="1" customWidth="1"/>
    <col min="8694" max="8942" width="9.140625" style="1482"/>
    <col min="8943" max="8943" width="14.85546875" style="1482" bestFit="1" customWidth="1"/>
    <col min="8944" max="8948" width="9.140625" style="1482"/>
    <col min="8949" max="8949" width="29.28515625" style="1482" bestFit="1" customWidth="1"/>
    <col min="8950" max="9198" width="9.140625" style="1482"/>
    <col min="9199" max="9199" width="14.85546875" style="1482" bestFit="1" customWidth="1"/>
    <col min="9200" max="9204" width="9.140625" style="1482"/>
    <col min="9205" max="9205" width="29.28515625" style="1482" bestFit="1" customWidth="1"/>
    <col min="9206" max="9454" width="9.140625" style="1482"/>
    <col min="9455" max="9455" width="14.85546875" style="1482" bestFit="1" customWidth="1"/>
    <col min="9456" max="9460" width="9.140625" style="1482"/>
    <col min="9461" max="9461" width="29.28515625" style="1482" bestFit="1" customWidth="1"/>
    <col min="9462" max="9710" width="9.140625" style="1482"/>
    <col min="9711" max="9711" width="14.85546875" style="1482" bestFit="1" customWidth="1"/>
    <col min="9712" max="9716" width="9.140625" style="1482"/>
    <col min="9717" max="9717" width="29.28515625" style="1482" bestFit="1" customWidth="1"/>
    <col min="9718" max="9966" width="9.140625" style="1482"/>
    <col min="9967" max="9967" width="14.85546875" style="1482" bestFit="1" customWidth="1"/>
    <col min="9968" max="9972" width="9.140625" style="1482"/>
    <col min="9973" max="9973" width="29.28515625" style="1482" bestFit="1" customWidth="1"/>
    <col min="9974" max="10222" width="9.140625" style="1482"/>
    <col min="10223" max="10223" width="14.85546875" style="1482" bestFit="1" customWidth="1"/>
    <col min="10224" max="10228" width="9.140625" style="1482"/>
    <col min="10229" max="10229" width="29.28515625" style="1482" bestFit="1" customWidth="1"/>
    <col min="10230" max="10478" width="9.140625" style="1482"/>
    <col min="10479" max="10479" width="14.85546875" style="1482" bestFit="1" customWidth="1"/>
    <col min="10480" max="10484" width="9.140625" style="1482"/>
    <col min="10485" max="10485" width="29.28515625" style="1482" bestFit="1" customWidth="1"/>
    <col min="10486" max="10734" width="9.140625" style="1482"/>
    <col min="10735" max="10735" width="14.85546875" style="1482" bestFit="1" customWidth="1"/>
    <col min="10736" max="10740" width="9.140625" style="1482"/>
    <col min="10741" max="10741" width="29.28515625" style="1482" bestFit="1" customWidth="1"/>
    <col min="10742" max="10990" width="9.140625" style="1482"/>
    <col min="10991" max="10991" width="14.85546875" style="1482" bestFit="1" customWidth="1"/>
    <col min="10992" max="10996" width="9.140625" style="1482"/>
    <col min="10997" max="10997" width="29.28515625" style="1482" bestFit="1" customWidth="1"/>
    <col min="10998" max="11246" width="9.140625" style="1482"/>
    <col min="11247" max="11247" width="14.85546875" style="1482" bestFit="1" customWidth="1"/>
    <col min="11248" max="11252" width="9.140625" style="1482"/>
    <col min="11253" max="11253" width="29.28515625" style="1482" bestFit="1" customWidth="1"/>
    <col min="11254" max="11502" width="9.140625" style="1482"/>
    <col min="11503" max="11503" width="14.85546875" style="1482" bestFit="1" customWidth="1"/>
    <col min="11504" max="11508" width="9.140625" style="1482"/>
    <col min="11509" max="11509" width="29.28515625" style="1482" bestFit="1" customWidth="1"/>
    <col min="11510" max="11758" width="9.140625" style="1482"/>
    <col min="11759" max="11759" width="14.85546875" style="1482" bestFit="1" customWidth="1"/>
    <col min="11760" max="11764" width="9.140625" style="1482"/>
    <col min="11765" max="11765" width="29.28515625" style="1482" bestFit="1" customWidth="1"/>
    <col min="11766" max="12014" width="9.140625" style="1482"/>
    <col min="12015" max="12015" width="14.85546875" style="1482" bestFit="1" customWidth="1"/>
    <col min="12016" max="12020" width="9.140625" style="1482"/>
    <col min="12021" max="12021" width="29.28515625" style="1482" bestFit="1" customWidth="1"/>
    <col min="12022" max="12270" width="9.140625" style="1482"/>
    <col min="12271" max="12271" width="14.85546875" style="1482" bestFit="1" customWidth="1"/>
    <col min="12272" max="12276" width="9.140625" style="1482"/>
    <col min="12277" max="12277" width="29.28515625" style="1482" bestFit="1" customWidth="1"/>
    <col min="12278" max="12526" width="9.140625" style="1482"/>
    <col min="12527" max="12527" width="14.85546875" style="1482" bestFit="1" customWidth="1"/>
    <col min="12528" max="12532" width="9.140625" style="1482"/>
    <col min="12533" max="12533" width="29.28515625" style="1482" bestFit="1" customWidth="1"/>
    <col min="12534" max="12782" width="9.140625" style="1482"/>
    <col min="12783" max="12783" width="14.85546875" style="1482" bestFit="1" customWidth="1"/>
    <col min="12784" max="12788" width="9.140625" style="1482"/>
    <col min="12789" max="12789" width="29.28515625" style="1482" bestFit="1" customWidth="1"/>
    <col min="12790" max="13038" width="9.140625" style="1482"/>
    <col min="13039" max="13039" width="14.85546875" style="1482" bestFit="1" customWidth="1"/>
    <col min="13040" max="13044" width="9.140625" style="1482"/>
    <col min="13045" max="13045" width="29.28515625" style="1482" bestFit="1" customWidth="1"/>
    <col min="13046" max="13294" width="9.140625" style="1482"/>
    <col min="13295" max="13295" width="14.85546875" style="1482" bestFit="1" customWidth="1"/>
    <col min="13296" max="13300" width="9.140625" style="1482"/>
    <col min="13301" max="13301" width="29.28515625" style="1482" bestFit="1" customWidth="1"/>
    <col min="13302" max="13550" width="9.140625" style="1482"/>
    <col min="13551" max="13551" width="14.85546875" style="1482" bestFit="1" customWidth="1"/>
    <col min="13552" max="13556" width="9.140625" style="1482"/>
    <col min="13557" max="13557" width="29.28515625" style="1482" bestFit="1" customWidth="1"/>
    <col min="13558" max="13806" width="9.140625" style="1482"/>
    <col min="13807" max="13807" width="14.85546875" style="1482" bestFit="1" customWidth="1"/>
    <col min="13808" max="13812" width="9.140625" style="1482"/>
    <col min="13813" max="13813" width="29.28515625" style="1482" bestFit="1" customWidth="1"/>
    <col min="13814" max="14062" width="9.140625" style="1482"/>
    <col min="14063" max="14063" width="14.85546875" style="1482" bestFit="1" customWidth="1"/>
    <col min="14064" max="14068" width="9.140625" style="1482"/>
    <col min="14069" max="14069" width="29.28515625" style="1482" bestFit="1" customWidth="1"/>
    <col min="14070" max="14318" width="9.140625" style="1482"/>
    <col min="14319" max="14319" width="14.85546875" style="1482" bestFit="1" customWidth="1"/>
    <col min="14320" max="14324" width="9.140625" style="1482"/>
    <col min="14325" max="14325" width="29.28515625" style="1482" bestFit="1" customWidth="1"/>
    <col min="14326" max="14574" width="9.140625" style="1482"/>
    <col min="14575" max="14575" width="14.85546875" style="1482" bestFit="1" customWidth="1"/>
    <col min="14576" max="14580" width="9.140625" style="1482"/>
    <col min="14581" max="14581" width="29.28515625" style="1482" bestFit="1" customWidth="1"/>
    <col min="14582" max="14830" width="9.140625" style="1482"/>
    <col min="14831" max="14831" width="14.85546875" style="1482" bestFit="1" customWidth="1"/>
    <col min="14832" max="14836" width="9.140625" style="1482"/>
    <col min="14837" max="14837" width="29.28515625" style="1482" bestFit="1" customWidth="1"/>
    <col min="14838" max="15086" width="9.140625" style="1482"/>
    <col min="15087" max="15087" width="14.85546875" style="1482" bestFit="1" customWidth="1"/>
    <col min="15088" max="15092" width="9.140625" style="1482"/>
    <col min="15093" max="15093" width="29.28515625" style="1482" bestFit="1" customWidth="1"/>
    <col min="15094" max="15342" width="9.140625" style="1482"/>
    <col min="15343" max="15343" width="14.85546875" style="1482" bestFit="1" customWidth="1"/>
    <col min="15344" max="15348" width="9.140625" style="1482"/>
    <col min="15349" max="15349" width="29.28515625" style="1482" bestFit="1" customWidth="1"/>
    <col min="15350" max="15598" width="9.140625" style="1482"/>
    <col min="15599" max="15599" width="14.85546875" style="1482" bestFit="1" customWidth="1"/>
    <col min="15600" max="15604" width="9.140625" style="1482"/>
    <col min="15605" max="15605" width="29.28515625" style="1482" bestFit="1" customWidth="1"/>
    <col min="15606" max="15854" width="9.140625" style="1482"/>
    <col min="15855" max="15855" width="14.85546875" style="1482" bestFit="1" customWidth="1"/>
    <col min="15856" max="15860" width="9.140625" style="1482"/>
    <col min="15861" max="15861" width="29.28515625" style="1482" bestFit="1" customWidth="1"/>
    <col min="15862" max="16110" width="9.140625" style="1482"/>
    <col min="16111" max="16111" width="14.85546875" style="1482" bestFit="1" customWidth="1"/>
    <col min="16112" max="16116" width="9.140625" style="1482"/>
    <col min="16117" max="16117" width="29.28515625" style="1482" bestFit="1" customWidth="1"/>
    <col min="16118" max="16384" width="9.140625" style="1482"/>
  </cols>
  <sheetData>
    <row r="1" spans="1:11" x14ac:dyDescent="0.25">
      <c r="A1" s="1614" t="s">
        <v>1174</v>
      </c>
      <c r="B1" s="1614"/>
      <c r="C1" s="1614"/>
      <c r="D1" s="1614"/>
      <c r="E1" s="1614"/>
      <c r="F1" s="1614"/>
      <c r="G1" s="1614"/>
      <c r="H1" s="1614"/>
      <c r="I1" s="1614"/>
    </row>
    <row r="2" spans="1:11" x14ac:dyDescent="0.25">
      <c r="A2" s="1434"/>
      <c r="B2" s="1466" t="s">
        <v>1164</v>
      </c>
      <c r="C2" s="1466" t="s">
        <v>1165</v>
      </c>
      <c r="D2" s="1466" t="s">
        <v>1166</v>
      </c>
      <c r="E2" s="1466" t="s">
        <v>1167</v>
      </c>
      <c r="F2" s="1466" t="s">
        <v>1170</v>
      </c>
      <c r="G2" s="1466" t="s">
        <v>1171</v>
      </c>
      <c r="H2" s="1466" t="s">
        <v>1172</v>
      </c>
      <c r="I2" s="1435" t="s">
        <v>1004</v>
      </c>
    </row>
    <row r="3" spans="1:11" x14ac:dyDescent="0.25">
      <c r="A3" s="1483">
        <v>2017</v>
      </c>
      <c r="B3" s="1486">
        <v>-7.7701002582176507E-3</v>
      </c>
      <c r="C3" s="1486"/>
      <c r="D3" s="1486"/>
      <c r="E3" s="1486"/>
      <c r="F3" s="1486"/>
      <c r="G3" s="1486"/>
      <c r="H3" s="1486"/>
      <c r="I3" s="1486">
        <v>-7.7701002582176507E-3</v>
      </c>
      <c r="J3" s="1484"/>
    </row>
    <row r="4" spans="1:11" x14ac:dyDescent="0.25">
      <c r="A4" s="1483">
        <v>2018</v>
      </c>
      <c r="B4" s="1486">
        <v>-7.8840436048639977E-3</v>
      </c>
      <c r="C4" s="1486">
        <v>6.4289652981754965E-4</v>
      </c>
      <c r="D4" s="1486">
        <v>4.6606630949815563E-4</v>
      </c>
      <c r="E4" s="1486">
        <v>7.7508076554829233E-4</v>
      </c>
      <c r="F4" s="1486">
        <v>3.6562873949537011E-4</v>
      </c>
      <c r="G4" s="1486">
        <v>4.0339550918928359E-4</v>
      </c>
      <c r="H4" s="1486">
        <v>4.720910843355507E-4</v>
      </c>
      <c r="I4" s="1486">
        <v>-6.0000000000000001E-3</v>
      </c>
    </row>
    <row r="5" spans="1:11" x14ac:dyDescent="0.25">
      <c r="A5" s="1483">
        <v>2019</v>
      </c>
      <c r="B5" s="1486">
        <v>-6.889735580053959E-3</v>
      </c>
      <c r="C5" s="1486">
        <v>2.0089273182707255E-3</v>
      </c>
      <c r="D5" s="1486">
        <v>1.456895117182104E-3</v>
      </c>
      <c r="E5" s="1486">
        <v>2.4239131446011294E-3</v>
      </c>
      <c r="F5" s="1486">
        <v>1.1785978032401981E-3</v>
      </c>
      <c r="G5" s="1486">
        <v>1.2702106796432747E-3</v>
      </c>
      <c r="H5" s="1486">
        <v>1.4974696764427956E-3</v>
      </c>
      <c r="I5" s="1486">
        <v>-1E-3</v>
      </c>
      <c r="K5" s="1487"/>
    </row>
    <row r="6" spans="1:11" x14ac:dyDescent="0.25">
      <c r="A6" s="1483">
        <v>2020</v>
      </c>
      <c r="B6" s="1486">
        <v>-1.5187260466886567E-2</v>
      </c>
      <c r="C6" s="1486">
        <v>5.151147236962238E-3</v>
      </c>
      <c r="D6" s="1486">
        <v>3.7541546386445097E-3</v>
      </c>
      <c r="E6" s="1486">
        <v>6.2819585912798192E-3</v>
      </c>
      <c r="F6" s="1486">
        <v>3.0924689343873849E-3</v>
      </c>
      <c r="G6" s="1486">
        <v>3.3432835339663541E-3</v>
      </c>
      <c r="H6" s="1486">
        <v>3.9793275203484184E-3</v>
      </c>
      <c r="I6" s="1486">
        <v>0</v>
      </c>
      <c r="K6" s="1487"/>
    </row>
    <row r="7" spans="1:11" x14ac:dyDescent="0.25">
      <c r="A7" s="1485">
        <v>2021</v>
      </c>
      <c r="B7" s="1488">
        <v>-2.6732965247032947E-2</v>
      </c>
      <c r="C7" s="1488">
        <v>9.7841890643255575E-3</v>
      </c>
      <c r="D7" s="1488">
        <v>7.1047442545557355E-3</v>
      </c>
      <c r="E7" s="1488">
        <v>1.1844031928151654E-2</v>
      </c>
      <c r="F7" s="1488">
        <v>5.8506502635307812E-3</v>
      </c>
      <c r="G7" s="1488">
        <v>6.3010771225186692E-3</v>
      </c>
      <c r="H7" s="1488">
        <v>7.5162197845070524E-3</v>
      </c>
      <c r="I7" s="1488">
        <v>2E-3</v>
      </c>
    </row>
    <row r="8" spans="1:11" x14ac:dyDescent="0.25">
      <c r="I8" s="1442" t="s">
        <v>84</v>
      </c>
    </row>
  </sheetData>
  <mergeCells count="1">
    <mergeCell ref="A1:I1"/>
  </mergeCells>
  <pageMargins left="0.25" right="0.25" top="0.75" bottom="0.75" header="0.3" footer="0.3"/>
  <pageSetup fitToHeight="0" orientation="portrait" horizontalDpi="4294967294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DAC7-D987-4BDF-9B24-AAA7F5D84D08}">
  <sheetPr>
    <pageSetUpPr fitToPage="1"/>
  </sheetPr>
  <dimension ref="A1:J8"/>
  <sheetViews>
    <sheetView showGridLines="0" workbookViewId="0">
      <selection sqref="A1:I1"/>
    </sheetView>
  </sheetViews>
  <sheetFormatPr defaultRowHeight="15" x14ac:dyDescent="0.25"/>
  <cols>
    <col min="1" max="8" width="9.140625" style="1482"/>
    <col min="9" max="9" width="17.28515625" style="1482" customWidth="1"/>
    <col min="10" max="238" width="9.140625" style="1482"/>
    <col min="239" max="239" width="14.85546875" style="1482" customWidth="1"/>
    <col min="240" max="244" width="9.140625" style="1482"/>
    <col min="245" max="245" width="29.28515625" style="1482" customWidth="1"/>
    <col min="246" max="494" width="9.140625" style="1482"/>
    <col min="495" max="495" width="14.85546875" style="1482" customWidth="1"/>
    <col min="496" max="500" width="9.140625" style="1482"/>
    <col min="501" max="501" width="29.28515625" style="1482" customWidth="1"/>
    <col min="502" max="750" width="9.140625" style="1482"/>
    <col min="751" max="751" width="14.85546875" style="1482" customWidth="1"/>
    <col min="752" max="756" width="9.140625" style="1482"/>
    <col min="757" max="757" width="29.28515625" style="1482" customWidth="1"/>
    <col min="758" max="1006" width="9.140625" style="1482"/>
    <col min="1007" max="1007" width="14.85546875" style="1482" customWidth="1"/>
    <col min="1008" max="1012" width="9.140625" style="1482"/>
    <col min="1013" max="1013" width="29.28515625" style="1482" customWidth="1"/>
    <col min="1014" max="1262" width="9.140625" style="1482"/>
    <col min="1263" max="1263" width="14.85546875" style="1482" customWidth="1"/>
    <col min="1264" max="1268" width="9.140625" style="1482"/>
    <col min="1269" max="1269" width="29.28515625" style="1482" customWidth="1"/>
    <col min="1270" max="1518" width="9.140625" style="1482"/>
    <col min="1519" max="1519" width="14.85546875" style="1482" customWidth="1"/>
    <col min="1520" max="1524" width="9.140625" style="1482"/>
    <col min="1525" max="1525" width="29.28515625" style="1482" customWidth="1"/>
    <col min="1526" max="1774" width="9.140625" style="1482"/>
    <col min="1775" max="1775" width="14.85546875" style="1482" customWidth="1"/>
    <col min="1776" max="1780" width="9.140625" style="1482"/>
    <col min="1781" max="1781" width="29.28515625" style="1482" customWidth="1"/>
    <col min="1782" max="2030" width="9.140625" style="1482"/>
    <col min="2031" max="2031" width="14.85546875" style="1482" customWidth="1"/>
    <col min="2032" max="2036" width="9.140625" style="1482"/>
    <col min="2037" max="2037" width="29.28515625" style="1482" customWidth="1"/>
    <col min="2038" max="2286" width="9.140625" style="1482"/>
    <col min="2287" max="2287" width="14.85546875" style="1482" customWidth="1"/>
    <col min="2288" max="2292" width="9.140625" style="1482"/>
    <col min="2293" max="2293" width="29.28515625" style="1482" customWidth="1"/>
    <col min="2294" max="2542" width="9.140625" style="1482"/>
    <col min="2543" max="2543" width="14.85546875" style="1482" customWidth="1"/>
    <col min="2544" max="2548" width="9.140625" style="1482"/>
    <col min="2549" max="2549" width="29.28515625" style="1482" customWidth="1"/>
    <col min="2550" max="2798" width="9.140625" style="1482"/>
    <col min="2799" max="2799" width="14.85546875" style="1482" customWidth="1"/>
    <col min="2800" max="2804" width="9.140625" style="1482"/>
    <col min="2805" max="2805" width="29.28515625" style="1482" customWidth="1"/>
    <col min="2806" max="3054" width="9.140625" style="1482"/>
    <col min="3055" max="3055" width="14.85546875" style="1482" customWidth="1"/>
    <col min="3056" max="3060" width="9.140625" style="1482"/>
    <col min="3061" max="3061" width="29.28515625" style="1482" customWidth="1"/>
    <col min="3062" max="3310" width="9.140625" style="1482"/>
    <col min="3311" max="3311" width="14.85546875" style="1482" customWidth="1"/>
    <col min="3312" max="3316" width="9.140625" style="1482"/>
    <col min="3317" max="3317" width="29.28515625" style="1482" customWidth="1"/>
    <col min="3318" max="3566" width="9.140625" style="1482"/>
    <col min="3567" max="3567" width="14.85546875" style="1482" customWidth="1"/>
    <col min="3568" max="3572" width="9.140625" style="1482"/>
    <col min="3573" max="3573" width="29.28515625" style="1482" customWidth="1"/>
    <col min="3574" max="3822" width="9.140625" style="1482"/>
    <col min="3823" max="3823" width="14.85546875" style="1482" customWidth="1"/>
    <col min="3824" max="3828" width="9.140625" style="1482"/>
    <col min="3829" max="3829" width="29.28515625" style="1482" customWidth="1"/>
    <col min="3830" max="4078" width="9.140625" style="1482"/>
    <col min="4079" max="4079" width="14.85546875" style="1482" customWidth="1"/>
    <col min="4080" max="4084" width="9.140625" style="1482"/>
    <col min="4085" max="4085" width="29.28515625" style="1482" customWidth="1"/>
    <col min="4086" max="4334" width="9.140625" style="1482"/>
    <col min="4335" max="4335" width="14.85546875" style="1482" customWidth="1"/>
    <col min="4336" max="4340" width="9.140625" style="1482"/>
    <col min="4341" max="4341" width="29.28515625" style="1482" customWidth="1"/>
    <col min="4342" max="4590" width="9.140625" style="1482"/>
    <col min="4591" max="4591" width="14.85546875" style="1482" customWidth="1"/>
    <col min="4592" max="4596" width="9.140625" style="1482"/>
    <col min="4597" max="4597" width="29.28515625" style="1482" customWidth="1"/>
    <col min="4598" max="4846" width="9.140625" style="1482"/>
    <col min="4847" max="4847" width="14.85546875" style="1482" customWidth="1"/>
    <col min="4848" max="4852" width="9.140625" style="1482"/>
    <col min="4853" max="4853" width="29.28515625" style="1482" customWidth="1"/>
    <col min="4854" max="5102" width="9.140625" style="1482"/>
    <col min="5103" max="5103" width="14.85546875" style="1482" customWidth="1"/>
    <col min="5104" max="5108" width="9.140625" style="1482"/>
    <col min="5109" max="5109" width="29.28515625" style="1482" customWidth="1"/>
    <col min="5110" max="5358" width="9.140625" style="1482"/>
    <col min="5359" max="5359" width="14.85546875" style="1482" customWidth="1"/>
    <col min="5360" max="5364" width="9.140625" style="1482"/>
    <col min="5365" max="5365" width="29.28515625" style="1482" customWidth="1"/>
    <col min="5366" max="5614" width="9.140625" style="1482"/>
    <col min="5615" max="5615" width="14.85546875" style="1482" customWidth="1"/>
    <col min="5616" max="5620" width="9.140625" style="1482"/>
    <col min="5621" max="5621" width="29.28515625" style="1482" customWidth="1"/>
    <col min="5622" max="5870" width="9.140625" style="1482"/>
    <col min="5871" max="5871" width="14.85546875" style="1482" customWidth="1"/>
    <col min="5872" max="5876" width="9.140625" style="1482"/>
    <col min="5877" max="5877" width="29.28515625" style="1482" customWidth="1"/>
    <col min="5878" max="6126" width="9.140625" style="1482"/>
    <col min="6127" max="6127" width="14.85546875" style="1482" customWidth="1"/>
    <col min="6128" max="6132" width="9.140625" style="1482"/>
    <col min="6133" max="6133" width="29.28515625" style="1482" customWidth="1"/>
    <col min="6134" max="6382" width="9.140625" style="1482"/>
    <col min="6383" max="6383" width="14.85546875" style="1482" customWidth="1"/>
    <col min="6384" max="6388" width="9.140625" style="1482"/>
    <col min="6389" max="6389" width="29.28515625" style="1482" customWidth="1"/>
    <col min="6390" max="6638" width="9.140625" style="1482"/>
    <col min="6639" max="6639" width="14.85546875" style="1482" customWidth="1"/>
    <col min="6640" max="6644" width="9.140625" style="1482"/>
    <col min="6645" max="6645" width="29.28515625" style="1482" customWidth="1"/>
    <col min="6646" max="6894" width="9.140625" style="1482"/>
    <col min="6895" max="6895" width="14.85546875" style="1482" customWidth="1"/>
    <col min="6896" max="6900" width="9.140625" style="1482"/>
    <col min="6901" max="6901" width="29.28515625" style="1482" customWidth="1"/>
    <col min="6902" max="7150" width="9.140625" style="1482"/>
    <col min="7151" max="7151" width="14.85546875" style="1482" customWidth="1"/>
    <col min="7152" max="7156" width="9.140625" style="1482"/>
    <col min="7157" max="7157" width="29.28515625" style="1482" customWidth="1"/>
    <col min="7158" max="7406" width="9.140625" style="1482"/>
    <col min="7407" max="7407" width="14.85546875" style="1482" customWidth="1"/>
    <col min="7408" max="7412" width="9.140625" style="1482"/>
    <col min="7413" max="7413" width="29.28515625" style="1482" customWidth="1"/>
    <col min="7414" max="7662" width="9.140625" style="1482"/>
    <col min="7663" max="7663" width="14.85546875" style="1482" customWidth="1"/>
    <col min="7664" max="7668" width="9.140625" style="1482"/>
    <col min="7669" max="7669" width="29.28515625" style="1482" customWidth="1"/>
    <col min="7670" max="7918" width="9.140625" style="1482"/>
    <col min="7919" max="7919" width="14.85546875" style="1482" customWidth="1"/>
    <col min="7920" max="7924" width="9.140625" style="1482"/>
    <col min="7925" max="7925" width="29.28515625" style="1482" customWidth="1"/>
    <col min="7926" max="8174" width="9.140625" style="1482"/>
    <col min="8175" max="8175" width="14.85546875" style="1482" customWidth="1"/>
    <col min="8176" max="8180" width="9.140625" style="1482"/>
    <col min="8181" max="8181" width="29.28515625" style="1482" customWidth="1"/>
    <col min="8182" max="8430" width="9.140625" style="1482"/>
    <col min="8431" max="8431" width="14.85546875" style="1482" customWidth="1"/>
    <col min="8432" max="8436" width="9.140625" style="1482"/>
    <col min="8437" max="8437" width="29.28515625" style="1482" customWidth="1"/>
    <col min="8438" max="8686" width="9.140625" style="1482"/>
    <col min="8687" max="8687" width="14.85546875" style="1482" customWidth="1"/>
    <col min="8688" max="8692" width="9.140625" style="1482"/>
    <col min="8693" max="8693" width="29.28515625" style="1482" customWidth="1"/>
    <col min="8694" max="8942" width="9.140625" style="1482"/>
    <col min="8943" max="8943" width="14.85546875" style="1482" customWidth="1"/>
    <col min="8944" max="8948" width="9.140625" style="1482"/>
    <col min="8949" max="8949" width="29.28515625" style="1482" customWidth="1"/>
    <col min="8950" max="9198" width="9.140625" style="1482"/>
    <col min="9199" max="9199" width="14.85546875" style="1482" customWidth="1"/>
    <col min="9200" max="9204" width="9.140625" style="1482"/>
    <col min="9205" max="9205" width="29.28515625" style="1482" customWidth="1"/>
    <col min="9206" max="9454" width="9.140625" style="1482"/>
    <col min="9455" max="9455" width="14.85546875" style="1482" customWidth="1"/>
    <col min="9456" max="9460" width="9.140625" style="1482"/>
    <col min="9461" max="9461" width="29.28515625" style="1482" customWidth="1"/>
    <col min="9462" max="9710" width="9.140625" style="1482"/>
    <col min="9711" max="9711" width="14.85546875" style="1482" customWidth="1"/>
    <col min="9712" max="9716" width="9.140625" style="1482"/>
    <col min="9717" max="9717" width="29.28515625" style="1482" customWidth="1"/>
    <col min="9718" max="9966" width="9.140625" style="1482"/>
    <col min="9967" max="9967" width="14.85546875" style="1482" customWidth="1"/>
    <col min="9968" max="9972" width="9.140625" style="1482"/>
    <col min="9973" max="9973" width="29.28515625" style="1482" customWidth="1"/>
    <col min="9974" max="10222" width="9.140625" style="1482"/>
    <col min="10223" max="10223" width="14.85546875" style="1482" customWidth="1"/>
    <col min="10224" max="10228" width="9.140625" style="1482"/>
    <col min="10229" max="10229" width="29.28515625" style="1482" customWidth="1"/>
    <col min="10230" max="10478" width="9.140625" style="1482"/>
    <col min="10479" max="10479" width="14.85546875" style="1482" customWidth="1"/>
    <col min="10480" max="10484" width="9.140625" style="1482"/>
    <col min="10485" max="10485" width="29.28515625" style="1482" customWidth="1"/>
    <col min="10486" max="10734" width="9.140625" style="1482"/>
    <col min="10735" max="10735" width="14.85546875" style="1482" customWidth="1"/>
    <col min="10736" max="10740" width="9.140625" style="1482"/>
    <col min="10741" max="10741" width="29.28515625" style="1482" customWidth="1"/>
    <col min="10742" max="10990" width="9.140625" style="1482"/>
    <col min="10991" max="10991" width="14.85546875" style="1482" customWidth="1"/>
    <col min="10992" max="10996" width="9.140625" style="1482"/>
    <col min="10997" max="10997" width="29.28515625" style="1482" customWidth="1"/>
    <col min="10998" max="11246" width="9.140625" style="1482"/>
    <col min="11247" max="11247" width="14.85546875" style="1482" customWidth="1"/>
    <col min="11248" max="11252" width="9.140625" style="1482"/>
    <col min="11253" max="11253" width="29.28515625" style="1482" customWidth="1"/>
    <col min="11254" max="11502" width="9.140625" style="1482"/>
    <col min="11503" max="11503" width="14.85546875" style="1482" customWidth="1"/>
    <col min="11504" max="11508" width="9.140625" style="1482"/>
    <col min="11509" max="11509" width="29.28515625" style="1482" customWidth="1"/>
    <col min="11510" max="11758" width="9.140625" style="1482"/>
    <col min="11759" max="11759" width="14.85546875" style="1482" customWidth="1"/>
    <col min="11760" max="11764" width="9.140625" style="1482"/>
    <col min="11765" max="11765" width="29.28515625" style="1482" customWidth="1"/>
    <col min="11766" max="12014" width="9.140625" style="1482"/>
    <col min="12015" max="12015" width="14.85546875" style="1482" customWidth="1"/>
    <col min="12016" max="12020" width="9.140625" style="1482"/>
    <col min="12021" max="12021" width="29.28515625" style="1482" customWidth="1"/>
    <col min="12022" max="12270" width="9.140625" style="1482"/>
    <col min="12271" max="12271" width="14.85546875" style="1482" customWidth="1"/>
    <col min="12272" max="12276" width="9.140625" style="1482"/>
    <col min="12277" max="12277" width="29.28515625" style="1482" customWidth="1"/>
    <col min="12278" max="12526" width="9.140625" style="1482"/>
    <col min="12527" max="12527" width="14.85546875" style="1482" customWidth="1"/>
    <col min="12528" max="12532" width="9.140625" style="1482"/>
    <col min="12533" max="12533" width="29.28515625" style="1482" customWidth="1"/>
    <col min="12534" max="12782" width="9.140625" style="1482"/>
    <col min="12783" max="12783" width="14.85546875" style="1482" customWidth="1"/>
    <col min="12784" max="12788" width="9.140625" style="1482"/>
    <col min="12789" max="12789" width="29.28515625" style="1482" customWidth="1"/>
    <col min="12790" max="13038" width="9.140625" style="1482"/>
    <col min="13039" max="13039" width="14.85546875" style="1482" customWidth="1"/>
    <col min="13040" max="13044" width="9.140625" style="1482"/>
    <col min="13045" max="13045" width="29.28515625" style="1482" customWidth="1"/>
    <col min="13046" max="13294" width="9.140625" style="1482"/>
    <col min="13295" max="13295" width="14.85546875" style="1482" customWidth="1"/>
    <col min="13296" max="13300" width="9.140625" style="1482"/>
    <col min="13301" max="13301" width="29.28515625" style="1482" customWidth="1"/>
    <col min="13302" max="13550" width="9.140625" style="1482"/>
    <col min="13551" max="13551" width="14.85546875" style="1482" customWidth="1"/>
    <col min="13552" max="13556" width="9.140625" style="1482"/>
    <col min="13557" max="13557" width="29.28515625" style="1482" customWidth="1"/>
    <col min="13558" max="13806" width="9.140625" style="1482"/>
    <col min="13807" max="13807" width="14.85546875" style="1482" customWidth="1"/>
    <col min="13808" max="13812" width="9.140625" style="1482"/>
    <col min="13813" max="13813" width="29.28515625" style="1482" customWidth="1"/>
    <col min="13814" max="14062" width="9.140625" style="1482"/>
    <col min="14063" max="14063" width="14.85546875" style="1482" customWidth="1"/>
    <col min="14064" max="14068" width="9.140625" style="1482"/>
    <col min="14069" max="14069" width="29.28515625" style="1482" customWidth="1"/>
    <col min="14070" max="14318" width="9.140625" style="1482"/>
    <col min="14319" max="14319" width="14.85546875" style="1482" customWidth="1"/>
    <col min="14320" max="14324" width="9.140625" style="1482"/>
    <col min="14325" max="14325" width="29.28515625" style="1482" customWidth="1"/>
    <col min="14326" max="14574" width="9.140625" style="1482"/>
    <col min="14575" max="14575" width="14.85546875" style="1482" customWidth="1"/>
    <col min="14576" max="14580" width="9.140625" style="1482"/>
    <col min="14581" max="14581" width="29.28515625" style="1482" customWidth="1"/>
    <col min="14582" max="14830" width="9.140625" style="1482"/>
    <col min="14831" max="14831" width="14.85546875" style="1482" customWidth="1"/>
    <col min="14832" max="14836" width="9.140625" style="1482"/>
    <col min="14837" max="14837" width="29.28515625" style="1482" customWidth="1"/>
    <col min="14838" max="15086" width="9.140625" style="1482"/>
    <col min="15087" max="15087" width="14.85546875" style="1482" customWidth="1"/>
    <col min="15088" max="15092" width="9.140625" style="1482"/>
    <col min="15093" max="15093" width="29.28515625" style="1482" customWidth="1"/>
    <col min="15094" max="15342" width="9.140625" style="1482"/>
    <col min="15343" max="15343" width="14.85546875" style="1482" customWidth="1"/>
    <col min="15344" max="15348" width="9.140625" style="1482"/>
    <col min="15349" max="15349" width="29.28515625" style="1482" customWidth="1"/>
    <col min="15350" max="15598" width="9.140625" style="1482"/>
    <col min="15599" max="15599" width="14.85546875" style="1482" customWidth="1"/>
    <col min="15600" max="15604" width="9.140625" style="1482"/>
    <col min="15605" max="15605" width="29.28515625" style="1482" customWidth="1"/>
    <col min="15606" max="15854" width="9.140625" style="1482"/>
    <col min="15855" max="15855" width="14.85546875" style="1482" customWidth="1"/>
    <col min="15856" max="15860" width="9.140625" style="1482"/>
    <col min="15861" max="15861" width="29.28515625" style="1482" customWidth="1"/>
    <col min="15862" max="16110" width="9.140625" style="1482"/>
    <col min="16111" max="16111" width="14.85546875" style="1482" customWidth="1"/>
    <col min="16112" max="16116" width="9.140625" style="1482"/>
    <col min="16117" max="16117" width="29.28515625" style="1482" customWidth="1"/>
    <col min="16118" max="16384" width="9.140625" style="1482"/>
  </cols>
  <sheetData>
    <row r="1" spans="1:10" x14ac:dyDescent="0.25">
      <c r="A1" s="1614" t="s">
        <v>700</v>
      </c>
      <c r="B1" s="1614"/>
      <c r="C1" s="1614"/>
      <c r="D1" s="1614"/>
      <c r="E1" s="1614"/>
      <c r="F1" s="1614"/>
      <c r="G1" s="1614"/>
      <c r="H1" s="1614"/>
      <c r="I1" s="1614"/>
    </row>
    <row r="2" spans="1:10" x14ac:dyDescent="0.25">
      <c r="A2" s="1434"/>
      <c r="B2" s="1466" t="s">
        <v>1164</v>
      </c>
      <c r="C2" s="1466" t="s">
        <v>1165</v>
      </c>
      <c r="D2" s="1466" t="s">
        <v>1166</v>
      </c>
      <c r="E2" s="1466" t="s">
        <v>1167</v>
      </c>
      <c r="F2" s="1466" t="s">
        <v>1170</v>
      </c>
      <c r="G2" s="1466" t="s">
        <v>1171</v>
      </c>
      <c r="H2" s="1466" t="s">
        <v>1172</v>
      </c>
      <c r="I2" s="1435" t="s">
        <v>1004</v>
      </c>
    </row>
    <row r="3" spans="1:10" x14ac:dyDescent="0.25">
      <c r="A3" s="1483">
        <v>2017</v>
      </c>
      <c r="B3" s="1486">
        <v>0.50947956945654083</v>
      </c>
      <c r="C3" s="1486"/>
      <c r="D3" s="1486"/>
      <c r="E3" s="1486"/>
      <c r="F3" s="1486"/>
      <c r="G3" s="1486"/>
      <c r="H3" s="1486"/>
      <c r="I3" s="1486">
        <v>0.50947956945654083</v>
      </c>
      <c r="J3" s="1484"/>
    </row>
    <row r="4" spans="1:10" x14ac:dyDescent="0.25">
      <c r="A4" s="1483">
        <v>2018</v>
      </c>
      <c r="B4" s="1486">
        <v>0.48076672571454188</v>
      </c>
      <c r="C4" s="1486">
        <v>2.057529970594496E-3</v>
      </c>
      <c r="D4" s="1486">
        <v>1.4916014562234015E-3</v>
      </c>
      <c r="E4" s="1486">
        <v>2.4805732039018813E-3</v>
      </c>
      <c r="F4" s="1486">
        <v>2.4991879592957678E-3</v>
      </c>
      <c r="G4" s="1486">
        <v>1.5209350930444065E-3</v>
      </c>
      <c r="H4" s="1486">
        <v>2.1207633181977714E-3</v>
      </c>
      <c r="I4" s="1486">
        <v>0.48679643034526165</v>
      </c>
    </row>
    <row r="5" spans="1:10" x14ac:dyDescent="0.25">
      <c r="A5" s="1483">
        <v>2019</v>
      </c>
      <c r="B5" s="1486">
        <v>0.45973366967661589</v>
      </c>
      <c r="C5" s="1486">
        <v>4.3846173122097376E-3</v>
      </c>
      <c r="D5" s="1486">
        <v>3.1852026813293244E-3</v>
      </c>
      <c r="E5" s="1486">
        <v>5.3094595175531278E-3</v>
      </c>
      <c r="F5" s="1486">
        <v>5.3651134954666446E-3</v>
      </c>
      <c r="G5" s="1486">
        <v>3.272908642555028E-3</v>
      </c>
      <c r="H5" s="1486">
        <v>4.573701990022605E-3</v>
      </c>
      <c r="I5" s="1486">
        <v>0.47261294918770808</v>
      </c>
    </row>
    <row r="6" spans="1:10" x14ac:dyDescent="0.25">
      <c r="A6" s="1483">
        <v>2020</v>
      </c>
      <c r="B6" s="1486">
        <v>0.42944154788761801</v>
      </c>
      <c r="C6" s="1486">
        <v>1.0272753697621817E-2</v>
      </c>
      <c r="D6" s="1486">
        <v>7.5236867589429379E-3</v>
      </c>
      <c r="E6" s="1486">
        <v>1.2658718847533834E-2</v>
      </c>
      <c r="F6" s="1486">
        <v>1.2944903684768139E-2</v>
      </c>
      <c r="G6" s="1486">
        <v>7.9748823682110892E-3</v>
      </c>
      <c r="H6" s="1486">
        <v>1.1246285306449222E-2</v>
      </c>
      <c r="I6" s="1486">
        <v>0.4598967071917166</v>
      </c>
    </row>
    <row r="7" spans="1:10" x14ac:dyDescent="0.25">
      <c r="A7" s="1485">
        <v>2021</v>
      </c>
      <c r="B7" s="1488">
        <v>0.39908749272983063</v>
      </c>
      <c r="C7" s="1488">
        <v>1.6526337095516097E-2</v>
      </c>
      <c r="D7" s="1488">
        <v>1.2117132856033885E-2</v>
      </c>
      <c r="E7" s="1488">
        <v>2.0420002379245128E-2</v>
      </c>
      <c r="F7" s="1488">
        <v>2.0934178529075032E-2</v>
      </c>
      <c r="G7" s="1488">
        <v>1.2928284003498491E-2</v>
      </c>
      <c r="H7" s="1488">
        <v>1.8278650471105495E-2</v>
      </c>
      <c r="I7" s="1488">
        <v>0.44815096506062574</v>
      </c>
    </row>
    <row r="8" spans="1:10" x14ac:dyDescent="0.25">
      <c r="I8" s="1442" t="s">
        <v>84</v>
      </c>
    </row>
  </sheetData>
  <mergeCells count="1">
    <mergeCell ref="A1:I1"/>
  </mergeCells>
  <pageMargins left="0.25" right="0.25" top="0.75" bottom="0.75" header="0.3" footer="0.3"/>
  <pageSetup fitToHeight="0" orientation="portrait" horizontalDpi="4294967294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AC778-6DBA-4CB0-A126-D4DC2091D4E9}">
  <sheetPr>
    <pageSetUpPr fitToPage="1"/>
  </sheetPr>
  <dimension ref="A1:I8"/>
  <sheetViews>
    <sheetView showGridLines="0" workbookViewId="0">
      <selection sqref="A1:H1"/>
    </sheetView>
  </sheetViews>
  <sheetFormatPr defaultRowHeight="15" x14ac:dyDescent="0.25"/>
  <cols>
    <col min="1" max="7" width="9.140625" style="1482"/>
    <col min="8" max="8" width="17.28515625" style="1482" customWidth="1"/>
    <col min="9" max="237" width="9.140625" style="1482"/>
    <col min="238" max="238" width="14.85546875" style="1482" bestFit="1" customWidth="1"/>
    <col min="239" max="243" width="9.140625" style="1482"/>
    <col min="244" max="244" width="29.28515625" style="1482" bestFit="1" customWidth="1"/>
    <col min="245" max="493" width="9.140625" style="1482"/>
    <col min="494" max="494" width="14.85546875" style="1482" bestFit="1" customWidth="1"/>
    <col min="495" max="499" width="9.140625" style="1482"/>
    <col min="500" max="500" width="29.28515625" style="1482" bestFit="1" customWidth="1"/>
    <col min="501" max="749" width="9.140625" style="1482"/>
    <col min="750" max="750" width="14.85546875" style="1482" bestFit="1" customWidth="1"/>
    <col min="751" max="755" width="9.140625" style="1482"/>
    <col min="756" max="756" width="29.28515625" style="1482" bestFit="1" customWidth="1"/>
    <col min="757" max="1005" width="9.140625" style="1482"/>
    <col min="1006" max="1006" width="14.85546875" style="1482" bestFit="1" customWidth="1"/>
    <col min="1007" max="1011" width="9.140625" style="1482"/>
    <col min="1012" max="1012" width="29.28515625" style="1482" bestFit="1" customWidth="1"/>
    <col min="1013" max="1261" width="9.140625" style="1482"/>
    <col min="1262" max="1262" width="14.85546875" style="1482" bestFit="1" customWidth="1"/>
    <col min="1263" max="1267" width="9.140625" style="1482"/>
    <col min="1268" max="1268" width="29.28515625" style="1482" bestFit="1" customWidth="1"/>
    <col min="1269" max="1517" width="9.140625" style="1482"/>
    <col min="1518" max="1518" width="14.85546875" style="1482" bestFit="1" customWidth="1"/>
    <col min="1519" max="1523" width="9.140625" style="1482"/>
    <col min="1524" max="1524" width="29.28515625" style="1482" bestFit="1" customWidth="1"/>
    <col min="1525" max="1773" width="9.140625" style="1482"/>
    <col min="1774" max="1774" width="14.85546875" style="1482" bestFit="1" customWidth="1"/>
    <col min="1775" max="1779" width="9.140625" style="1482"/>
    <col min="1780" max="1780" width="29.28515625" style="1482" bestFit="1" customWidth="1"/>
    <col min="1781" max="2029" width="9.140625" style="1482"/>
    <col min="2030" max="2030" width="14.85546875" style="1482" bestFit="1" customWidth="1"/>
    <col min="2031" max="2035" width="9.140625" style="1482"/>
    <col min="2036" max="2036" width="29.28515625" style="1482" bestFit="1" customWidth="1"/>
    <col min="2037" max="2285" width="9.140625" style="1482"/>
    <col min="2286" max="2286" width="14.85546875" style="1482" bestFit="1" customWidth="1"/>
    <col min="2287" max="2291" width="9.140625" style="1482"/>
    <col min="2292" max="2292" width="29.28515625" style="1482" bestFit="1" customWidth="1"/>
    <col min="2293" max="2541" width="9.140625" style="1482"/>
    <col min="2542" max="2542" width="14.85546875" style="1482" bestFit="1" customWidth="1"/>
    <col min="2543" max="2547" width="9.140625" style="1482"/>
    <col min="2548" max="2548" width="29.28515625" style="1482" bestFit="1" customWidth="1"/>
    <col min="2549" max="2797" width="9.140625" style="1482"/>
    <col min="2798" max="2798" width="14.85546875" style="1482" bestFit="1" customWidth="1"/>
    <col min="2799" max="2803" width="9.140625" style="1482"/>
    <col min="2804" max="2804" width="29.28515625" style="1482" bestFit="1" customWidth="1"/>
    <col min="2805" max="3053" width="9.140625" style="1482"/>
    <col min="3054" max="3054" width="14.85546875" style="1482" bestFit="1" customWidth="1"/>
    <col min="3055" max="3059" width="9.140625" style="1482"/>
    <col min="3060" max="3060" width="29.28515625" style="1482" bestFit="1" customWidth="1"/>
    <col min="3061" max="3309" width="9.140625" style="1482"/>
    <col min="3310" max="3310" width="14.85546875" style="1482" bestFit="1" customWidth="1"/>
    <col min="3311" max="3315" width="9.140625" style="1482"/>
    <col min="3316" max="3316" width="29.28515625" style="1482" bestFit="1" customWidth="1"/>
    <col min="3317" max="3565" width="9.140625" style="1482"/>
    <col min="3566" max="3566" width="14.85546875" style="1482" bestFit="1" customWidth="1"/>
    <col min="3567" max="3571" width="9.140625" style="1482"/>
    <col min="3572" max="3572" width="29.28515625" style="1482" bestFit="1" customWidth="1"/>
    <col min="3573" max="3821" width="9.140625" style="1482"/>
    <col min="3822" max="3822" width="14.85546875" style="1482" bestFit="1" customWidth="1"/>
    <col min="3823" max="3827" width="9.140625" style="1482"/>
    <col min="3828" max="3828" width="29.28515625" style="1482" bestFit="1" customWidth="1"/>
    <col min="3829" max="4077" width="9.140625" style="1482"/>
    <col min="4078" max="4078" width="14.85546875" style="1482" bestFit="1" customWidth="1"/>
    <col min="4079" max="4083" width="9.140625" style="1482"/>
    <col min="4084" max="4084" width="29.28515625" style="1482" bestFit="1" customWidth="1"/>
    <col min="4085" max="4333" width="9.140625" style="1482"/>
    <col min="4334" max="4334" width="14.85546875" style="1482" bestFit="1" customWidth="1"/>
    <col min="4335" max="4339" width="9.140625" style="1482"/>
    <col min="4340" max="4340" width="29.28515625" style="1482" bestFit="1" customWidth="1"/>
    <col min="4341" max="4589" width="9.140625" style="1482"/>
    <col min="4590" max="4590" width="14.85546875" style="1482" bestFit="1" customWidth="1"/>
    <col min="4591" max="4595" width="9.140625" style="1482"/>
    <col min="4596" max="4596" width="29.28515625" style="1482" bestFit="1" customWidth="1"/>
    <col min="4597" max="4845" width="9.140625" style="1482"/>
    <col min="4846" max="4846" width="14.85546875" style="1482" bestFit="1" customWidth="1"/>
    <col min="4847" max="4851" width="9.140625" style="1482"/>
    <col min="4852" max="4852" width="29.28515625" style="1482" bestFit="1" customWidth="1"/>
    <col min="4853" max="5101" width="9.140625" style="1482"/>
    <col min="5102" max="5102" width="14.85546875" style="1482" bestFit="1" customWidth="1"/>
    <col min="5103" max="5107" width="9.140625" style="1482"/>
    <col min="5108" max="5108" width="29.28515625" style="1482" bestFit="1" customWidth="1"/>
    <col min="5109" max="5357" width="9.140625" style="1482"/>
    <col min="5358" max="5358" width="14.85546875" style="1482" bestFit="1" customWidth="1"/>
    <col min="5359" max="5363" width="9.140625" style="1482"/>
    <col min="5364" max="5364" width="29.28515625" style="1482" bestFit="1" customWidth="1"/>
    <col min="5365" max="5613" width="9.140625" style="1482"/>
    <col min="5614" max="5614" width="14.85546875" style="1482" bestFit="1" customWidth="1"/>
    <col min="5615" max="5619" width="9.140625" style="1482"/>
    <col min="5620" max="5620" width="29.28515625" style="1482" bestFit="1" customWidth="1"/>
    <col min="5621" max="5869" width="9.140625" style="1482"/>
    <col min="5870" max="5870" width="14.85546875" style="1482" bestFit="1" customWidth="1"/>
    <col min="5871" max="5875" width="9.140625" style="1482"/>
    <col min="5876" max="5876" width="29.28515625" style="1482" bestFit="1" customWidth="1"/>
    <col min="5877" max="6125" width="9.140625" style="1482"/>
    <col min="6126" max="6126" width="14.85546875" style="1482" bestFit="1" customWidth="1"/>
    <col min="6127" max="6131" width="9.140625" style="1482"/>
    <col min="6132" max="6132" width="29.28515625" style="1482" bestFit="1" customWidth="1"/>
    <col min="6133" max="6381" width="9.140625" style="1482"/>
    <col min="6382" max="6382" width="14.85546875" style="1482" bestFit="1" customWidth="1"/>
    <col min="6383" max="6387" width="9.140625" style="1482"/>
    <col min="6388" max="6388" width="29.28515625" style="1482" bestFit="1" customWidth="1"/>
    <col min="6389" max="6637" width="9.140625" style="1482"/>
    <col min="6638" max="6638" width="14.85546875" style="1482" bestFit="1" customWidth="1"/>
    <col min="6639" max="6643" width="9.140625" style="1482"/>
    <col min="6644" max="6644" width="29.28515625" style="1482" bestFit="1" customWidth="1"/>
    <col min="6645" max="6893" width="9.140625" style="1482"/>
    <col min="6894" max="6894" width="14.85546875" style="1482" bestFit="1" customWidth="1"/>
    <col min="6895" max="6899" width="9.140625" style="1482"/>
    <col min="6900" max="6900" width="29.28515625" style="1482" bestFit="1" customWidth="1"/>
    <col min="6901" max="7149" width="9.140625" style="1482"/>
    <col min="7150" max="7150" width="14.85546875" style="1482" bestFit="1" customWidth="1"/>
    <col min="7151" max="7155" width="9.140625" style="1482"/>
    <col min="7156" max="7156" width="29.28515625" style="1482" bestFit="1" customWidth="1"/>
    <col min="7157" max="7405" width="9.140625" style="1482"/>
    <col min="7406" max="7406" width="14.85546875" style="1482" bestFit="1" customWidth="1"/>
    <col min="7407" max="7411" width="9.140625" style="1482"/>
    <col min="7412" max="7412" width="29.28515625" style="1482" bestFit="1" customWidth="1"/>
    <col min="7413" max="7661" width="9.140625" style="1482"/>
    <col min="7662" max="7662" width="14.85546875" style="1482" bestFit="1" customWidth="1"/>
    <col min="7663" max="7667" width="9.140625" style="1482"/>
    <col min="7668" max="7668" width="29.28515625" style="1482" bestFit="1" customWidth="1"/>
    <col min="7669" max="7917" width="9.140625" style="1482"/>
    <col min="7918" max="7918" width="14.85546875" style="1482" bestFit="1" customWidth="1"/>
    <col min="7919" max="7923" width="9.140625" style="1482"/>
    <col min="7924" max="7924" width="29.28515625" style="1482" bestFit="1" customWidth="1"/>
    <col min="7925" max="8173" width="9.140625" style="1482"/>
    <col min="8174" max="8174" width="14.85546875" style="1482" bestFit="1" customWidth="1"/>
    <col min="8175" max="8179" width="9.140625" style="1482"/>
    <col min="8180" max="8180" width="29.28515625" style="1482" bestFit="1" customWidth="1"/>
    <col min="8181" max="8429" width="9.140625" style="1482"/>
    <col min="8430" max="8430" width="14.85546875" style="1482" bestFit="1" customWidth="1"/>
    <col min="8431" max="8435" width="9.140625" style="1482"/>
    <col min="8436" max="8436" width="29.28515625" style="1482" bestFit="1" customWidth="1"/>
    <col min="8437" max="8685" width="9.140625" style="1482"/>
    <col min="8686" max="8686" width="14.85546875" style="1482" bestFit="1" customWidth="1"/>
    <col min="8687" max="8691" width="9.140625" style="1482"/>
    <col min="8692" max="8692" width="29.28515625" style="1482" bestFit="1" customWidth="1"/>
    <col min="8693" max="8941" width="9.140625" style="1482"/>
    <col min="8942" max="8942" width="14.85546875" style="1482" bestFit="1" customWidth="1"/>
    <col min="8943" max="8947" width="9.140625" style="1482"/>
    <col min="8948" max="8948" width="29.28515625" style="1482" bestFit="1" customWidth="1"/>
    <col min="8949" max="9197" width="9.140625" style="1482"/>
    <col min="9198" max="9198" width="14.85546875" style="1482" bestFit="1" customWidth="1"/>
    <col min="9199" max="9203" width="9.140625" style="1482"/>
    <col min="9204" max="9204" width="29.28515625" style="1482" bestFit="1" customWidth="1"/>
    <col min="9205" max="9453" width="9.140625" style="1482"/>
    <col min="9454" max="9454" width="14.85546875" style="1482" bestFit="1" customWidth="1"/>
    <col min="9455" max="9459" width="9.140625" style="1482"/>
    <col min="9460" max="9460" width="29.28515625" style="1482" bestFit="1" customWidth="1"/>
    <col min="9461" max="9709" width="9.140625" style="1482"/>
    <col min="9710" max="9710" width="14.85546875" style="1482" bestFit="1" customWidth="1"/>
    <col min="9711" max="9715" width="9.140625" style="1482"/>
    <col min="9716" max="9716" width="29.28515625" style="1482" bestFit="1" customWidth="1"/>
    <col min="9717" max="9965" width="9.140625" style="1482"/>
    <col min="9966" max="9966" width="14.85546875" style="1482" bestFit="1" customWidth="1"/>
    <col min="9967" max="9971" width="9.140625" style="1482"/>
    <col min="9972" max="9972" width="29.28515625" style="1482" bestFit="1" customWidth="1"/>
    <col min="9973" max="10221" width="9.140625" style="1482"/>
    <col min="10222" max="10222" width="14.85546875" style="1482" bestFit="1" customWidth="1"/>
    <col min="10223" max="10227" width="9.140625" style="1482"/>
    <col min="10228" max="10228" width="29.28515625" style="1482" bestFit="1" customWidth="1"/>
    <col min="10229" max="10477" width="9.140625" style="1482"/>
    <col min="10478" max="10478" width="14.85546875" style="1482" bestFit="1" customWidth="1"/>
    <col min="10479" max="10483" width="9.140625" style="1482"/>
    <col min="10484" max="10484" width="29.28515625" style="1482" bestFit="1" customWidth="1"/>
    <col min="10485" max="10733" width="9.140625" style="1482"/>
    <col min="10734" max="10734" width="14.85546875" style="1482" bestFit="1" customWidth="1"/>
    <col min="10735" max="10739" width="9.140625" style="1482"/>
    <col min="10740" max="10740" width="29.28515625" style="1482" bestFit="1" customWidth="1"/>
    <col min="10741" max="10989" width="9.140625" style="1482"/>
    <col min="10990" max="10990" width="14.85546875" style="1482" bestFit="1" customWidth="1"/>
    <col min="10991" max="10995" width="9.140625" style="1482"/>
    <col min="10996" max="10996" width="29.28515625" style="1482" bestFit="1" customWidth="1"/>
    <col min="10997" max="11245" width="9.140625" style="1482"/>
    <col min="11246" max="11246" width="14.85546875" style="1482" bestFit="1" customWidth="1"/>
    <col min="11247" max="11251" width="9.140625" style="1482"/>
    <col min="11252" max="11252" width="29.28515625" style="1482" bestFit="1" customWidth="1"/>
    <col min="11253" max="11501" width="9.140625" style="1482"/>
    <col min="11502" max="11502" width="14.85546875" style="1482" bestFit="1" customWidth="1"/>
    <col min="11503" max="11507" width="9.140625" style="1482"/>
    <col min="11508" max="11508" width="29.28515625" style="1482" bestFit="1" customWidth="1"/>
    <col min="11509" max="11757" width="9.140625" style="1482"/>
    <col min="11758" max="11758" width="14.85546875" style="1482" bestFit="1" customWidth="1"/>
    <col min="11759" max="11763" width="9.140625" style="1482"/>
    <col min="11764" max="11764" width="29.28515625" style="1482" bestFit="1" customWidth="1"/>
    <col min="11765" max="12013" width="9.140625" style="1482"/>
    <col min="12014" max="12014" width="14.85546875" style="1482" bestFit="1" customWidth="1"/>
    <col min="12015" max="12019" width="9.140625" style="1482"/>
    <col min="12020" max="12020" width="29.28515625" style="1482" bestFit="1" customWidth="1"/>
    <col min="12021" max="12269" width="9.140625" style="1482"/>
    <col min="12270" max="12270" width="14.85546875" style="1482" bestFit="1" customWidth="1"/>
    <col min="12271" max="12275" width="9.140625" style="1482"/>
    <col min="12276" max="12276" width="29.28515625" style="1482" bestFit="1" customWidth="1"/>
    <col min="12277" max="12525" width="9.140625" style="1482"/>
    <col min="12526" max="12526" width="14.85546875" style="1482" bestFit="1" customWidth="1"/>
    <col min="12527" max="12531" width="9.140625" style="1482"/>
    <col min="12532" max="12532" width="29.28515625" style="1482" bestFit="1" customWidth="1"/>
    <col min="12533" max="12781" width="9.140625" style="1482"/>
    <col min="12782" max="12782" width="14.85546875" style="1482" bestFit="1" customWidth="1"/>
    <col min="12783" max="12787" width="9.140625" style="1482"/>
    <col min="12788" max="12788" width="29.28515625" style="1482" bestFit="1" customWidth="1"/>
    <col min="12789" max="13037" width="9.140625" style="1482"/>
    <col min="13038" max="13038" width="14.85546875" style="1482" bestFit="1" customWidth="1"/>
    <col min="13039" max="13043" width="9.140625" style="1482"/>
    <col min="13044" max="13044" width="29.28515625" style="1482" bestFit="1" customWidth="1"/>
    <col min="13045" max="13293" width="9.140625" style="1482"/>
    <col min="13294" max="13294" width="14.85546875" style="1482" bestFit="1" customWidth="1"/>
    <col min="13295" max="13299" width="9.140625" style="1482"/>
    <col min="13300" max="13300" width="29.28515625" style="1482" bestFit="1" customWidth="1"/>
    <col min="13301" max="13549" width="9.140625" style="1482"/>
    <col min="13550" max="13550" width="14.85546875" style="1482" bestFit="1" customWidth="1"/>
    <col min="13551" max="13555" width="9.140625" style="1482"/>
    <col min="13556" max="13556" width="29.28515625" style="1482" bestFit="1" customWidth="1"/>
    <col min="13557" max="13805" width="9.140625" style="1482"/>
    <col min="13806" max="13806" width="14.85546875" style="1482" bestFit="1" customWidth="1"/>
    <col min="13807" max="13811" width="9.140625" style="1482"/>
    <col min="13812" max="13812" width="29.28515625" style="1482" bestFit="1" customWidth="1"/>
    <col min="13813" max="14061" width="9.140625" style="1482"/>
    <col min="14062" max="14062" width="14.85546875" style="1482" bestFit="1" customWidth="1"/>
    <col min="14063" max="14067" width="9.140625" style="1482"/>
    <col min="14068" max="14068" width="29.28515625" style="1482" bestFit="1" customWidth="1"/>
    <col min="14069" max="14317" width="9.140625" style="1482"/>
    <col min="14318" max="14318" width="14.85546875" style="1482" bestFit="1" customWidth="1"/>
    <col min="14319" max="14323" width="9.140625" style="1482"/>
    <col min="14324" max="14324" width="29.28515625" style="1482" bestFit="1" customWidth="1"/>
    <col min="14325" max="14573" width="9.140625" style="1482"/>
    <col min="14574" max="14574" width="14.85546875" style="1482" bestFit="1" customWidth="1"/>
    <col min="14575" max="14579" width="9.140625" style="1482"/>
    <col min="14580" max="14580" width="29.28515625" style="1482" bestFit="1" customWidth="1"/>
    <col min="14581" max="14829" width="9.140625" style="1482"/>
    <col min="14830" max="14830" width="14.85546875" style="1482" bestFit="1" customWidth="1"/>
    <col min="14831" max="14835" width="9.140625" style="1482"/>
    <col min="14836" max="14836" width="29.28515625" style="1482" bestFit="1" customWidth="1"/>
    <col min="14837" max="15085" width="9.140625" style="1482"/>
    <col min="15086" max="15086" width="14.85546875" style="1482" bestFit="1" customWidth="1"/>
    <col min="15087" max="15091" width="9.140625" style="1482"/>
    <col min="15092" max="15092" width="29.28515625" style="1482" bestFit="1" customWidth="1"/>
    <col min="15093" max="15341" width="9.140625" style="1482"/>
    <col min="15342" max="15342" width="14.85546875" style="1482" bestFit="1" customWidth="1"/>
    <col min="15343" max="15347" width="9.140625" style="1482"/>
    <col min="15348" max="15348" width="29.28515625" style="1482" bestFit="1" customWidth="1"/>
    <col min="15349" max="15597" width="9.140625" style="1482"/>
    <col min="15598" max="15598" width="14.85546875" style="1482" bestFit="1" customWidth="1"/>
    <col min="15599" max="15603" width="9.140625" style="1482"/>
    <col min="15604" max="15604" width="29.28515625" style="1482" bestFit="1" customWidth="1"/>
    <col min="15605" max="15853" width="9.140625" style="1482"/>
    <col min="15854" max="15854" width="14.85546875" style="1482" bestFit="1" customWidth="1"/>
    <col min="15855" max="15859" width="9.140625" style="1482"/>
    <col min="15860" max="15860" width="29.28515625" style="1482" bestFit="1" customWidth="1"/>
    <col min="15861" max="16109" width="9.140625" style="1482"/>
    <col min="16110" max="16110" width="14.85546875" style="1482" bestFit="1" customWidth="1"/>
    <col min="16111" max="16115" width="9.140625" style="1482"/>
    <col min="16116" max="16116" width="29.28515625" style="1482" bestFit="1" customWidth="1"/>
    <col min="16117" max="16384" width="9.140625" style="1482"/>
  </cols>
  <sheetData>
    <row r="1" spans="1:9" x14ac:dyDescent="0.25">
      <c r="A1" s="1614" t="s">
        <v>701</v>
      </c>
      <c r="B1" s="1614"/>
      <c r="C1" s="1614"/>
      <c r="D1" s="1614"/>
      <c r="E1" s="1614"/>
      <c r="F1" s="1614"/>
      <c r="G1" s="1614"/>
      <c r="H1" s="1614"/>
    </row>
    <row r="2" spans="1:9" x14ac:dyDescent="0.25">
      <c r="A2" s="1434"/>
      <c r="B2" s="1466" t="s">
        <v>1164</v>
      </c>
      <c r="C2" s="1466" t="s">
        <v>1165</v>
      </c>
      <c r="D2" s="1466" t="s">
        <v>1166</v>
      </c>
      <c r="E2" s="1466" t="s">
        <v>1175</v>
      </c>
      <c r="F2" s="1466" t="s">
        <v>1170</v>
      </c>
      <c r="G2" s="1466" t="s">
        <v>1171</v>
      </c>
      <c r="H2" s="1435" t="s">
        <v>1176</v>
      </c>
    </row>
    <row r="3" spans="1:9" x14ac:dyDescent="0.25">
      <c r="A3" s="1483">
        <v>2017</v>
      </c>
      <c r="B3" s="1486">
        <v>1</v>
      </c>
      <c r="C3" s="1486"/>
      <c r="D3" s="1486"/>
      <c r="E3" s="1486"/>
      <c r="F3" s="1486"/>
      <c r="G3" s="1486"/>
      <c r="H3" s="1486">
        <v>1</v>
      </c>
      <c r="I3" s="1484"/>
    </row>
    <row r="4" spans="1:9" x14ac:dyDescent="0.25">
      <c r="A4" s="1483">
        <v>2018</v>
      </c>
      <c r="B4" s="1486">
        <v>1.0613694642190052</v>
      </c>
      <c r="C4" s="1486">
        <v>1.9685641764686235E-3</v>
      </c>
      <c r="D4" s="1486">
        <v>1.4194732705277158E-3</v>
      </c>
      <c r="E4" s="1486">
        <v>4.6930888298255535E-3</v>
      </c>
      <c r="F4" s="1486">
        <v>1.4194732705277158E-3</v>
      </c>
      <c r="G4" s="1486">
        <v>1.9685641764686235E-3</v>
      </c>
      <c r="H4" s="1486">
        <v>1.0671040460809142</v>
      </c>
    </row>
    <row r="5" spans="1:9" x14ac:dyDescent="0.25">
      <c r="A5" s="1483">
        <v>2019</v>
      </c>
      <c r="B5" s="1486">
        <v>1.1136625602186105</v>
      </c>
      <c r="C5" s="1486">
        <v>7.9118236974855538E-3</v>
      </c>
      <c r="D5" s="1486">
        <v>5.7184132984982039E-3</v>
      </c>
      <c r="E5" s="1486">
        <v>1.898644382902015E-2</v>
      </c>
      <c r="F5" s="1486">
        <v>5.7668794351026786E-3</v>
      </c>
      <c r="G5" s="1486">
        <v>8.0162929504723479E-3</v>
      </c>
      <c r="H5" s="1486">
        <v>1.1367706405765603</v>
      </c>
    </row>
    <row r="6" spans="1:9" x14ac:dyDescent="0.25">
      <c r="A6" s="1483">
        <v>2020</v>
      </c>
      <c r="B6" s="1486">
        <v>1.1445512576579413</v>
      </c>
      <c r="C6" s="1486">
        <v>2.0977158883874969E-2</v>
      </c>
      <c r="D6" s="1486">
        <v>1.5252534161172004E-2</v>
      </c>
      <c r="E6" s="1486">
        <v>5.1186703526144628E-2</v>
      </c>
      <c r="F6" s="1486">
        <v>1.5712423898737615E-2</v>
      </c>
      <c r="G6" s="1486">
        <v>2.1968455915275742E-2</v>
      </c>
      <c r="H6" s="1486">
        <v>1.2062283771047875</v>
      </c>
    </row>
    <row r="7" spans="1:9" x14ac:dyDescent="0.25">
      <c r="A7" s="1485">
        <v>2021</v>
      </c>
      <c r="B7" s="1488">
        <v>1.151256838554116</v>
      </c>
      <c r="C7" s="1488">
        <v>4.0196181915237439E-2</v>
      </c>
      <c r="D7" s="1488">
        <v>2.9541636826639239E-2</v>
      </c>
      <c r="E7" s="1488">
        <v>0.10105054398704438</v>
      </c>
      <c r="F7" s="1488">
        <v>3.1601461809611875E-2</v>
      </c>
      <c r="G7" s="1488">
        <v>4.463629423223292E-2</v>
      </c>
      <c r="H7" s="1488">
        <v>1.270866346869717</v>
      </c>
    </row>
    <row r="8" spans="1:9" x14ac:dyDescent="0.25">
      <c r="H8" s="1442" t="s">
        <v>84</v>
      </c>
    </row>
  </sheetData>
  <mergeCells count="1">
    <mergeCell ref="A1:H1"/>
  </mergeCells>
  <pageMargins left="0.25" right="0.25" top="0.75" bottom="0.75" header="0.3" footer="0.3"/>
  <pageSetup fitToHeight="0" orientation="portrait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ADDB-B012-4D4E-9576-5AC8F22F34AE}">
  <sheetPr codeName="Sheet2"/>
  <dimension ref="A1:D8"/>
  <sheetViews>
    <sheetView showGridLines="0" workbookViewId="0">
      <selection sqref="A1:D1"/>
    </sheetView>
  </sheetViews>
  <sheetFormatPr defaultRowHeight="15" x14ac:dyDescent="0.25"/>
  <cols>
    <col min="1" max="1" width="51.28515625" customWidth="1"/>
  </cols>
  <sheetData>
    <row r="1" spans="1:4" x14ac:dyDescent="0.25">
      <c r="A1" s="1518" t="s">
        <v>31</v>
      </c>
      <c r="B1" s="1518"/>
      <c r="C1" s="1518"/>
      <c r="D1" s="1518"/>
    </row>
    <row r="2" spans="1:4" x14ac:dyDescent="0.25">
      <c r="A2" s="31"/>
      <c r="B2" s="32">
        <v>2019</v>
      </c>
      <c r="C2" s="32">
        <v>2020</v>
      </c>
      <c r="D2" s="32">
        <v>2021</v>
      </c>
    </row>
    <row r="3" spans="1:4" x14ac:dyDescent="0.25">
      <c r="A3" s="33" t="s">
        <v>32</v>
      </c>
      <c r="B3" s="35">
        <f>B4+B5</f>
        <v>118504</v>
      </c>
      <c r="C3" s="35">
        <f t="shared" ref="C3:D3" si="0">C4+C5</f>
        <v>118504</v>
      </c>
      <c r="D3" s="35">
        <f t="shared" si="0"/>
        <v>118504</v>
      </c>
    </row>
    <row r="4" spans="1:4" x14ac:dyDescent="0.25">
      <c r="A4" s="36" t="s">
        <v>33</v>
      </c>
      <c r="B4" s="35">
        <v>150005</v>
      </c>
      <c r="C4" s="35">
        <v>150005</v>
      </c>
      <c r="D4" s="35">
        <v>150005</v>
      </c>
    </row>
    <row r="5" spans="1:4" x14ac:dyDescent="0.25">
      <c r="A5" s="36" t="s">
        <v>34</v>
      </c>
      <c r="B5" s="35">
        <v>-31501</v>
      </c>
      <c r="C5" s="35">
        <v>-31501</v>
      </c>
      <c r="D5" s="35">
        <v>-31501</v>
      </c>
    </row>
    <row r="6" spans="1:4" x14ac:dyDescent="0.25">
      <c r="A6" s="40" t="s">
        <v>35</v>
      </c>
      <c r="B6" s="41">
        <v>90000</v>
      </c>
      <c r="C6" s="41">
        <v>180000</v>
      </c>
      <c r="D6" s="41">
        <v>190000</v>
      </c>
    </row>
    <row r="7" spans="1:4" x14ac:dyDescent="0.25">
      <c r="A7" s="42" t="s">
        <v>36</v>
      </c>
      <c r="B7" s="43">
        <f>B3+B6</f>
        <v>208504</v>
      </c>
      <c r="C7" s="43">
        <f t="shared" ref="C7:D7" si="1">C3+C6</f>
        <v>298504</v>
      </c>
      <c r="D7" s="43">
        <f t="shared" si="1"/>
        <v>308504</v>
      </c>
    </row>
    <row r="8" spans="1:4" x14ac:dyDescent="0.25">
      <c r="A8" s="37"/>
      <c r="B8" s="37"/>
      <c r="C8" s="37"/>
      <c r="D8" s="38" t="s">
        <v>37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233D-5678-4B6D-86C8-4345F2BC4259}">
  <sheetPr>
    <pageSetUpPr fitToPage="1"/>
  </sheetPr>
  <dimension ref="A1:I8"/>
  <sheetViews>
    <sheetView showGridLines="0" workbookViewId="0">
      <selection sqref="A1:H1"/>
    </sheetView>
  </sheetViews>
  <sheetFormatPr defaultRowHeight="15" x14ac:dyDescent="0.25"/>
  <cols>
    <col min="1" max="7" width="9.140625" style="1482"/>
    <col min="8" max="8" width="17.28515625" style="1482" customWidth="1"/>
    <col min="9" max="237" width="9.140625" style="1482"/>
    <col min="238" max="238" width="14.85546875" style="1482" customWidth="1"/>
    <col min="239" max="243" width="9.140625" style="1482"/>
    <col min="244" max="244" width="29.28515625" style="1482" customWidth="1"/>
    <col min="245" max="493" width="9.140625" style="1482"/>
    <col min="494" max="494" width="14.85546875" style="1482" customWidth="1"/>
    <col min="495" max="499" width="9.140625" style="1482"/>
    <col min="500" max="500" width="29.28515625" style="1482" customWidth="1"/>
    <col min="501" max="749" width="9.140625" style="1482"/>
    <col min="750" max="750" width="14.85546875" style="1482" customWidth="1"/>
    <col min="751" max="755" width="9.140625" style="1482"/>
    <col min="756" max="756" width="29.28515625" style="1482" customWidth="1"/>
    <col min="757" max="1005" width="9.140625" style="1482"/>
    <col min="1006" max="1006" width="14.85546875" style="1482" customWidth="1"/>
    <col min="1007" max="1011" width="9.140625" style="1482"/>
    <col min="1012" max="1012" width="29.28515625" style="1482" customWidth="1"/>
    <col min="1013" max="1261" width="9.140625" style="1482"/>
    <col min="1262" max="1262" width="14.85546875" style="1482" customWidth="1"/>
    <col min="1263" max="1267" width="9.140625" style="1482"/>
    <col min="1268" max="1268" width="29.28515625" style="1482" customWidth="1"/>
    <col min="1269" max="1517" width="9.140625" style="1482"/>
    <col min="1518" max="1518" width="14.85546875" style="1482" customWidth="1"/>
    <col min="1519" max="1523" width="9.140625" style="1482"/>
    <col min="1524" max="1524" width="29.28515625" style="1482" customWidth="1"/>
    <col min="1525" max="1773" width="9.140625" style="1482"/>
    <col min="1774" max="1774" width="14.85546875" style="1482" customWidth="1"/>
    <col min="1775" max="1779" width="9.140625" style="1482"/>
    <col min="1780" max="1780" width="29.28515625" style="1482" customWidth="1"/>
    <col min="1781" max="2029" width="9.140625" style="1482"/>
    <col min="2030" max="2030" width="14.85546875" style="1482" customWidth="1"/>
    <col min="2031" max="2035" width="9.140625" style="1482"/>
    <col min="2036" max="2036" width="29.28515625" style="1482" customWidth="1"/>
    <col min="2037" max="2285" width="9.140625" style="1482"/>
    <col min="2286" max="2286" width="14.85546875" style="1482" customWidth="1"/>
    <col min="2287" max="2291" width="9.140625" style="1482"/>
    <col min="2292" max="2292" width="29.28515625" style="1482" customWidth="1"/>
    <col min="2293" max="2541" width="9.140625" style="1482"/>
    <col min="2542" max="2542" width="14.85546875" style="1482" customWidth="1"/>
    <col min="2543" max="2547" width="9.140625" style="1482"/>
    <col min="2548" max="2548" width="29.28515625" style="1482" customWidth="1"/>
    <col min="2549" max="2797" width="9.140625" style="1482"/>
    <col min="2798" max="2798" width="14.85546875" style="1482" customWidth="1"/>
    <col min="2799" max="2803" width="9.140625" style="1482"/>
    <col min="2804" max="2804" width="29.28515625" style="1482" customWidth="1"/>
    <col min="2805" max="3053" width="9.140625" style="1482"/>
    <col min="3054" max="3054" width="14.85546875" style="1482" customWidth="1"/>
    <col min="3055" max="3059" width="9.140625" style="1482"/>
    <col min="3060" max="3060" width="29.28515625" style="1482" customWidth="1"/>
    <col min="3061" max="3309" width="9.140625" style="1482"/>
    <col min="3310" max="3310" width="14.85546875" style="1482" customWidth="1"/>
    <col min="3311" max="3315" width="9.140625" style="1482"/>
    <col min="3316" max="3316" width="29.28515625" style="1482" customWidth="1"/>
    <col min="3317" max="3565" width="9.140625" style="1482"/>
    <col min="3566" max="3566" width="14.85546875" style="1482" customWidth="1"/>
    <col min="3567" max="3571" width="9.140625" style="1482"/>
    <col min="3572" max="3572" width="29.28515625" style="1482" customWidth="1"/>
    <col min="3573" max="3821" width="9.140625" style="1482"/>
    <col min="3822" max="3822" width="14.85546875" style="1482" customWidth="1"/>
    <col min="3823" max="3827" width="9.140625" style="1482"/>
    <col min="3828" max="3828" width="29.28515625" style="1482" customWidth="1"/>
    <col min="3829" max="4077" width="9.140625" style="1482"/>
    <col min="4078" max="4078" width="14.85546875" style="1482" customWidth="1"/>
    <col min="4079" max="4083" width="9.140625" style="1482"/>
    <col min="4084" max="4084" width="29.28515625" style="1482" customWidth="1"/>
    <col min="4085" max="4333" width="9.140625" style="1482"/>
    <col min="4334" max="4334" width="14.85546875" style="1482" customWidth="1"/>
    <col min="4335" max="4339" width="9.140625" style="1482"/>
    <col min="4340" max="4340" width="29.28515625" style="1482" customWidth="1"/>
    <col min="4341" max="4589" width="9.140625" style="1482"/>
    <col min="4590" max="4590" width="14.85546875" style="1482" customWidth="1"/>
    <col min="4591" max="4595" width="9.140625" style="1482"/>
    <col min="4596" max="4596" width="29.28515625" style="1482" customWidth="1"/>
    <col min="4597" max="4845" width="9.140625" style="1482"/>
    <col min="4846" max="4846" width="14.85546875" style="1482" customWidth="1"/>
    <col min="4847" max="4851" width="9.140625" style="1482"/>
    <col min="4852" max="4852" width="29.28515625" style="1482" customWidth="1"/>
    <col min="4853" max="5101" width="9.140625" style="1482"/>
    <col min="5102" max="5102" width="14.85546875" style="1482" customWidth="1"/>
    <col min="5103" max="5107" width="9.140625" style="1482"/>
    <col min="5108" max="5108" width="29.28515625" style="1482" customWidth="1"/>
    <col min="5109" max="5357" width="9.140625" style="1482"/>
    <col min="5358" max="5358" width="14.85546875" style="1482" customWidth="1"/>
    <col min="5359" max="5363" width="9.140625" style="1482"/>
    <col min="5364" max="5364" width="29.28515625" style="1482" customWidth="1"/>
    <col min="5365" max="5613" width="9.140625" style="1482"/>
    <col min="5614" max="5614" width="14.85546875" style="1482" customWidth="1"/>
    <col min="5615" max="5619" width="9.140625" style="1482"/>
    <col min="5620" max="5620" width="29.28515625" style="1482" customWidth="1"/>
    <col min="5621" max="5869" width="9.140625" style="1482"/>
    <col min="5870" max="5870" width="14.85546875" style="1482" customWidth="1"/>
    <col min="5871" max="5875" width="9.140625" style="1482"/>
    <col min="5876" max="5876" width="29.28515625" style="1482" customWidth="1"/>
    <col min="5877" max="6125" width="9.140625" style="1482"/>
    <col min="6126" max="6126" width="14.85546875" style="1482" customWidth="1"/>
    <col min="6127" max="6131" width="9.140625" style="1482"/>
    <col min="6132" max="6132" width="29.28515625" style="1482" customWidth="1"/>
    <col min="6133" max="6381" width="9.140625" style="1482"/>
    <col min="6382" max="6382" width="14.85546875" style="1482" customWidth="1"/>
    <col min="6383" max="6387" width="9.140625" style="1482"/>
    <col min="6388" max="6388" width="29.28515625" style="1482" customWidth="1"/>
    <col min="6389" max="6637" width="9.140625" style="1482"/>
    <col min="6638" max="6638" width="14.85546875" style="1482" customWidth="1"/>
    <col min="6639" max="6643" width="9.140625" style="1482"/>
    <col min="6644" max="6644" width="29.28515625" style="1482" customWidth="1"/>
    <col min="6645" max="6893" width="9.140625" style="1482"/>
    <col min="6894" max="6894" width="14.85546875" style="1482" customWidth="1"/>
    <col min="6895" max="6899" width="9.140625" style="1482"/>
    <col min="6900" max="6900" width="29.28515625" style="1482" customWidth="1"/>
    <col min="6901" max="7149" width="9.140625" style="1482"/>
    <col min="7150" max="7150" width="14.85546875" style="1482" customWidth="1"/>
    <col min="7151" max="7155" width="9.140625" style="1482"/>
    <col min="7156" max="7156" width="29.28515625" style="1482" customWidth="1"/>
    <col min="7157" max="7405" width="9.140625" style="1482"/>
    <col min="7406" max="7406" width="14.85546875" style="1482" customWidth="1"/>
    <col min="7407" max="7411" width="9.140625" style="1482"/>
    <col min="7412" max="7412" width="29.28515625" style="1482" customWidth="1"/>
    <col min="7413" max="7661" width="9.140625" style="1482"/>
    <col min="7662" max="7662" width="14.85546875" style="1482" customWidth="1"/>
    <col min="7663" max="7667" width="9.140625" style="1482"/>
    <col min="7668" max="7668" width="29.28515625" style="1482" customWidth="1"/>
    <col min="7669" max="7917" width="9.140625" style="1482"/>
    <col min="7918" max="7918" width="14.85546875" style="1482" customWidth="1"/>
    <col min="7919" max="7923" width="9.140625" style="1482"/>
    <col min="7924" max="7924" width="29.28515625" style="1482" customWidth="1"/>
    <col min="7925" max="8173" width="9.140625" style="1482"/>
    <col min="8174" max="8174" width="14.85546875" style="1482" customWidth="1"/>
    <col min="8175" max="8179" width="9.140625" style="1482"/>
    <col min="8180" max="8180" width="29.28515625" style="1482" customWidth="1"/>
    <col min="8181" max="8429" width="9.140625" style="1482"/>
    <col min="8430" max="8430" width="14.85546875" style="1482" customWidth="1"/>
    <col min="8431" max="8435" width="9.140625" style="1482"/>
    <col min="8436" max="8436" width="29.28515625" style="1482" customWidth="1"/>
    <col min="8437" max="8685" width="9.140625" style="1482"/>
    <col min="8686" max="8686" width="14.85546875" style="1482" customWidth="1"/>
    <col min="8687" max="8691" width="9.140625" style="1482"/>
    <col min="8692" max="8692" width="29.28515625" style="1482" customWidth="1"/>
    <col min="8693" max="8941" width="9.140625" style="1482"/>
    <col min="8942" max="8942" width="14.85546875" style="1482" customWidth="1"/>
    <col min="8943" max="8947" width="9.140625" style="1482"/>
    <col min="8948" max="8948" width="29.28515625" style="1482" customWidth="1"/>
    <col min="8949" max="9197" width="9.140625" style="1482"/>
    <col min="9198" max="9198" width="14.85546875" style="1482" customWidth="1"/>
    <col min="9199" max="9203" width="9.140625" style="1482"/>
    <col min="9204" max="9204" width="29.28515625" style="1482" customWidth="1"/>
    <col min="9205" max="9453" width="9.140625" style="1482"/>
    <col min="9454" max="9454" width="14.85546875" style="1482" customWidth="1"/>
    <col min="9455" max="9459" width="9.140625" style="1482"/>
    <col min="9460" max="9460" width="29.28515625" style="1482" customWidth="1"/>
    <col min="9461" max="9709" width="9.140625" style="1482"/>
    <col min="9710" max="9710" width="14.85546875" style="1482" customWidth="1"/>
    <col min="9711" max="9715" width="9.140625" style="1482"/>
    <col min="9716" max="9716" width="29.28515625" style="1482" customWidth="1"/>
    <col min="9717" max="9965" width="9.140625" style="1482"/>
    <col min="9966" max="9966" width="14.85546875" style="1482" customWidth="1"/>
    <col min="9967" max="9971" width="9.140625" style="1482"/>
    <col min="9972" max="9972" width="29.28515625" style="1482" customWidth="1"/>
    <col min="9973" max="10221" width="9.140625" style="1482"/>
    <col min="10222" max="10222" width="14.85546875" style="1482" customWidth="1"/>
    <col min="10223" max="10227" width="9.140625" style="1482"/>
    <col min="10228" max="10228" width="29.28515625" style="1482" customWidth="1"/>
    <col min="10229" max="10477" width="9.140625" style="1482"/>
    <col min="10478" max="10478" width="14.85546875" style="1482" customWidth="1"/>
    <col min="10479" max="10483" width="9.140625" style="1482"/>
    <col min="10484" max="10484" width="29.28515625" style="1482" customWidth="1"/>
    <col min="10485" max="10733" width="9.140625" style="1482"/>
    <col min="10734" max="10734" width="14.85546875" style="1482" customWidth="1"/>
    <col min="10735" max="10739" width="9.140625" style="1482"/>
    <col min="10740" max="10740" width="29.28515625" style="1482" customWidth="1"/>
    <col min="10741" max="10989" width="9.140625" style="1482"/>
    <col min="10990" max="10990" width="14.85546875" style="1482" customWidth="1"/>
    <col min="10991" max="10995" width="9.140625" style="1482"/>
    <col min="10996" max="10996" width="29.28515625" style="1482" customWidth="1"/>
    <col min="10997" max="11245" width="9.140625" style="1482"/>
    <col min="11246" max="11246" width="14.85546875" style="1482" customWidth="1"/>
    <col min="11247" max="11251" width="9.140625" style="1482"/>
    <col min="11252" max="11252" width="29.28515625" style="1482" customWidth="1"/>
    <col min="11253" max="11501" width="9.140625" style="1482"/>
    <col min="11502" max="11502" width="14.85546875" style="1482" customWidth="1"/>
    <col min="11503" max="11507" width="9.140625" style="1482"/>
    <col min="11508" max="11508" width="29.28515625" style="1482" customWidth="1"/>
    <col min="11509" max="11757" width="9.140625" style="1482"/>
    <col min="11758" max="11758" width="14.85546875" style="1482" customWidth="1"/>
    <col min="11759" max="11763" width="9.140625" style="1482"/>
    <col min="11764" max="11764" width="29.28515625" style="1482" customWidth="1"/>
    <col min="11765" max="12013" width="9.140625" style="1482"/>
    <col min="12014" max="12014" width="14.85546875" style="1482" customWidth="1"/>
    <col min="12015" max="12019" width="9.140625" style="1482"/>
    <col min="12020" max="12020" width="29.28515625" style="1482" customWidth="1"/>
    <col min="12021" max="12269" width="9.140625" style="1482"/>
    <col min="12270" max="12270" width="14.85546875" style="1482" customWidth="1"/>
    <col min="12271" max="12275" width="9.140625" style="1482"/>
    <col min="12276" max="12276" width="29.28515625" style="1482" customWidth="1"/>
    <col min="12277" max="12525" width="9.140625" style="1482"/>
    <col min="12526" max="12526" width="14.85546875" style="1482" customWidth="1"/>
    <col min="12527" max="12531" width="9.140625" style="1482"/>
    <col min="12532" max="12532" width="29.28515625" style="1482" customWidth="1"/>
    <col min="12533" max="12781" width="9.140625" style="1482"/>
    <col min="12782" max="12782" width="14.85546875" style="1482" customWidth="1"/>
    <col min="12783" max="12787" width="9.140625" style="1482"/>
    <col min="12788" max="12788" width="29.28515625" style="1482" customWidth="1"/>
    <col min="12789" max="13037" width="9.140625" style="1482"/>
    <col min="13038" max="13038" width="14.85546875" style="1482" customWidth="1"/>
    <col min="13039" max="13043" width="9.140625" style="1482"/>
    <col min="13044" max="13044" width="29.28515625" style="1482" customWidth="1"/>
    <col min="13045" max="13293" width="9.140625" style="1482"/>
    <col min="13294" max="13294" width="14.85546875" style="1482" customWidth="1"/>
    <col min="13295" max="13299" width="9.140625" style="1482"/>
    <col min="13300" max="13300" width="29.28515625" style="1482" customWidth="1"/>
    <col min="13301" max="13549" width="9.140625" style="1482"/>
    <col min="13550" max="13550" width="14.85546875" style="1482" customWidth="1"/>
    <col min="13551" max="13555" width="9.140625" style="1482"/>
    <col min="13556" max="13556" width="29.28515625" style="1482" customWidth="1"/>
    <col min="13557" max="13805" width="9.140625" style="1482"/>
    <col min="13806" max="13806" width="14.85546875" style="1482" customWidth="1"/>
    <col min="13807" max="13811" width="9.140625" style="1482"/>
    <col min="13812" max="13812" width="29.28515625" style="1482" customWidth="1"/>
    <col min="13813" max="14061" width="9.140625" style="1482"/>
    <col min="14062" max="14062" width="14.85546875" style="1482" customWidth="1"/>
    <col min="14063" max="14067" width="9.140625" style="1482"/>
    <col min="14068" max="14068" width="29.28515625" style="1482" customWidth="1"/>
    <col min="14069" max="14317" width="9.140625" style="1482"/>
    <col min="14318" max="14318" width="14.85546875" style="1482" customWidth="1"/>
    <col min="14319" max="14323" width="9.140625" style="1482"/>
    <col min="14324" max="14324" width="29.28515625" style="1482" customWidth="1"/>
    <col min="14325" max="14573" width="9.140625" style="1482"/>
    <col min="14574" max="14574" width="14.85546875" style="1482" customWidth="1"/>
    <col min="14575" max="14579" width="9.140625" style="1482"/>
    <col min="14580" max="14580" width="29.28515625" style="1482" customWidth="1"/>
    <col min="14581" max="14829" width="9.140625" style="1482"/>
    <col min="14830" max="14830" width="14.85546875" style="1482" customWidth="1"/>
    <col min="14831" max="14835" width="9.140625" style="1482"/>
    <col min="14836" max="14836" width="29.28515625" style="1482" customWidth="1"/>
    <col min="14837" max="15085" width="9.140625" style="1482"/>
    <col min="15086" max="15086" width="14.85546875" style="1482" customWidth="1"/>
    <col min="15087" max="15091" width="9.140625" style="1482"/>
    <col min="15092" max="15092" width="29.28515625" style="1482" customWidth="1"/>
    <col min="15093" max="15341" width="9.140625" style="1482"/>
    <col min="15342" max="15342" width="14.85546875" style="1482" customWidth="1"/>
    <col min="15343" max="15347" width="9.140625" style="1482"/>
    <col min="15348" max="15348" width="29.28515625" style="1482" customWidth="1"/>
    <col min="15349" max="15597" width="9.140625" style="1482"/>
    <col min="15598" max="15598" width="14.85546875" style="1482" customWidth="1"/>
    <col min="15599" max="15603" width="9.140625" style="1482"/>
    <col min="15604" max="15604" width="29.28515625" style="1482" customWidth="1"/>
    <col min="15605" max="15853" width="9.140625" style="1482"/>
    <col min="15854" max="15854" width="14.85546875" style="1482" customWidth="1"/>
    <col min="15855" max="15859" width="9.140625" style="1482"/>
    <col min="15860" max="15860" width="29.28515625" style="1482" customWidth="1"/>
    <col min="15861" max="16109" width="9.140625" style="1482"/>
    <col min="16110" max="16110" width="14.85546875" style="1482" customWidth="1"/>
    <col min="16111" max="16115" width="9.140625" style="1482"/>
    <col min="16116" max="16116" width="29.28515625" style="1482" customWidth="1"/>
    <col min="16117" max="16384" width="9.140625" style="1482"/>
  </cols>
  <sheetData>
    <row r="1" spans="1:9" x14ac:dyDescent="0.25">
      <c r="A1" s="1614" t="s">
        <v>702</v>
      </c>
      <c r="B1" s="1614"/>
      <c r="C1" s="1614"/>
      <c r="D1" s="1614"/>
      <c r="E1" s="1614"/>
      <c r="F1" s="1614"/>
      <c r="G1" s="1614"/>
      <c r="H1" s="1614"/>
    </row>
    <row r="2" spans="1:9" x14ac:dyDescent="0.25">
      <c r="A2" s="1434"/>
      <c r="B2" s="1466" t="s">
        <v>1164</v>
      </c>
      <c r="C2" s="1466" t="s">
        <v>1165</v>
      </c>
      <c r="D2" s="1466" t="s">
        <v>1166</v>
      </c>
      <c r="E2" s="1466" t="s">
        <v>1175</v>
      </c>
      <c r="F2" s="1466" t="s">
        <v>1170</v>
      </c>
      <c r="G2" s="1466" t="s">
        <v>1171</v>
      </c>
      <c r="H2" s="1435" t="s">
        <v>1176</v>
      </c>
    </row>
    <row r="3" spans="1:9" x14ac:dyDescent="0.25">
      <c r="A3" s="1483">
        <v>2017</v>
      </c>
      <c r="B3" s="1486">
        <v>25488.691837199258</v>
      </c>
      <c r="C3" s="1486"/>
      <c r="D3" s="1486"/>
      <c r="E3" s="1486"/>
      <c r="F3" s="1486"/>
      <c r="G3" s="1486"/>
      <c r="H3" s="1486">
        <v>25488.691837199258</v>
      </c>
      <c r="I3" s="1484"/>
    </row>
    <row r="4" spans="1:9" x14ac:dyDescent="0.25">
      <c r="A4" s="1483">
        <v>2018</v>
      </c>
      <c r="B4" s="1486">
        <v>27378.130339302701</v>
      </c>
      <c r="C4" s="1486">
        <v>50.779307697812328</v>
      </c>
      <c r="D4" s="1486">
        <v>36.615453453108785</v>
      </c>
      <c r="E4" s="1486">
        <v>121.05869069018081</v>
      </c>
      <c r="F4" s="1486">
        <v>36.615453453112423</v>
      </c>
      <c r="G4" s="1486">
        <v>50.779307697812328</v>
      </c>
      <c r="H4" s="1486">
        <v>27526.054445798709</v>
      </c>
    </row>
    <row r="5" spans="1:9" x14ac:dyDescent="0.25">
      <c r="A5" s="1483">
        <v>2019</v>
      </c>
      <c r="B5" s="1486">
        <v>28514.314960745309</v>
      </c>
      <c r="C5" s="1486">
        <v>202.57503563709906</v>
      </c>
      <c r="D5" s="1486">
        <v>146.41476125145709</v>
      </c>
      <c r="E5" s="1486">
        <v>486.13059167483152</v>
      </c>
      <c r="F5" s="1486">
        <v>147.65569251145644</v>
      </c>
      <c r="G5" s="1486">
        <v>205.2498756557834</v>
      </c>
      <c r="H5" s="1486">
        <v>29105.976299648042</v>
      </c>
    </row>
    <row r="6" spans="1:9" x14ac:dyDescent="0.25">
      <c r="A6" s="1483">
        <v>2020</v>
      </c>
      <c r="B6" s="1486">
        <v>29289.830916853552</v>
      </c>
      <c r="C6" s="1486">
        <v>536.81950258997676</v>
      </c>
      <c r="D6" s="1486">
        <v>390.32253352149564</v>
      </c>
      <c r="E6" s="1486">
        <v>1309.90192133444</v>
      </c>
      <c r="F6" s="1486">
        <v>402.09141898081361</v>
      </c>
      <c r="G6" s="1486">
        <v>562.18745552685141</v>
      </c>
      <c r="H6" s="1486">
        <v>30868.189586200799</v>
      </c>
    </row>
    <row r="7" spans="1:9" x14ac:dyDescent="0.25">
      <c r="A7" s="1485">
        <v>2021</v>
      </c>
      <c r="B7" s="1488">
        <v>29317.66869373485</v>
      </c>
      <c r="C7" s="1488">
        <v>1023.62766037861</v>
      </c>
      <c r="D7" s="1488">
        <v>752.30121737368972</v>
      </c>
      <c r="E7" s="1488">
        <v>2573.3322667204156</v>
      </c>
      <c r="F7" s="1488">
        <v>804.75629463839141</v>
      </c>
      <c r="G7" s="1488">
        <v>1136.6986429024837</v>
      </c>
      <c r="H7" s="1488">
        <v>32363.619710035782</v>
      </c>
    </row>
    <row r="8" spans="1:9" x14ac:dyDescent="0.25">
      <c r="H8" s="1442" t="s">
        <v>84</v>
      </c>
    </row>
  </sheetData>
  <mergeCells count="1">
    <mergeCell ref="A1:H1"/>
  </mergeCells>
  <pageMargins left="0.25" right="0.25" top="0.75" bottom="0.75" header="0.3" footer="0.3"/>
  <pageSetup fitToHeight="0" orientation="portrait" horizontalDpi="4294967294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F782-D169-462A-9F25-295865AF5444}">
  <sheetPr codeName="Sheet38">
    <pageSetUpPr fitToPage="1"/>
  </sheetPr>
  <dimension ref="A1:X18"/>
  <sheetViews>
    <sheetView showGridLines="0" topLeftCell="B1" zoomScaleNormal="100" workbookViewId="0">
      <selection activeCell="P1" sqref="P1"/>
    </sheetView>
  </sheetViews>
  <sheetFormatPr defaultRowHeight="15" x14ac:dyDescent="0.25"/>
  <cols>
    <col min="1" max="1" width="35.42578125" customWidth="1"/>
    <col min="6" max="6" width="9.140625" customWidth="1"/>
    <col min="12" max="12" width="9.42578125" bestFit="1" customWidth="1"/>
    <col min="18" max="20" width="12.28515625" bestFit="1" customWidth="1"/>
    <col min="23" max="23" width="12.85546875" bestFit="1" customWidth="1"/>
  </cols>
  <sheetData>
    <row r="1" spans="1:24" x14ac:dyDescent="0.25">
      <c r="P1" s="30" t="s">
        <v>379</v>
      </c>
    </row>
    <row r="2" spans="1:24" x14ac:dyDescent="0.25">
      <c r="A2" s="473" t="s">
        <v>371</v>
      </c>
      <c r="B2" s="462">
        <v>2009</v>
      </c>
      <c r="C2" s="462">
        <v>2010</v>
      </c>
      <c r="D2" s="462">
        <v>2011</v>
      </c>
      <c r="E2" s="462">
        <v>2012</v>
      </c>
      <c r="F2" s="462">
        <v>2013</v>
      </c>
      <c r="G2" s="462">
        <v>2014</v>
      </c>
      <c r="H2" s="462">
        <v>2015</v>
      </c>
      <c r="I2" s="462">
        <v>2016</v>
      </c>
      <c r="J2" s="462">
        <v>2017</v>
      </c>
      <c r="K2" s="462">
        <v>2018</v>
      </c>
      <c r="L2" s="462">
        <v>2019</v>
      </c>
      <c r="M2" s="462">
        <v>2020</v>
      </c>
      <c r="N2" s="462">
        <v>2021</v>
      </c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x14ac:dyDescent="0.25">
      <c r="A3" s="124" t="s">
        <v>372</v>
      </c>
      <c r="B3" s="125">
        <v>100</v>
      </c>
      <c r="C3" s="125">
        <v>103.46893360134379</v>
      </c>
      <c r="D3" s="125">
        <v>106.26716362273807</v>
      </c>
      <c r="E3" s="125">
        <v>108.56796700105222</v>
      </c>
      <c r="F3" s="125">
        <v>110.76637641242277</v>
      </c>
      <c r="G3" s="125">
        <v>115.18803607513443</v>
      </c>
      <c r="H3" s="125">
        <v>118.4216116323003</v>
      </c>
      <c r="I3" s="125">
        <v>121.48666260274989</v>
      </c>
      <c r="J3" s="125">
        <v>127.04430289384332</v>
      </c>
      <c r="K3" s="125">
        <v>134.80225326126467</v>
      </c>
      <c r="L3" s="125">
        <v>142.72169202863702</v>
      </c>
      <c r="M3" s="125">
        <v>150.97806078680401</v>
      </c>
      <c r="N3" s="125">
        <v>159.23446457769148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4" x14ac:dyDescent="0.25">
      <c r="A4" s="191" t="s">
        <v>373</v>
      </c>
      <c r="B4" s="265">
        <v>100</v>
      </c>
      <c r="C4" s="265">
        <v>102.52371805627931</v>
      </c>
      <c r="D4" s="265">
        <v>101.8603185679313</v>
      </c>
      <c r="E4" s="265">
        <v>103.55425074565221</v>
      </c>
      <c r="F4" s="265">
        <v>105.515259674384</v>
      </c>
      <c r="G4" s="265">
        <v>109.41305287150985</v>
      </c>
      <c r="H4" s="265">
        <v>112.14743311508789</v>
      </c>
      <c r="I4" s="265">
        <v>121.05180164707953</v>
      </c>
      <c r="J4" s="265">
        <v>127.49378509225785</v>
      </c>
      <c r="K4" s="265">
        <v>138.79749439626499</v>
      </c>
      <c r="L4" s="265">
        <v>155.88813310345077</v>
      </c>
      <c r="M4" s="265">
        <v>171.574970338665</v>
      </c>
      <c r="N4" s="265">
        <v>175.86434459713161</v>
      </c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4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530" t="s">
        <v>382</v>
      </c>
      <c r="N5" s="1530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x14ac:dyDescent="0.2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4"/>
      <c r="P6" s="124"/>
      <c r="Q6" s="124"/>
      <c r="R6" s="124"/>
      <c r="S6" s="124"/>
      <c r="T6" s="124"/>
      <c r="U6" s="124"/>
      <c r="V6" s="124"/>
      <c r="W6" s="124"/>
      <c r="X6" s="124"/>
    </row>
    <row r="7" spans="1:24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x14ac:dyDescent="0.25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4"/>
      <c r="P8" s="124"/>
      <c r="Q8" s="124"/>
      <c r="R8" s="124"/>
      <c r="S8" s="124"/>
      <c r="T8" s="124"/>
      <c r="U8" s="124"/>
      <c r="V8" s="124"/>
      <c r="W8" s="124"/>
      <c r="X8" s="124"/>
    </row>
    <row r="9" spans="1:24" x14ac:dyDescent="0.25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4"/>
      <c r="P9" s="124"/>
      <c r="Q9" s="124"/>
      <c r="R9" s="124"/>
      <c r="S9" s="124"/>
      <c r="T9" s="124"/>
      <c r="U9" s="124"/>
      <c r="V9" s="124"/>
      <c r="W9" s="124"/>
      <c r="X9" s="124"/>
    </row>
    <row r="10" spans="1:24" x14ac:dyDescent="0.25">
      <c r="A10" s="12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24" x14ac:dyDescent="0.25">
      <c r="A11" s="124"/>
      <c r="B11" s="125"/>
      <c r="C11" s="474"/>
      <c r="D11" s="47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24" x14ac:dyDescent="0.25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24" x14ac:dyDescent="0.25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4" x14ac:dyDescent="0.25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24" x14ac:dyDescent="0.25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24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2:14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2:14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</sheetData>
  <mergeCells count="1">
    <mergeCell ref="M5:N5"/>
  </mergeCells>
  <pageMargins left="0.7" right="0.7" top="0.75" bottom="0.75" header="0.3" footer="0.3"/>
  <pageSetup paperSize="9" scale="90" orientation="landscape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60D0-772F-4568-A7D5-445E866F0BD8}">
  <sheetPr codeName="Sheet39">
    <pageSetUpPr fitToPage="1"/>
  </sheetPr>
  <dimension ref="A1:S7"/>
  <sheetViews>
    <sheetView showGridLines="0" workbookViewId="0">
      <selection activeCell="S1" sqref="S1"/>
    </sheetView>
  </sheetViews>
  <sheetFormatPr defaultRowHeight="15" x14ac:dyDescent="0.25"/>
  <cols>
    <col min="1" max="1" width="29.140625" customWidth="1"/>
    <col min="2" max="7" width="9.140625" hidden="1" customWidth="1"/>
    <col min="8" max="27" width="9.140625" customWidth="1"/>
  </cols>
  <sheetData>
    <row r="1" spans="1:19" x14ac:dyDescent="0.25">
      <c r="S1" s="30" t="s">
        <v>381</v>
      </c>
    </row>
    <row r="2" spans="1:19" x14ac:dyDescent="0.25">
      <c r="A2" s="473" t="s">
        <v>380</v>
      </c>
      <c r="B2" s="462">
        <v>2006</v>
      </c>
      <c r="C2" s="462">
        <v>2007</v>
      </c>
      <c r="D2" s="462">
        <v>2008</v>
      </c>
      <c r="E2" s="462">
        <v>2009</v>
      </c>
      <c r="F2" s="462">
        <v>2010</v>
      </c>
      <c r="G2" s="462">
        <v>2011</v>
      </c>
      <c r="H2" s="462">
        <v>2012</v>
      </c>
      <c r="I2" s="462">
        <v>2013</v>
      </c>
      <c r="J2" s="462">
        <v>2014</v>
      </c>
      <c r="K2" s="462">
        <v>2015</v>
      </c>
      <c r="L2" s="462">
        <v>2016</v>
      </c>
      <c r="M2" s="462">
        <v>2017</v>
      </c>
      <c r="N2" s="462">
        <v>2018</v>
      </c>
      <c r="O2" s="462">
        <v>2019</v>
      </c>
      <c r="P2" s="462">
        <v>2020</v>
      </c>
      <c r="Q2" s="462">
        <v>2021</v>
      </c>
    </row>
    <row r="3" spans="1:19" x14ac:dyDescent="0.25">
      <c r="A3" s="133" t="s">
        <v>375</v>
      </c>
      <c r="B3" s="471">
        <v>1.0881485662462735</v>
      </c>
      <c r="C3" s="471">
        <v>0.79174113040648297</v>
      </c>
      <c r="D3" s="471">
        <v>0.66380110845709539</v>
      </c>
      <c r="E3" s="471">
        <v>0.67599998906644643</v>
      </c>
      <c r="F3" s="471">
        <v>0.55682969281104755</v>
      </c>
      <c r="G3" s="471">
        <v>0.58560921429704138</v>
      </c>
      <c r="H3" s="471">
        <v>0.44049164620685388</v>
      </c>
      <c r="I3" s="471">
        <v>0.32324493763642664</v>
      </c>
      <c r="J3" s="471">
        <v>0.30248476102607769</v>
      </c>
      <c r="K3" s="471">
        <v>0.37997050215219019</v>
      </c>
      <c r="L3" s="471">
        <v>0.49512422027532149</v>
      </c>
      <c r="M3" s="471">
        <v>0.46388915615509091</v>
      </c>
      <c r="N3" s="471">
        <v>0.34242671781839018</v>
      </c>
      <c r="O3" s="471">
        <v>0.31828521842929519</v>
      </c>
      <c r="P3" s="471">
        <v>0.23866485205958402</v>
      </c>
      <c r="Q3" s="471">
        <v>0.22759456027896721</v>
      </c>
    </row>
    <row r="4" spans="1:19" x14ac:dyDescent="0.25">
      <c r="A4" s="469" t="s">
        <v>2</v>
      </c>
      <c r="B4" s="471">
        <v>0</v>
      </c>
      <c r="C4" s="471">
        <v>0</v>
      </c>
      <c r="D4" s="471">
        <v>3.9648657645609091E-2</v>
      </c>
      <c r="E4" s="471">
        <v>6.5559149744389145E-2</v>
      </c>
      <c r="F4" s="471">
        <v>4.3268967537915835E-2</v>
      </c>
      <c r="G4" s="471">
        <v>6.3190951927869152E-3</v>
      </c>
      <c r="H4" s="471">
        <v>5.8690434435756189E-3</v>
      </c>
      <c r="I4" s="471">
        <v>6.0428826248923083E-3</v>
      </c>
      <c r="J4" s="471">
        <v>1.1343474249485463E-2</v>
      </c>
      <c r="K4" s="471">
        <v>0.2278621077767807</v>
      </c>
      <c r="L4" s="471">
        <v>0.21627901709695865</v>
      </c>
      <c r="M4" s="471">
        <v>0.17847713695435172</v>
      </c>
      <c r="N4" s="471">
        <v>0.27401271831365515</v>
      </c>
      <c r="O4" s="471">
        <v>0.37903848033436655</v>
      </c>
      <c r="P4" s="471">
        <v>0.26209940428181483</v>
      </c>
      <c r="Q4" s="471">
        <v>0.21206982462784785</v>
      </c>
    </row>
    <row r="5" spans="1:19" x14ac:dyDescent="0.25">
      <c r="A5" s="133" t="s">
        <v>374</v>
      </c>
      <c r="B5" s="471">
        <v>0.48874452280835906</v>
      </c>
      <c r="C5" s="471">
        <v>0.48874452280835906</v>
      </c>
      <c r="D5" s="471">
        <v>0.48874452280835906</v>
      </c>
      <c r="E5" s="471">
        <v>0.48874452280835906</v>
      </c>
      <c r="F5" s="471">
        <v>0.48874452280835906</v>
      </c>
      <c r="G5" s="471">
        <v>0.48874452280835906</v>
      </c>
      <c r="H5" s="471">
        <v>0.48874452280835906</v>
      </c>
      <c r="I5" s="471">
        <v>0.48874452280835906</v>
      </c>
      <c r="J5" s="471">
        <v>0.48874452280835906</v>
      </c>
      <c r="K5" s="471">
        <v>0.48874452280835906</v>
      </c>
      <c r="L5" s="471">
        <v>0.48874452280835906</v>
      </c>
      <c r="M5" s="471">
        <v>0.48874452280835906</v>
      </c>
    </row>
    <row r="6" spans="1:19" x14ac:dyDescent="0.25">
      <c r="A6" s="191" t="s">
        <v>376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192">
        <v>0.17484490571935762</v>
      </c>
      <c r="O6" s="192">
        <v>7.0459304379063808E-2</v>
      </c>
      <c r="P6" s="192">
        <v>0.15007967074877496</v>
      </c>
      <c r="Q6" s="192">
        <v>0.16114996252939176</v>
      </c>
    </row>
    <row r="7" spans="1:19" x14ac:dyDescent="0.25">
      <c r="O7" s="1620" t="s">
        <v>89</v>
      </c>
      <c r="P7" s="1620"/>
      <c r="Q7" s="1620"/>
    </row>
  </sheetData>
  <mergeCells count="1">
    <mergeCell ref="O7:Q7"/>
  </mergeCells>
  <pageMargins left="0.7" right="0.7" top="0.75" bottom="0.75" header="0.3" footer="0.3"/>
  <pageSetup paperSize="9" scale="71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D7F78-5AB8-4382-A08D-C761F3A81796}">
  <sheetPr codeName="Sheet40">
    <pageSetUpPr fitToPage="1"/>
  </sheetPr>
  <dimension ref="A1:AI453"/>
  <sheetViews>
    <sheetView showGridLines="0" zoomScaleNormal="100" workbookViewId="0">
      <pane xSplit="2" ySplit="3" topLeftCell="Q4" activePane="bottomRight" state="frozen"/>
      <selection sqref="A1:C1"/>
      <selection pane="topRight" sqref="A1:C1"/>
      <selection pane="bottomLeft" sqref="A1:C1"/>
      <selection pane="bottomRight" sqref="A1:B1"/>
    </sheetView>
  </sheetViews>
  <sheetFormatPr defaultColWidth="9.140625" defaultRowHeight="12.75" x14ac:dyDescent="0.2"/>
  <cols>
    <col min="1" max="1" width="43" style="195" customWidth="1"/>
    <col min="2" max="14" width="9.140625" style="195" customWidth="1"/>
    <col min="15" max="15" width="10.140625" style="195" customWidth="1"/>
    <col min="16" max="21" width="9.140625" style="195" customWidth="1"/>
    <col min="22" max="22" width="9.140625" style="208" customWidth="1"/>
    <col min="23" max="26" width="9.140625" style="195" customWidth="1"/>
    <col min="27" max="27" width="9.140625" style="204" customWidth="1"/>
    <col min="28" max="28" width="9.140625" style="195" customWidth="1"/>
    <col min="29" max="16384" width="9.140625" style="195"/>
  </cols>
  <sheetData>
    <row r="1" spans="1:30" x14ac:dyDescent="0.2">
      <c r="A1" s="1625"/>
      <c r="B1" s="1625"/>
      <c r="C1" s="587"/>
      <c r="D1" s="1623" t="s">
        <v>525</v>
      </c>
      <c r="E1" s="1623"/>
      <c r="F1" s="1623"/>
      <c r="G1" s="1624"/>
      <c r="H1" s="1623" t="s">
        <v>207</v>
      </c>
      <c r="I1" s="1623"/>
      <c r="J1" s="1623"/>
      <c r="K1" s="1624"/>
      <c r="M1" s="1623" t="s">
        <v>526</v>
      </c>
      <c r="N1" s="1623"/>
      <c r="O1" s="1623"/>
      <c r="P1" s="1623"/>
      <c r="Q1" s="1624"/>
      <c r="R1" s="1625" t="s">
        <v>527</v>
      </c>
      <c r="S1" s="1625"/>
      <c r="T1" s="1625"/>
      <c r="U1" s="585"/>
      <c r="W1" s="1623" t="s">
        <v>528</v>
      </c>
      <c r="X1" s="1623"/>
      <c r="Y1" s="1623"/>
      <c r="Z1" s="1623"/>
      <c r="AB1" s="204"/>
      <c r="AC1" s="204"/>
      <c r="AD1" s="204"/>
    </row>
    <row r="2" spans="1:30" ht="12.75" customHeight="1" x14ac:dyDescent="0.2">
      <c r="A2" s="586" t="s">
        <v>529</v>
      </c>
      <c r="B2" s="1621" t="s">
        <v>530</v>
      </c>
      <c r="C2" s="1626" t="s">
        <v>531</v>
      </c>
      <c r="D2" s="1621" t="s">
        <v>532</v>
      </c>
      <c r="E2" s="1621" t="s">
        <v>262</v>
      </c>
      <c r="F2" s="1621" t="s">
        <v>263</v>
      </c>
      <c r="G2" s="1622" t="s">
        <v>264</v>
      </c>
      <c r="H2" s="1621" t="s">
        <v>166</v>
      </c>
      <c r="I2" s="1621" t="s">
        <v>167</v>
      </c>
      <c r="J2" s="1621" t="s">
        <v>168</v>
      </c>
      <c r="K2" s="1622" t="s">
        <v>169</v>
      </c>
      <c r="M2" s="588" t="s">
        <v>533</v>
      </c>
      <c r="N2" s="1632" t="s">
        <v>534</v>
      </c>
      <c r="O2" s="1621" t="s">
        <v>388</v>
      </c>
      <c r="P2" s="1621" t="s">
        <v>389</v>
      </c>
      <c r="Q2" s="1622" t="s">
        <v>390</v>
      </c>
      <c r="R2" s="1627">
        <v>2019</v>
      </c>
      <c r="S2" s="1629">
        <v>2020</v>
      </c>
      <c r="T2" s="1637">
        <v>2021</v>
      </c>
      <c r="U2" s="1633" t="s">
        <v>535</v>
      </c>
      <c r="V2" s="590"/>
      <c r="W2" s="1630" t="str">
        <f>O2</f>
        <v>2019 NPC</v>
      </c>
      <c r="X2" s="1631" t="s">
        <v>536</v>
      </c>
      <c r="Y2" s="1630" t="s">
        <v>537</v>
      </c>
      <c r="Z2" s="1633" t="s">
        <v>538</v>
      </c>
      <c r="AB2" s="204"/>
      <c r="AC2" s="204"/>
      <c r="AD2" s="204"/>
    </row>
    <row r="3" spans="1:30" x14ac:dyDescent="0.2">
      <c r="A3" s="586"/>
      <c r="B3" s="1621"/>
      <c r="C3" s="1626"/>
      <c r="D3" s="1621"/>
      <c r="E3" s="1621"/>
      <c r="F3" s="1621"/>
      <c r="G3" s="1622"/>
      <c r="H3" s="1621"/>
      <c r="I3" s="1621"/>
      <c r="J3" s="1621"/>
      <c r="K3" s="1622"/>
      <c r="M3" s="591" t="s">
        <v>539</v>
      </c>
      <c r="N3" s="1632"/>
      <c r="O3" s="1621"/>
      <c r="P3" s="1621"/>
      <c r="Q3" s="1622"/>
      <c r="R3" s="1635"/>
      <c r="S3" s="1636"/>
      <c r="T3" s="1638"/>
      <c r="U3" s="1639"/>
      <c r="V3" s="590"/>
      <c r="W3" s="1630"/>
      <c r="X3" s="1632"/>
      <c r="Y3" s="1630"/>
      <c r="Z3" s="1634"/>
      <c r="AB3" s="204"/>
      <c r="AC3" s="204"/>
      <c r="AD3" s="204"/>
    </row>
    <row r="4" spans="1:30" x14ac:dyDescent="0.2">
      <c r="A4" s="592" t="s">
        <v>540</v>
      </c>
      <c r="B4" s="593" t="s">
        <v>393</v>
      </c>
      <c r="C4" s="594">
        <f t="shared" ref="C4:G4" si="0">C5+C24+C34+C35+C43+C65+C53</f>
        <v>33443.9</v>
      </c>
      <c r="D4" s="595">
        <f t="shared" si="0"/>
        <v>35388.1</v>
      </c>
      <c r="E4" s="596">
        <f t="shared" si="0"/>
        <v>37161.334999999999</v>
      </c>
      <c r="F4" s="596">
        <f t="shared" si="0"/>
        <v>39744.764000000003</v>
      </c>
      <c r="G4" s="597">
        <f t="shared" si="0"/>
        <v>41076.820999999996</v>
      </c>
      <c r="H4" s="596">
        <f>H5+H24+H34+H35+H43+H65+H53</f>
        <v>35778.374582634984</v>
      </c>
      <c r="I4" s="596">
        <f t="shared" ref="I4:K4" si="1">I5+I24+I34+I35+I43+I65+I53</f>
        <v>37787.569586593796</v>
      </c>
      <c r="J4" s="596">
        <f t="shared" si="1"/>
        <v>39602.6538322376</v>
      </c>
      <c r="K4" s="597">
        <f t="shared" si="1"/>
        <v>41204.280219749184</v>
      </c>
      <c r="L4" s="598"/>
      <c r="M4" s="595">
        <f t="shared" ref="M4:T4" si="2">M5+M24+M34+M35+M43+M65+M53</f>
        <v>-187.2193</v>
      </c>
      <c r="N4" s="594">
        <f t="shared" si="2"/>
        <v>35591.15528263498</v>
      </c>
      <c r="O4" s="595">
        <f t="shared" si="2"/>
        <v>37798.673046661679</v>
      </c>
      <c r="P4" s="596">
        <f t="shared" si="2"/>
        <v>39775.428919644619</v>
      </c>
      <c r="Q4" s="596">
        <f t="shared" si="2"/>
        <v>41553.953327647032</v>
      </c>
      <c r="R4" s="599">
        <f t="shared" si="2"/>
        <v>-11.103219067878833</v>
      </c>
      <c r="S4" s="596">
        <f t="shared" si="2"/>
        <v>-172.77442640700653</v>
      </c>
      <c r="T4" s="596">
        <f t="shared" si="2"/>
        <v>-349.67336989784746</v>
      </c>
      <c r="U4" s="600">
        <f>O4-N4</f>
        <v>2207.5177640266993</v>
      </c>
      <c r="V4" s="220"/>
      <c r="W4" s="595">
        <f>W5+W24+W35+W43+W65+W53</f>
        <v>37798.673046661679</v>
      </c>
      <c r="X4" s="596">
        <v>37284.328235381414</v>
      </c>
      <c r="Y4" s="595">
        <f>Y5+Y24+Y35+Y43+Y65+Y53</f>
        <v>-514.34481128025959</v>
      </c>
      <c r="Z4" s="601">
        <f t="shared" ref="Z4:Z35" si="3">Y4/$X$193*100</f>
        <v>-0.53085219101196779</v>
      </c>
      <c r="AB4" s="196"/>
      <c r="AC4" s="204"/>
      <c r="AD4" s="204"/>
    </row>
    <row r="5" spans="1:30" s="197" customFormat="1" x14ac:dyDescent="0.2">
      <c r="A5" s="602" t="s">
        <v>396</v>
      </c>
      <c r="B5" s="603" t="s">
        <v>541</v>
      </c>
      <c r="C5" s="605">
        <v>9250.9</v>
      </c>
      <c r="D5" s="606">
        <v>10020.4</v>
      </c>
      <c r="E5" s="607">
        <v>10666.058000000001</v>
      </c>
      <c r="F5" s="607">
        <v>11208.237999999999</v>
      </c>
      <c r="G5" s="608">
        <v>11499.567999999999</v>
      </c>
      <c r="H5" s="609">
        <f>SUM(H6:H23)</f>
        <v>9769.4598618318814</v>
      </c>
      <c r="I5" s="610">
        <f t="shared" ref="I5:K5" si="4">SUM(I6:I23)</f>
        <v>10409.748947003805</v>
      </c>
      <c r="J5" s="610">
        <f t="shared" si="4"/>
        <v>10857.354693230503</v>
      </c>
      <c r="K5" s="611">
        <f t="shared" si="4"/>
        <v>11113.519332998851</v>
      </c>
      <c r="L5" s="598"/>
      <c r="M5" s="606">
        <f>SUM(M6:M23)</f>
        <v>0</v>
      </c>
      <c r="N5" s="612">
        <f t="shared" ref="N5:N13" si="5">H5+M5</f>
        <v>9769.4598618318814</v>
      </c>
      <c r="O5" s="606">
        <f>SUM(O6:O23)</f>
        <v>10287.215221230217</v>
      </c>
      <c r="P5" s="607">
        <f>SUM(P6:P23)</f>
        <v>10717.837677986328</v>
      </c>
      <c r="Q5" s="607">
        <f>SUM(Q6:Q23)</f>
        <v>10996.390037899788</v>
      </c>
      <c r="R5" s="606">
        <f t="shared" ref="R5:T5" si="6">SUM(R6:R23)</f>
        <v>122.53372577358678</v>
      </c>
      <c r="S5" s="607">
        <f t="shared" si="6"/>
        <v>139.5170152441741</v>
      </c>
      <c r="T5" s="607">
        <f t="shared" si="6"/>
        <v>117.12929509906104</v>
      </c>
      <c r="U5" s="612">
        <f t="shared" ref="U5:U75" si="7">O5-N5</f>
        <v>517.75535939833571</v>
      </c>
      <c r="V5" s="220"/>
      <c r="W5" s="606">
        <f>SUM(W6:W23)</f>
        <v>10287.215221230217</v>
      </c>
      <c r="X5" s="607">
        <v>10568.759300000002</v>
      </c>
      <c r="Y5" s="606">
        <f t="shared" ref="Y5:Y113" si="8">X5-W5</f>
        <v>281.54407876978439</v>
      </c>
      <c r="Z5" s="613">
        <f t="shared" si="3"/>
        <v>0.29057995298789602</v>
      </c>
      <c r="AA5" s="206"/>
      <c r="AB5" s="196"/>
      <c r="AC5" s="206"/>
      <c r="AD5" s="206"/>
    </row>
    <row r="6" spans="1:30" x14ac:dyDescent="0.2">
      <c r="A6" s="137" t="s">
        <v>476</v>
      </c>
      <c r="B6" s="614"/>
      <c r="C6" s="615">
        <v>5916.5889999999999</v>
      </c>
      <c r="D6" s="615">
        <v>6349.5110000000004</v>
      </c>
      <c r="E6" s="616">
        <v>6663.6639999999998</v>
      </c>
      <c r="F6" s="616">
        <v>7016.0870000000004</v>
      </c>
      <c r="G6" s="617">
        <v>7370.0590000000002</v>
      </c>
      <c r="H6" s="618">
        <v>6297.8999198922029</v>
      </c>
      <c r="I6" s="618">
        <v>6648.0531763109248</v>
      </c>
      <c r="J6" s="618">
        <v>6992.2785852701572</v>
      </c>
      <c r="K6" s="619">
        <v>7322.265085605557</v>
      </c>
      <c r="L6" s="598"/>
      <c r="M6" s="615"/>
      <c r="N6" s="620">
        <f t="shared" si="5"/>
        <v>6297.8999198922029</v>
      </c>
      <c r="O6" s="615">
        <v>6613.9316250598076</v>
      </c>
      <c r="P6" s="616">
        <v>6950.0849773662421</v>
      </c>
      <c r="Q6" s="616">
        <v>7300.4448274825318</v>
      </c>
      <c r="R6" s="615">
        <f t="shared" ref="R6:R23" si="9">I6-O6</f>
        <v>34.121551251117126</v>
      </c>
      <c r="S6" s="616">
        <f t="shared" ref="S6:S23" si="10">J6-P6</f>
        <v>42.193607903915108</v>
      </c>
      <c r="T6" s="616">
        <f t="shared" ref="T6:T23" si="11">K6-Q6</f>
        <v>21.820258123025269</v>
      </c>
      <c r="U6" s="620">
        <f>O6-N6</f>
        <v>316.03170516760474</v>
      </c>
      <c r="V6" s="220"/>
      <c r="W6" s="615">
        <f>O6</f>
        <v>6613.9316250598076</v>
      </c>
      <c r="X6" s="616">
        <v>6663.6639999999998</v>
      </c>
      <c r="Y6" s="615">
        <f t="shared" si="8"/>
        <v>49.73237494019213</v>
      </c>
      <c r="Z6" s="621">
        <f t="shared" si="3"/>
        <v>5.1328485526112119E-2</v>
      </c>
      <c r="AB6" s="196"/>
      <c r="AC6" s="204"/>
      <c r="AD6" s="204"/>
    </row>
    <row r="7" spans="1:30" x14ac:dyDescent="0.2">
      <c r="A7" s="137" t="s">
        <v>478</v>
      </c>
      <c r="B7" s="614"/>
      <c r="C7" s="615">
        <v>2250.8883662799999</v>
      </c>
      <c r="D7" s="615">
        <v>2327.3489999999997</v>
      </c>
      <c r="E7" s="616">
        <v>2426.4250000000002</v>
      </c>
      <c r="F7" s="616">
        <v>2496.3870000000002</v>
      </c>
      <c r="G7" s="617">
        <v>2551.4690000000001</v>
      </c>
      <c r="H7" s="618">
        <v>2332.0101192845641</v>
      </c>
      <c r="I7" s="618">
        <v>2420.150638115219</v>
      </c>
      <c r="J7" s="618">
        <v>2473.7853898749308</v>
      </c>
      <c r="K7" s="619">
        <v>2520.8500459037928</v>
      </c>
      <c r="L7" s="598"/>
      <c r="M7" s="615"/>
      <c r="N7" s="620">
        <f t="shared" si="5"/>
        <v>2332.0101192845641</v>
      </c>
      <c r="O7" s="615">
        <v>2411.1521414469253</v>
      </c>
      <c r="P7" s="616">
        <v>2463.704992338734</v>
      </c>
      <c r="Q7" s="616">
        <v>2511.2141217954922</v>
      </c>
      <c r="R7" s="615">
        <f t="shared" si="9"/>
        <v>8.9984966682936829</v>
      </c>
      <c r="S7" s="616">
        <f t="shared" si="10"/>
        <v>10.08039753619687</v>
      </c>
      <c r="T7" s="616">
        <f t="shared" si="11"/>
        <v>9.6359241083005145</v>
      </c>
      <c r="U7" s="620">
        <f t="shared" si="7"/>
        <v>79.142022162361172</v>
      </c>
      <c r="V7" s="220"/>
      <c r="W7" s="615">
        <f t="shared" ref="W7:W23" si="12">O7</f>
        <v>2411.1521414469253</v>
      </c>
      <c r="X7" s="616">
        <v>2426.4250000000002</v>
      </c>
      <c r="Y7" s="615">
        <f t="shared" si="8"/>
        <v>15.272858553074911</v>
      </c>
      <c r="Z7" s="621">
        <f t="shared" si="3"/>
        <v>1.5763025597040483E-2</v>
      </c>
      <c r="AB7" s="196"/>
      <c r="AC7" s="204"/>
      <c r="AD7" s="204"/>
    </row>
    <row r="8" spans="1:30" x14ac:dyDescent="0.2">
      <c r="A8" s="137" t="s">
        <v>480</v>
      </c>
      <c r="B8" s="614"/>
      <c r="C8" s="615">
        <v>233.09220960770003</v>
      </c>
      <c r="D8" s="615">
        <f>352.047*67/100</f>
        <v>235.87149000000002</v>
      </c>
      <c r="E8" s="616">
        <f>358.985*67/100</f>
        <v>240.51995000000002</v>
      </c>
      <c r="F8" s="616">
        <f>366.427*67/100</f>
        <v>245.50609</v>
      </c>
      <c r="G8" s="617">
        <f>374.018*67/100</f>
        <v>250.59205999999998</v>
      </c>
      <c r="H8" s="618">
        <v>235.85005739753367</v>
      </c>
      <c r="I8" s="618">
        <v>240.49809501246608</v>
      </c>
      <c r="J8" s="618">
        <v>245.48378194390563</v>
      </c>
      <c r="K8" s="619">
        <v>250.56928980423262</v>
      </c>
      <c r="L8" s="598"/>
      <c r="M8" s="615"/>
      <c r="N8" s="620">
        <f t="shared" si="5"/>
        <v>235.85005739753367</v>
      </c>
      <c r="O8" s="615">
        <f>358.952380615621*67/100</f>
        <v>240.49809501246608</v>
      </c>
      <c r="P8" s="616">
        <f>366.587747696973*67/100</f>
        <v>245.61379095697191</v>
      </c>
      <c r="Q8" s="616">
        <f>373.80002244311*67/100</f>
        <v>250.44601503688369</v>
      </c>
      <c r="R8" s="615">
        <f t="shared" si="9"/>
        <v>0</v>
      </c>
      <c r="S8" s="616">
        <f t="shared" si="10"/>
        <v>-0.13000901306628521</v>
      </c>
      <c r="T8" s="616">
        <f t="shared" si="11"/>
        <v>0.12327476734893139</v>
      </c>
      <c r="U8" s="620">
        <f t="shared" si="7"/>
        <v>4.6480376149324059</v>
      </c>
      <c r="V8" s="220"/>
      <c r="W8" s="615">
        <f t="shared" si="12"/>
        <v>240.49809501246608</v>
      </c>
      <c r="X8" s="616">
        <v>240.51995000000002</v>
      </c>
      <c r="Y8" s="615">
        <f t="shared" si="8"/>
        <v>2.1854987533941994E-2</v>
      </c>
      <c r="Z8" s="621">
        <f t="shared" si="3"/>
        <v>2.2556401391615674E-5</v>
      </c>
      <c r="AB8" s="196"/>
      <c r="AC8" s="204"/>
      <c r="AD8" s="204"/>
    </row>
    <row r="9" spans="1:30" x14ac:dyDescent="0.2">
      <c r="A9" s="137" t="s">
        <v>482</v>
      </c>
      <c r="B9" s="614"/>
      <c r="C9" s="615">
        <v>149.904</v>
      </c>
      <c r="D9" s="615">
        <v>159.56700000000001</v>
      </c>
      <c r="E9" s="616">
        <v>170.90299999999999</v>
      </c>
      <c r="F9" s="616">
        <v>182.012</v>
      </c>
      <c r="G9" s="617">
        <v>192.744</v>
      </c>
      <c r="H9" s="618">
        <v>153.97694965165601</v>
      </c>
      <c r="I9" s="618">
        <v>163.08433759058556</v>
      </c>
      <c r="J9" s="618">
        <v>173.68511058049103</v>
      </c>
      <c r="K9" s="619">
        <v>183.92613098985871</v>
      </c>
      <c r="L9" s="598"/>
      <c r="M9" s="615"/>
      <c r="N9" s="620">
        <f t="shared" si="5"/>
        <v>153.97694965165601</v>
      </c>
      <c r="O9" s="615">
        <v>162.52814878313066</v>
      </c>
      <c r="P9" s="616">
        <v>172.62507496792642</v>
      </c>
      <c r="Q9" s="616">
        <v>182.88262636787061</v>
      </c>
      <c r="R9" s="615">
        <f t="shared" si="9"/>
        <v>0.55618880745490173</v>
      </c>
      <c r="S9" s="616">
        <f t="shared" si="10"/>
        <v>1.0600356125646044</v>
      </c>
      <c r="T9" s="616">
        <f t="shared" si="11"/>
        <v>1.0435046219880917</v>
      </c>
      <c r="U9" s="620">
        <f t="shared" si="7"/>
        <v>8.5511991314746467</v>
      </c>
      <c r="V9" s="220"/>
      <c r="W9" s="615">
        <f t="shared" si="12"/>
        <v>162.52814878313066</v>
      </c>
      <c r="X9" s="616">
        <v>170.90299999999999</v>
      </c>
      <c r="Y9" s="615">
        <f t="shared" si="8"/>
        <v>8.374851216869331</v>
      </c>
      <c r="Z9" s="621">
        <f t="shared" si="3"/>
        <v>8.6436336488128138E-3</v>
      </c>
      <c r="AB9" s="196"/>
      <c r="AC9" s="204"/>
      <c r="AD9" s="204"/>
    </row>
    <row r="10" spans="1:30" x14ac:dyDescent="0.2">
      <c r="A10" s="137" t="s">
        <v>483</v>
      </c>
      <c r="B10" s="614"/>
      <c r="C10" s="620">
        <v>12.147330519</v>
      </c>
      <c r="D10" s="616">
        <f>82.453*15/100</f>
        <v>12.36795</v>
      </c>
      <c r="E10" s="616">
        <f>82.453*15/100</f>
        <v>12.36795</v>
      </c>
      <c r="F10" s="616">
        <f>82.453*15/100</f>
        <v>12.36795</v>
      </c>
      <c r="G10" s="617">
        <f>82.453*15/100</f>
        <v>12.36795</v>
      </c>
      <c r="H10" s="618">
        <v>12.4301809059234</v>
      </c>
      <c r="I10" s="618">
        <v>12.4301809059234</v>
      </c>
      <c r="J10" s="618">
        <v>12.4301809059234</v>
      </c>
      <c r="K10" s="619">
        <v>12.4301809059234</v>
      </c>
      <c r="L10" s="598"/>
      <c r="M10" s="615"/>
      <c r="N10" s="620">
        <f t="shared" si="5"/>
        <v>12.4301809059234</v>
      </c>
      <c r="O10" s="615">
        <f>82.867872706156*15/100</f>
        <v>12.4301809059234</v>
      </c>
      <c r="P10" s="616">
        <f>82.867872706156*15/100</f>
        <v>12.4301809059234</v>
      </c>
      <c r="Q10" s="616">
        <f>82.867872706156*15/100</f>
        <v>12.4301809059234</v>
      </c>
      <c r="R10" s="615">
        <f t="shared" si="9"/>
        <v>0</v>
      </c>
      <c r="S10" s="616">
        <f t="shared" si="10"/>
        <v>0</v>
      </c>
      <c r="T10" s="616">
        <f t="shared" si="11"/>
        <v>0</v>
      </c>
      <c r="U10" s="620">
        <f t="shared" si="7"/>
        <v>0</v>
      </c>
      <c r="V10" s="220"/>
      <c r="W10" s="615">
        <f t="shared" si="12"/>
        <v>12.4301809059234</v>
      </c>
      <c r="X10" s="616">
        <v>12.36795</v>
      </c>
      <c r="Y10" s="615">
        <f t="shared" si="8"/>
        <v>-6.223090592339986E-2</v>
      </c>
      <c r="Z10" s="621">
        <f t="shared" si="3"/>
        <v>-6.4228144298506218E-5</v>
      </c>
      <c r="AB10" s="196"/>
      <c r="AC10" s="204"/>
      <c r="AD10" s="204"/>
    </row>
    <row r="11" spans="1:30" x14ac:dyDescent="0.2">
      <c r="A11" s="137" t="s">
        <v>542</v>
      </c>
      <c r="B11" s="614"/>
      <c r="C11" s="620">
        <v>127.28389512</v>
      </c>
      <c r="D11" s="616">
        <v>134.21199999999999</v>
      </c>
      <c r="E11" s="616">
        <v>143.07599999999999</v>
      </c>
      <c r="F11" s="616">
        <v>152.316</v>
      </c>
      <c r="G11" s="617">
        <v>0</v>
      </c>
      <c r="H11" s="618">
        <v>134.45207470000005</v>
      </c>
      <c r="I11" s="618">
        <v>142.9662825645099</v>
      </c>
      <c r="J11" s="618">
        <v>152.19965943527808</v>
      </c>
      <c r="K11" s="619">
        <v>0</v>
      </c>
      <c r="L11" s="598"/>
      <c r="M11" s="615"/>
      <c r="N11" s="620">
        <f t="shared" si="5"/>
        <v>134.45207470000005</v>
      </c>
      <c r="O11" s="615">
        <v>142.18092971619112</v>
      </c>
      <c r="P11" s="616">
        <v>150.63187416911126</v>
      </c>
      <c r="Q11" s="616">
        <v>0</v>
      </c>
      <c r="R11" s="615">
        <f t="shared" si="9"/>
        <v>0.78535284831878016</v>
      </c>
      <c r="S11" s="616">
        <f t="shared" si="10"/>
        <v>1.5677852661668226</v>
      </c>
      <c r="T11" s="616">
        <f t="shared" si="11"/>
        <v>0</v>
      </c>
      <c r="U11" s="620">
        <f t="shared" si="7"/>
        <v>7.7288550161910621</v>
      </c>
      <c r="V11" s="220"/>
      <c r="W11" s="615">
        <f t="shared" si="12"/>
        <v>142.18092971619112</v>
      </c>
      <c r="X11" s="616">
        <v>143.07599999999999</v>
      </c>
      <c r="Y11" s="615">
        <f t="shared" si="8"/>
        <v>0.89507028380887732</v>
      </c>
      <c r="Z11" s="621">
        <f t="shared" si="3"/>
        <v>9.2379666490062724E-4</v>
      </c>
      <c r="AB11" s="196"/>
      <c r="AC11" s="204"/>
      <c r="AD11" s="204"/>
    </row>
    <row r="12" spans="1:30" x14ac:dyDescent="0.2">
      <c r="A12" s="137" t="s">
        <v>543</v>
      </c>
      <c r="B12" s="614"/>
      <c r="C12" s="615">
        <v>208.17756731</v>
      </c>
      <c r="D12" s="615">
        <v>210</v>
      </c>
      <c r="E12" s="616">
        <v>210</v>
      </c>
      <c r="F12" s="616">
        <v>255</v>
      </c>
      <c r="G12" s="617">
        <v>271</v>
      </c>
      <c r="H12" s="618">
        <v>225.35900000000001</v>
      </c>
      <c r="I12" s="618">
        <v>241.75043260752454</v>
      </c>
      <c r="J12" s="618">
        <v>259.33409211935299</v>
      </c>
      <c r="K12" s="619">
        <v>278.19669487232909</v>
      </c>
      <c r="L12" s="598"/>
      <c r="M12" s="615"/>
      <c r="N12" s="620">
        <f t="shared" si="5"/>
        <v>225.35900000000001</v>
      </c>
      <c r="O12" s="615">
        <f>I12-1.8</f>
        <v>239.95043260752453</v>
      </c>
      <c r="P12" s="616">
        <f>J12-3</f>
        <v>256.33409211935299</v>
      </c>
      <c r="Q12" s="616">
        <f>K12-3</f>
        <v>275.19669487232909</v>
      </c>
      <c r="R12" s="615">
        <f t="shared" si="9"/>
        <v>1.8000000000000114</v>
      </c>
      <c r="S12" s="616">
        <f t="shared" si="10"/>
        <v>3</v>
      </c>
      <c r="T12" s="616">
        <f t="shared" si="11"/>
        <v>3</v>
      </c>
      <c r="U12" s="620">
        <f t="shared" si="7"/>
        <v>14.591432607524524</v>
      </c>
      <c r="V12" s="220"/>
      <c r="W12" s="615">
        <f t="shared" si="12"/>
        <v>239.95043260752453</v>
      </c>
      <c r="X12" s="616">
        <v>259.11</v>
      </c>
      <c r="Y12" s="615">
        <f t="shared" si="8"/>
        <v>19.159567392475481</v>
      </c>
      <c r="Z12" s="621">
        <f t="shared" si="3"/>
        <v>1.9774474449971807E-2</v>
      </c>
      <c r="AB12" s="196"/>
      <c r="AC12" s="204"/>
      <c r="AD12" s="204"/>
    </row>
    <row r="13" spans="1:30" x14ac:dyDescent="0.2">
      <c r="A13" s="137" t="s">
        <v>487</v>
      </c>
      <c r="B13" s="614"/>
      <c r="C13" s="615">
        <v>37.827974874200002</v>
      </c>
      <c r="D13" s="615">
        <v>42.140999999999998</v>
      </c>
      <c r="E13" s="616">
        <v>45.346477560000004</v>
      </c>
      <c r="F13" s="616">
        <v>48.138275829999998</v>
      </c>
      <c r="G13" s="617">
        <v>50.919926289999999</v>
      </c>
      <c r="H13" s="618">
        <v>25.983999999999998</v>
      </c>
      <c r="I13" s="618">
        <v>41.359018956650694</v>
      </c>
      <c r="J13" s="618">
        <v>40.4815861004708</v>
      </c>
      <c r="K13" s="619">
        <v>40.672541207159597</v>
      </c>
      <c r="L13" s="598"/>
      <c r="M13" s="615"/>
      <c r="N13" s="620">
        <f t="shared" si="5"/>
        <v>25.983999999999998</v>
      </c>
      <c r="O13" s="615">
        <f>I13</f>
        <v>41.359018956650694</v>
      </c>
      <c r="P13" s="616">
        <f>J13</f>
        <v>40.4815861004708</v>
      </c>
      <c r="Q13" s="616">
        <f>K13</f>
        <v>40.672541207159597</v>
      </c>
      <c r="R13" s="615">
        <f t="shared" si="9"/>
        <v>0</v>
      </c>
      <c r="S13" s="616">
        <f t="shared" si="10"/>
        <v>0</v>
      </c>
      <c r="T13" s="616">
        <f t="shared" si="11"/>
        <v>0</v>
      </c>
      <c r="U13" s="620">
        <f t="shared" si="7"/>
        <v>15.375018956650695</v>
      </c>
      <c r="V13" s="220"/>
      <c r="W13" s="615">
        <f t="shared" si="12"/>
        <v>41.359018956650694</v>
      </c>
      <c r="X13" s="616">
        <v>45.346477560000004</v>
      </c>
      <c r="Y13" s="615">
        <f t="shared" si="8"/>
        <v>3.9874586033493102</v>
      </c>
      <c r="Z13" s="621">
        <f t="shared" si="3"/>
        <v>4.1154320792868137E-3</v>
      </c>
      <c r="AB13" s="196"/>
      <c r="AC13" s="204"/>
      <c r="AD13" s="204"/>
    </row>
    <row r="14" spans="1:30" x14ac:dyDescent="0.2">
      <c r="A14" s="137" t="s">
        <v>489</v>
      </c>
      <c r="B14" s="614"/>
      <c r="C14" s="615">
        <v>57.423999999999999</v>
      </c>
      <c r="D14" s="615">
        <v>163.155</v>
      </c>
      <c r="E14" s="616">
        <v>136.659244</v>
      </c>
      <c r="F14" s="616">
        <v>116.659244</v>
      </c>
      <c r="G14" s="617">
        <v>116.659244</v>
      </c>
      <c r="H14" s="618">
        <v>60.608999999999995</v>
      </c>
      <c r="I14" s="618">
        <v>118.76910649999999</v>
      </c>
      <c r="J14" s="618">
        <v>120.43856683</v>
      </c>
      <c r="K14" s="619">
        <v>116.659244</v>
      </c>
      <c r="L14" s="598"/>
      <c r="M14" s="615"/>
      <c r="N14" s="620">
        <v>60.608996259999998</v>
      </c>
      <c r="O14" s="615">
        <v>118.76886251000001</v>
      </c>
      <c r="P14" s="616">
        <v>120.43832283</v>
      </c>
      <c r="Q14" s="617">
        <v>116.659244</v>
      </c>
      <c r="R14" s="615">
        <f t="shared" si="9"/>
        <v>2.4398999998709314E-4</v>
      </c>
      <c r="S14" s="616">
        <f t="shared" si="10"/>
        <v>2.4399999999502597E-4</v>
      </c>
      <c r="T14" s="616">
        <f t="shared" si="11"/>
        <v>0</v>
      </c>
      <c r="U14" s="620">
        <f t="shared" si="7"/>
        <v>58.159866250000007</v>
      </c>
      <c r="V14" s="220"/>
      <c r="W14" s="615">
        <f t="shared" si="12"/>
        <v>118.76886251000001</v>
      </c>
      <c r="X14" s="616">
        <v>136.659244</v>
      </c>
      <c r="Y14" s="615">
        <f t="shared" si="8"/>
        <v>17.890381489999996</v>
      </c>
      <c r="Z14" s="621">
        <f t="shared" si="3"/>
        <v>1.846455530166043E-2</v>
      </c>
      <c r="AB14" s="196"/>
      <c r="AC14" s="204"/>
      <c r="AD14" s="204"/>
    </row>
    <row r="15" spans="1:30" x14ac:dyDescent="0.2">
      <c r="A15" s="622" t="s">
        <v>544</v>
      </c>
      <c r="B15" s="623"/>
      <c r="C15" s="624">
        <v>9.5269999999999992</v>
      </c>
      <c r="D15" s="615">
        <v>3.0550000000000002</v>
      </c>
      <c r="E15" s="616">
        <v>0</v>
      </c>
      <c r="F15" s="616">
        <v>0</v>
      </c>
      <c r="G15" s="617">
        <v>0</v>
      </c>
      <c r="H15" s="618">
        <v>3.0550000000000002</v>
      </c>
      <c r="I15" s="618">
        <v>0</v>
      </c>
      <c r="J15" s="618">
        <v>0</v>
      </c>
      <c r="K15" s="619">
        <v>0</v>
      </c>
      <c r="L15" s="598"/>
      <c r="M15" s="615"/>
      <c r="N15" s="620">
        <v>0</v>
      </c>
      <c r="O15" s="615">
        <v>0</v>
      </c>
      <c r="P15" s="616">
        <v>0</v>
      </c>
      <c r="Q15" s="616">
        <v>0</v>
      </c>
      <c r="R15" s="615">
        <f t="shared" si="9"/>
        <v>0</v>
      </c>
      <c r="S15" s="616">
        <f t="shared" si="10"/>
        <v>0</v>
      </c>
      <c r="T15" s="616">
        <f t="shared" si="11"/>
        <v>0</v>
      </c>
      <c r="U15" s="620">
        <f t="shared" si="7"/>
        <v>0</v>
      </c>
      <c r="V15" s="220"/>
      <c r="W15" s="615">
        <f t="shared" si="12"/>
        <v>0</v>
      </c>
      <c r="X15" s="616">
        <v>0</v>
      </c>
      <c r="Y15" s="615">
        <f t="shared" si="8"/>
        <v>0</v>
      </c>
      <c r="Z15" s="621">
        <f t="shared" si="3"/>
        <v>0</v>
      </c>
      <c r="AB15" s="196"/>
      <c r="AC15" s="204"/>
      <c r="AD15" s="204"/>
    </row>
    <row r="16" spans="1:30" s="204" customFormat="1" x14ac:dyDescent="0.2">
      <c r="A16" s="622" t="s">
        <v>491</v>
      </c>
      <c r="B16" s="623"/>
      <c r="C16" s="624">
        <v>17.535</v>
      </c>
      <c r="D16" s="624">
        <v>0</v>
      </c>
      <c r="E16" s="625">
        <v>0</v>
      </c>
      <c r="F16" s="625">
        <v>0</v>
      </c>
      <c r="G16" s="626">
        <v>0</v>
      </c>
      <c r="H16" s="627">
        <v>17.535</v>
      </c>
      <c r="I16" s="627">
        <v>17.535</v>
      </c>
      <c r="J16" s="627">
        <v>17.535</v>
      </c>
      <c r="K16" s="628">
        <v>17.535</v>
      </c>
      <c r="L16" s="598"/>
      <c r="M16" s="615"/>
      <c r="N16" s="620">
        <f t="shared" ref="N16:N47" si="13">H16+M16</f>
        <v>17.535</v>
      </c>
      <c r="O16" s="615">
        <f>I16</f>
        <v>17.535</v>
      </c>
      <c r="P16" s="616">
        <f>J16</f>
        <v>17.535</v>
      </c>
      <c r="Q16" s="616">
        <f>K16</f>
        <v>17.535</v>
      </c>
      <c r="R16" s="615">
        <f t="shared" si="9"/>
        <v>0</v>
      </c>
      <c r="S16" s="616">
        <f t="shared" si="10"/>
        <v>0</v>
      </c>
      <c r="T16" s="616">
        <f t="shared" si="11"/>
        <v>0</v>
      </c>
      <c r="U16" s="620">
        <f t="shared" si="7"/>
        <v>0</v>
      </c>
      <c r="V16" s="220"/>
      <c r="W16" s="615">
        <f t="shared" si="12"/>
        <v>17.535</v>
      </c>
      <c r="X16" s="616">
        <v>17.535</v>
      </c>
      <c r="Y16" s="615">
        <f t="shared" si="8"/>
        <v>0</v>
      </c>
      <c r="Z16" s="621">
        <f t="shared" si="3"/>
        <v>0</v>
      </c>
      <c r="AB16" s="196"/>
    </row>
    <row r="17" spans="1:30" x14ac:dyDescent="0.2">
      <c r="A17" s="137" t="s">
        <v>545</v>
      </c>
      <c r="B17" s="614"/>
      <c r="C17" s="615">
        <v>0</v>
      </c>
      <c r="D17" s="615">
        <v>93.849000000000004</v>
      </c>
      <c r="E17" s="616">
        <v>131.04</v>
      </c>
      <c r="F17" s="616">
        <v>131.04</v>
      </c>
      <c r="G17" s="617">
        <v>131.04</v>
      </c>
      <c r="H17" s="618">
        <v>0</v>
      </c>
      <c r="I17" s="618">
        <v>0</v>
      </c>
      <c r="J17" s="618">
        <v>0</v>
      </c>
      <c r="K17" s="619">
        <v>0</v>
      </c>
      <c r="L17" s="598"/>
      <c r="M17" s="615"/>
      <c r="N17" s="620">
        <f t="shared" si="13"/>
        <v>0</v>
      </c>
      <c r="O17" s="615">
        <v>0</v>
      </c>
      <c r="P17" s="616">
        <v>0</v>
      </c>
      <c r="Q17" s="616">
        <v>0</v>
      </c>
      <c r="R17" s="615">
        <f t="shared" si="9"/>
        <v>0</v>
      </c>
      <c r="S17" s="616">
        <f t="shared" si="10"/>
        <v>0</v>
      </c>
      <c r="T17" s="616">
        <f t="shared" si="11"/>
        <v>0</v>
      </c>
      <c r="U17" s="620">
        <f t="shared" si="7"/>
        <v>0</v>
      </c>
      <c r="V17" s="220"/>
      <c r="W17" s="615">
        <f t="shared" si="12"/>
        <v>0</v>
      </c>
      <c r="X17" s="616">
        <v>0</v>
      </c>
      <c r="Y17" s="615">
        <f t="shared" si="8"/>
        <v>0</v>
      </c>
      <c r="Z17" s="621">
        <f t="shared" si="3"/>
        <v>0</v>
      </c>
      <c r="AB17" s="196"/>
      <c r="AC17" s="204"/>
      <c r="AD17" s="204"/>
    </row>
    <row r="18" spans="1:30" x14ac:dyDescent="0.2">
      <c r="A18" s="622" t="s">
        <v>546</v>
      </c>
      <c r="B18" s="614"/>
      <c r="C18" s="615">
        <v>16.259273279999999</v>
      </c>
      <c r="D18" s="615">
        <v>30.7</v>
      </c>
      <c r="E18" s="616">
        <v>73.599999999999994</v>
      </c>
      <c r="F18" s="616">
        <v>75.8</v>
      </c>
      <c r="G18" s="617">
        <v>78.099999999999994</v>
      </c>
      <c r="H18" s="618">
        <v>34.332999999999998</v>
      </c>
      <c r="I18" s="618">
        <v>73.599999999999994</v>
      </c>
      <c r="J18" s="618">
        <v>75.8</v>
      </c>
      <c r="K18" s="619">
        <v>78.099999999999994</v>
      </c>
      <c r="L18" s="598"/>
      <c r="M18" s="615"/>
      <c r="N18" s="620">
        <f t="shared" si="13"/>
        <v>34.332999999999998</v>
      </c>
      <c r="O18" s="615">
        <v>20.000000000000004</v>
      </c>
      <c r="P18" s="616">
        <v>20</v>
      </c>
      <c r="Q18" s="616">
        <v>20.000000000000004</v>
      </c>
      <c r="R18" s="615">
        <f t="shared" si="9"/>
        <v>53.599999999999994</v>
      </c>
      <c r="S18" s="616">
        <f t="shared" si="10"/>
        <v>55.8</v>
      </c>
      <c r="T18" s="616">
        <f t="shared" si="11"/>
        <v>58.099999999999994</v>
      </c>
      <c r="U18" s="620">
        <f t="shared" si="7"/>
        <v>-14.332999999999995</v>
      </c>
      <c r="V18" s="220"/>
      <c r="W18" s="615">
        <f t="shared" si="12"/>
        <v>20.000000000000004</v>
      </c>
      <c r="X18" s="616">
        <v>73.599999999999994</v>
      </c>
      <c r="Y18" s="615">
        <f t="shared" si="8"/>
        <v>53.599999999999994</v>
      </c>
      <c r="Z18" s="621">
        <f t="shared" si="3"/>
        <v>5.5320238124726494E-2</v>
      </c>
      <c r="AB18" s="196"/>
      <c r="AC18" s="204"/>
      <c r="AD18" s="204"/>
    </row>
    <row r="19" spans="1:30" x14ac:dyDescent="0.2">
      <c r="A19" s="622" t="s">
        <v>495</v>
      </c>
      <c r="B19" s="614"/>
      <c r="C19" s="809">
        <v>23.316983</v>
      </c>
      <c r="D19" s="615">
        <v>26.632999999999999</v>
      </c>
      <c r="E19" s="616">
        <v>27.837</v>
      </c>
      <c r="F19" s="616">
        <v>28.914000000000001</v>
      </c>
      <c r="G19" s="617">
        <v>29.864999999999998</v>
      </c>
      <c r="H19" s="618">
        <v>23</v>
      </c>
      <c r="I19" s="618">
        <v>27.837</v>
      </c>
      <c r="J19" s="618">
        <v>28.914000000000001</v>
      </c>
      <c r="K19" s="619">
        <v>29.864999999999998</v>
      </c>
      <c r="L19" s="598"/>
      <c r="M19" s="615"/>
      <c r="N19" s="620">
        <f t="shared" si="13"/>
        <v>23</v>
      </c>
      <c r="O19" s="615">
        <v>27.837</v>
      </c>
      <c r="P19" s="616">
        <v>28.914000000000001</v>
      </c>
      <c r="Q19" s="616">
        <v>29.864999999999998</v>
      </c>
      <c r="R19" s="615">
        <f t="shared" si="9"/>
        <v>0</v>
      </c>
      <c r="S19" s="616">
        <f t="shared" si="10"/>
        <v>0</v>
      </c>
      <c r="T19" s="616">
        <f t="shared" si="11"/>
        <v>0</v>
      </c>
      <c r="U19" s="620">
        <f t="shared" si="7"/>
        <v>4.8369999999999997</v>
      </c>
      <c r="V19" s="220"/>
      <c r="W19" s="615">
        <f t="shared" si="12"/>
        <v>27.837</v>
      </c>
      <c r="X19" s="616">
        <v>27.837</v>
      </c>
      <c r="Y19" s="615">
        <f t="shared" si="8"/>
        <v>0</v>
      </c>
      <c r="Z19" s="621">
        <f t="shared" si="3"/>
        <v>0</v>
      </c>
      <c r="AB19" s="196"/>
      <c r="AC19" s="204"/>
      <c r="AD19" s="204"/>
    </row>
    <row r="20" spans="1:30" x14ac:dyDescent="0.2">
      <c r="A20" s="622" t="s">
        <v>547</v>
      </c>
      <c r="B20" s="614"/>
      <c r="C20" s="615">
        <v>183.0284381816</v>
      </c>
      <c r="D20" s="629">
        <v>175.97321195000001</v>
      </c>
      <c r="E20" s="616">
        <f>362.0926*0.67</f>
        <v>242.60204200000001</v>
      </c>
      <c r="F20" s="616">
        <f>318.72594*0.67</f>
        <v>213.54637980000001</v>
      </c>
      <c r="G20" s="617">
        <f>302.299777*0.67</f>
        <v>202.54085059000002</v>
      </c>
      <c r="H20" s="618">
        <v>156.95021194999998</v>
      </c>
      <c r="I20" s="618">
        <v>209.69834200000003</v>
      </c>
      <c r="J20" s="618">
        <v>210.5246798</v>
      </c>
      <c r="K20" s="619">
        <v>210.23915059000001</v>
      </c>
      <c r="L20" s="598"/>
      <c r="M20" s="615"/>
      <c r="N20" s="620">
        <f t="shared" si="13"/>
        <v>156.95021194999998</v>
      </c>
      <c r="O20" s="615">
        <f>C20</f>
        <v>183.0284381816</v>
      </c>
      <c r="P20" s="616">
        <f t="shared" ref="P20:Q20" si="14">O20</f>
        <v>183.0284381816</v>
      </c>
      <c r="Q20" s="616">
        <f t="shared" si="14"/>
        <v>183.0284381816</v>
      </c>
      <c r="R20" s="615">
        <f t="shared" si="9"/>
        <v>26.66990381840003</v>
      </c>
      <c r="S20" s="616">
        <f t="shared" si="10"/>
        <v>27.496241618400006</v>
      </c>
      <c r="T20" s="616">
        <f t="shared" si="11"/>
        <v>27.210712408400013</v>
      </c>
      <c r="U20" s="620">
        <f t="shared" si="7"/>
        <v>26.078226231600013</v>
      </c>
      <c r="V20" s="220"/>
      <c r="W20" s="615">
        <f t="shared" si="12"/>
        <v>183.0284381816</v>
      </c>
      <c r="X20" s="616">
        <v>209.69834200000003</v>
      </c>
      <c r="Y20" s="615">
        <f t="shared" si="8"/>
        <v>26.66990381840003</v>
      </c>
      <c r="Z20" s="621">
        <f t="shared" si="3"/>
        <v>2.7525847574579147E-2</v>
      </c>
      <c r="AB20" s="196"/>
      <c r="AC20" s="204"/>
      <c r="AD20" s="204"/>
    </row>
    <row r="21" spans="1:30" x14ac:dyDescent="0.2">
      <c r="A21" s="622" t="s">
        <v>548</v>
      </c>
      <c r="B21" s="614"/>
      <c r="C21" s="615">
        <v>0</v>
      </c>
      <c r="D21" s="615">
        <v>0</v>
      </c>
      <c r="E21" s="616">
        <v>90</v>
      </c>
      <c r="F21" s="616">
        <v>180</v>
      </c>
      <c r="G21" s="617">
        <v>190</v>
      </c>
      <c r="H21" s="618">
        <v>0</v>
      </c>
      <c r="I21" s="618">
        <v>0</v>
      </c>
      <c r="J21" s="618">
        <v>0</v>
      </c>
      <c r="K21" s="619">
        <v>0</v>
      </c>
      <c r="L21" s="598"/>
      <c r="M21" s="615"/>
      <c r="N21" s="620">
        <f t="shared" si="13"/>
        <v>0</v>
      </c>
      <c r="O21" s="615">
        <v>0</v>
      </c>
      <c r="P21" s="616">
        <v>0</v>
      </c>
      <c r="Q21" s="616">
        <v>0</v>
      </c>
      <c r="R21" s="615">
        <f t="shared" si="9"/>
        <v>0</v>
      </c>
      <c r="S21" s="616">
        <f t="shared" si="10"/>
        <v>0</v>
      </c>
      <c r="T21" s="616">
        <f t="shared" si="11"/>
        <v>0</v>
      </c>
      <c r="U21" s="620">
        <f t="shared" si="7"/>
        <v>0</v>
      </c>
      <c r="V21" s="220"/>
      <c r="W21" s="615">
        <f t="shared" si="12"/>
        <v>0</v>
      </c>
      <c r="X21" s="616">
        <v>90</v>
      </c>
      <c r="Y21" s="615">
        <f t="shared" si="8"/>
        <v>90</v>
      </c>
      <c r="Z21" s="621">
        <f t="shared" si="3"/>
        <v>9.288845953778703E-2</v>
      </c>
      <c r="AB21" s="196"/>
      <c r="AC21" s="204"/>
      <c r="AD21" s="204"/>
    </row>
    <row r="22" spans="1:30" x14ac:dyDescent="0.2">
      <c r="A22" s="622" t="s">
        <v>549</v>
      </c>
      <c r="B22" s="614"/>
      <c r="C22" s="615">
        <v>0</v>
      </c>
      <c r="D22" s="615">
        <v>0</v>
      </c>
      <c r="E22" s="616">
        <v>3.4187370000000001</v>
      </c>
      <c r="F22" s="616">
        <v>5.8606939999999996</v>
      </c>
      <c r="G22" s="617">
        <v>5.8606939999999996</v>
      </c>
      <c r="H22" s="618">
        <v>0</v>
      </c>
      <c r="I22" s="618">
        <v>3.4187370000000001</v>
      </c>
      <c r="J22" s="618">
        <v>5.8606939999999996</v>
      </c>
      <c r="K22" s="619">
        <v>5.8606939999999996</v>
      </c>
      <c r="L22" s="598"/>
      <c r="M22" s="615"/>
      <c r="N22" s="620">
        <f t="shared" si="13"/>
        <v>0</v>
      </c>
      <c r="O22" s="615">
        <v>0</v>
      </c>
      <c r="P22" s="616">
        <v>0</v>
      </c>
      <c r="Q22" s="616">
        <v>0</v>
      </c>
      <c r="R22" s="615">
        <f t="shared" si="9"/>
        <v>3.4187370000000001</v>
      </c>
      <c r="S22" s="616">
        <f t="shared" si="10"/>
        <v>5.8606939999999996</v>
      </c>
      <c r="T22" s="616">
        <f t="shared" si="11"/>
        <v>5.8606939999999996</v>
      </c>
      <c r="U22" s="620">
        <f t="shared" si="7"/>
        <v>0</v>
      </c>
      <c r="V22" s="220"/>
      <c r="W22" s="615">
        <f t="shared" si="12"/>
        <v>0</v>
      </c>
      <c r="X22" s="616">
        <v>3.4187370000000001</v>
      </c>
      <c r="Y22" s="615">
        <f t="shared" si="8"/>
        <v>3.4187370000000001</v>
      </c>
      <c r="Z22" s="621">
        <f t="shared" si="3"/>
        <v>3.528457927720394E-3</v>
      </c>
      <c r="AB22" s="196"/>
      <c r="AC22" s="204"/>
      <c r="AD22" s="204"/>
    </row>
    <row r="23" spans="1:30" x14ac:dyDescent="0.2">
      <c r="A23" s="137" t="s">
        <v>497</v>
      </c>
      <c r="B23" s="614"/>
      <c r="C23" s="615">
        <v>7.8989618274990789</v>
      </c>
      <c r="D23" s="615">
        <f t="shared" ref="D23:F23" si="15">D5-SUM(D6:D22)</f>
        <v>56.015348049997556</v>
      </c>
      <c r="E23" s="616">
        <f t="shared" si="15"/>
        <v>48.598599439999816</v>
      </c>
      <c r="F23" s="616">
        <f t="shared" si="15"/>
        <v>48.603366369994546</v>
      </c>
      <c r="G23" s="617">
        <f>G5-SUM(G6:G22)</f>
        <v>46.350275119995786</v>
      </c>
      <c r="H23" s="618">
        <v>56.015348049997556</v>
      </c>
      <c r="I23" s="618">
        <v>48.598599439999816</v>
      </c>
      <c r="J23" s="618">
        <v>48.603366369994546</v>
      </c>
      <c r="K23" s="619">
        <v>46.350275119995786</v>
      </c>
      <c r="L23" s="598"/>
      <c r="M23" s="615"/>
      <c r="N23" s="620">
        <f t="shared" si="13"/>
        <v>56.015348049997556</v>
      </c>
      <c r="O23" s="615">
        <f>N23</f>
        <v>56.015348049997556</v>
      </c>
      <c r="P23" s="616">
        <f t="shared" ref="P23:Q23" si="16">O23</f>
        <v>56.015348049997556</v>
      </c>
      <c r="Q23" s="616">
        <f t="shared" si="16"/>
        <v>56.015348049997556</v>
      </c>
      <c r="R23" s="615">
        <f t="shared" si="9"/>
        <v>-7.4167486099977395</v>
      </c>
      <c r="S23" s="616">
        <f t="shared" si="10"/>
        <v>-7.4119816800030094</v>
      </c>
      <c r="T23" s="616">
        <f t="shared" si="11"/>
        <v>-9.6650729300017701</v>
      </c>
      <c r="U23" s="620">
        <f t="shared" si="7"/>
        <v>0</v>
      </c>
      <c r="V23" s="220"/>
      <c r="W23" s="615">
        <f t="shared" si="12"/>
        <v>56.015348049997556</v>
      </c>
      <c r="X23" s="616">
        <v>48.598599439999816</v>
      </c>
      <c r="Y23" s="615">
        <f t="shared" si="8"/>
        <v>-7.4167486099977395</v>
      </c>
      <c r="Z23" s="621">
        <f t="shared" si="3"/>
        <v>-7.6547817017968145E-3</v>
      </c>
      <c r="AB23" s="196"/>
      <c r="AC23" s="204"/>
      <c r="AD23" s="204"/>
    </row>
    <row r="24" spans="1:30" s="197" customFormat="1" x14ac:dyDescent="0.2">
      <c r="A24" s="602" t="s">
        <v>400</v>
      </c>
      <c r="B24" s="603" t="s">
        <v>550</v>
      </c>
      <c r="C24" s="605">
        <v>6238.5</v>
      </c>
      <c r="D24" s="630">
        <f>6595.4</f>
        <v>6595.4</v>
      </c>
      <c r="E24" s="607">
        <v>7116.22</v>
      </c>
      <c r="F24" s="607">
        <v>7525.7629999999999</v>
      </c>
      <c r="G24" s="608">
        <v>7912.2969999999996</v>
      </c>
      <c r="H24" s="609">
        <f>SUM(H25:H33)</f>
        <v>6644.2701907871815</v>
      </c>
      <c r="I24" s="610">
        <f t="shared" ref="I24:K24" si="17">SUM(I25:I33)</f>
        <v>7074.050933836299</v>
      </c>
      <c r="J24" s="610">
        <f t="shared" si="17"/>
        <v>7575.1260472730128</v>
      </c>
      <c r="K24" s="611">
        <f t="shared" si="17"/>
        <v>8026.4403293285995</v>
      </c>
      <c r="L24" s="598"/>
      <c r="M24" s="606">
        <f>SUM(M25:M33)</f>
        <v>0</v>
      </c>
      <c r="N24" s="604">
        <f t="shared" si="13"/>
        <v>6644.2701907871815</v>
      </c>
      <c r="O24" s="606">
        <f>SUM(O25:O33)</f>
        <v>7035.5090083755422</v>
      </c>
      <c r="P24" s="607">
        <f t="shared" ref="P24:T24" si="18">SUM(P25:P33)</f>
        <v>7507.0572084944806</v>
      </c>
      <c r="Q24" s="607">
        <f t="shared" si="18"/>
        <v>7972.4723267614381</v>
      </c>
      <c r="R24" s="606">
        <f t="shared" si="18"/>
        <v>38.541925460757611</v>
      </c>
      <c r="S24" s="607">
        <f t="shared" si="18"/>
        <v>68.068838778532211</v>
      </c>
      <c r="T24" s="607">
        <f t="shared" si="18"/>
        <v>53.968002567162216</v>
      </c>
      <c r="U24" s="612">
        <f t="shared" si="7"/>
        <v>391.23881758836069</v>
      </c>
      <c r="V24" s="220"/>
      <c r="W24" s="606">
        <f>SUM(W25:W33)</f>
        <v>7035.5090083755422</v>
      </c>
      <c r="X24" s="607">
        <v>7100.0137000000004</v>
      </c>
      <c r="Y24" s="606">
        <f t="shared" si="8"/>
        <v>64.504691624458246</v>
      </c>
      <c r="Z24" s="613">
        <f t="shared" si="3"/>
        <v>6.6574904866176884E-2</v>
      </c>
      <c r="AA24" s="206"/>
      <c r="AB24" s="196"/>
      <c r="AC24" s="206"/>
      <c r="AD24" s="206"/>
    </row>
    <row r="25" spans="1:30" x14ac:dyDescent="0.2">
      <c r="A25" s="137" t="s">
        <v>500</v>
      </c>
      <c r="B25" s="614"/>
      <c r="C25" s="615">
        <v>2855.9097583900002</v>
      </c>
      <c r="D25" s="631">
        <v>3189.6329999999998</v>
      </c>
      <c r="E25" s="616">
        <v>3426.902</v>
      </c>
      <c r="F25" s="616">
        <v>3704.1120000000001</v>
      </c>
      <c r="G25" s="617">
        <v>3958.0650000000001</v>
      </c>
      <c r="H25" s="627">
        <v>3209.9608537066929</v>
      </c>
      <c r="I25" s="618">
        <v>3470.7646337075316</v>
      </c>
      <c r="J25" s="627">
        <v>3781.7045445147414</v>
      </c>
      <c r="K25" s="628">
        <v>4063.0894175772219</v>
      </c>
      <c r="L25" s="632"/>
      <c r="M25" s="631"/>
      <c r="N25" s="620">
        <f t="shared" si="13"/>
        <v>3209.9608537066929</v>
      </c>
      <c r="O25" s="615">
        <v>3465.9573957711414</v>
      </c>
      <c r="P25" s="616">
        <v>3753.5599403462993</v>
      </c>
      <c r="Q25" s="616">
        <v>4034.7160950579996</v>
      </c>
      <c r="R25" s="615">
        <f t="shared" ref="R25:R33" si="19">I25-O25</f>
        <v>4.8072379363902655</v>
      </c>
      <c r="S25" s="616">
        <f t="shared" ref="S25:S33" si="20">J25-P25</f>
        <v>28.144604168442129</v>
      </c>
      <c r="T25" s="616">
        <f t="shared" ref="T25:T33" si="21">K25-Q25</f>
        <v>28.373322519222256</v>
      </c>
      <c r="U25" s="620">
        <f t="shared" si="7"/>
        <v>255.99654206444848</v>
      </c>
      <c r="V25" s="220"/>
      <c r="W25" s="615">
        <f t="shared" ref="W25:W34" si="22">O25</f>
        <v>3465.9573957711414</v>
      </c>
      <c r="X25" s="616">
        <v>3426.902</v>
      </c>
      <c r="Y25" s="615">
        <f t="shared" si="8"/>
        <v>-39.05539577114132</v>
      </c>
      <c r="Z25" s="621">
        <f t="shared" si="3"/>
        <v>-4.0308839442443546E-2</v>
      </c>
      <c r="AB25" s="196"/>
      <c r="AC25" s="204"/>
      <c r="AD25" s="204"/>
    </row>
    <row r="26" spans="1:30" x14ac:dyDescent="0.2">
      <c r="A26" s="137" t="s">
        <v>502</v>
      </c>
      <c r="B26" s="614"/>
      <c r="C26" s="615">
        <v>2775.5519999999997</v>
      </c>
      <c r="D26" s="631">
        <v>2741.0909999999999</v>
      </c>
      <c r="E26" s="618">
        <f>2900.148-31.501</f>
        <v>2868.6469999999999</v>
      </c>
      <c r="F26" s="618">
        <f>3026.871-31.501</f>
        <v>2995.37</v>
      </c>
      <c r="G26" s="619">
        <f>3202.933-31.501</f>
        <v>3171.4319999999998</v>
      </c>
      <c r="H26" s="618">
        <v>2773.8784961796</v>
      </c>
      <c r="I26" s="618">
        <v>2955.9093010908496</v>
      </c>
      <c r="J26" s="627">
        <v>3129.6697995683512</v>
      </c>
      <c r="K26" s="628">
        <v>3331.4591593925229</v>
      </c>
      <c r="L26" s="632"/>
      <c r="M26" s="615"/>
      <c r="N26" s="620">
        <f t="shared" si="13"/>
        <v>2773.8784961796</v>
      </c>
      <c r="O26" s="615">
        <v>2946.1927018678321</v>
      </c>
      <c r="P26" s="616">
        <v>3114.4242744387193</v>
      </c>
      <c r="Q26" s="616">
        <v>3330.5679733366283</v>
      </c>
      <c r="R26" s="615">
        <f t="shared" si="19"/>
        <v>9.7165992230175107</v>
      </c>
      <c r="S26" s="616">
        <f t="shared" si="20"/>
        <v>15.245525129631915</v>
      </c>
      <c r="T26" s="616">
        <f t="shared" si="21"/>
        <v>0.89118605589465005</v>
      </c>
      <c r="U26" s="620">
        <f t="shared" si="7"/>
        <v>172.31420568823205</v>
      </c>
      <c r="V26" s="220"/>
      <c r="W26" s="615">
        <f t="shared" si="22"/>
        <v>2946.1927018678321</v>
      </c>
      <c r="X26" s="616">
        <v>2868.6469999999999</v>
      </c>
      <c r="Y26" s="615">
        <f t="shared" si="8"/>
        <v>-77.545701867832122</v>
      </c>
      <c r="Z26" s="621">
        <f t="shared" si="3"/>
        <v>-8.0034453225326901E-2</v>
      </c>
      <c r="AB26" s="196"/>
      <c r="AC26" s="204"/>
      <c r="AD26" s="204"/>
    </row>
    <row r="27" spans="1:30" s="204" customFormat="1" x14ac:dyDescent="0.2">
      <c r="A27" s="622" t="s">
        <v>504</v>
      </c>
      <c r="B27" s="623"/>
      <c r="C27" s="615">
        <v>178.43143959</v>
      </c>
      <c r="D27" s="631">
        <v>229.74799999999999</v>
      </c>
      <c r="E27" s="616">
        <v>235.63900000000001</v>
      </c>
      <c r="F27" s="616">
        <v>249.21600000000001</v>
      </c>
      <c r="G27" s="617">
        <v>249.166</v>
      </c>
      <c r="H27" s="618">
        <v>219.77089031071677</v>
      </c>
      <c r="I27" s="618">
        <v>219.1175989516527</v>
      </c>
      <c r="J27" s="627">
        <v>224.18330222930348</v>
      </c>
      <c r="K27" s="628">
        <v>231.98782348109111</v>
      </c>
      <c r="L27" s="632"/>
      <c r="M27" s="631"/>
      <c r="N27" s="620">
        <f t="shared" si="13"/>
        <v>219.77089031071677</v>
      </c>
      <c r="O27" s="615">
        <v>219.1511887003027</v>
      </c>
      <c r="P27" s="616">
        <v>223.9933765088272</v>
      </c>
      <c r="Q27" s="616">
        <v>231.85183496176978</v>
      </c>
      <c r="R27" s="615">
        <f t="shared" si="19"/>
        <v>-3.3589748650001638E-2</v>
      </c>
      <c r="S27" s="616">
        <f t="shared" si="20"/>
        <v>0.18992572047628187</v>
      </c>
      <c r="T27" s="616">
        <f t="shared" si="21"/>
        <v>0.13598851932133016</v>
      </c>
      <c r="U27" s="620">
        <f t="shared" si="7"/>
        <v>-0.61970161041406868</v>
      </c>
      <c r="V27" s="220"/>
      <c r="W27" s="615">
        <f t="shared" si="22"/>
        <v>219.1511887003027</v>
      </c>
      <c r="X27" s="616">
        <v>235.63900000000001</v>
      </c>
      <c r="Y27" s="615">
        <f t="shared" si="8"/>
        <v>16.487811299697313</v>
      </c>
      <c r="Z27" s="621">
        <f t="shared" si="3"/>
        <v>1.7016971030873351E-2</v>
      </c>
      <c r="AB27" s="196"/>
    </row>
    <row r="28" spans="1:30" s="204" customFormat="1" x14ac:dyDescent="0.2">
      <c r="A28" s="622" t="s">
        <v>506</v>
      </c>
      <c r="B28" s="623"/>
      <c r="C28" s="615">
        <v>114.80661070230001</v>
      </c>
      <c r="D28" s="615">
        <f>352.047*33/100</f>
        <v>116.17551000000002</v>
      </c>
      <c r="E28" s="616">
        <f>358.985*33/100</f>
        <v>118.46505000000001</v>
      </c>
      <c r="F28" s="616">
        <f>366.427*33/100</f>
        <v>120.92091000000001</v>
      </c>
      <c r="G28" s="617">
        <f>374.018*33/100</f>
        <v>123.42594</v>
      </c>
      <c r="H28" s="618">
        <v>116.16495364356135</v>
      </c>
      <c r="I28" s="618">
        <v>118.45428560315493</v>
      </c>
      <c r="J28" s="627">
        <v>120.90992244998337</v>
      </c>
      <c r="K28" s="628">
        <v>123.41472482895038</v>
      </c>
      <c r="L28" s="632"/>
      <c r="M28" s="631"/>
      <c r="N28" s="620">
        <f t="shared" si="13"/>
        <v>116.16495364356135</v>
      </c>
      <c r="O28" s="615">
        <f>358.952380615621*33/100</f>
        <v>118.45428560315493</v>
      </c>
      <c r="P28" s="616">
        <f>366.587747696973*33/100</f>
        <v>120.97395674000109</v>
      </c>
      <c r="Q28" s="616">
        <f>373.80002244311*33/100</f>
        <v>123.3540074062263</v>
      </c>
      <c r="R28" s="615">
        <f t="shared" si="19"/>
        <v>0</v>
      </c>
      <c r="S28" s="616">
        <f t="shared" si="20"/>
        <v>-6.4034290017715989E-2</v>
      </c>
      <c r="T28" s="616">
        <f t="shared" si="21"/>
        <v>6.0717422724081871E-2</v>
      </c>
      <c r="U28" s="620">
        <f t="shared" si="7"/>
        <v>2.2893319595935822</v>
      </c>
      <c r="V28" s="220"/>
      <c r="W28" s="615">
        <f t="shared" si="22"/>
        <v>118.45428560315493</v>
      </c>
      <c r="X28" s="616">
        <v>118.46505000000001</v>
      </c>
      <c r="Y28" s="615">
        <f t="shared" si="8"/>
        <v>1.0764396845075908E-2</v>
      </c>
      <c r="Z28" s="621">
        <f t="shared" si="3"/>
        <v>1.1109869342139066E-5</v>
      </c>
      <c r="AB28" s="196"/>
    </row>
    <row r="29" spans="1:30" s="204" customFormat="1" x14ac:dyDescent="0.2">
      <c r="A29" s="622" t="s">
        <v>508</v>
      </c>
      <c r="B29" s="623"/>
      <c r="C29" s="620">
        <v>68.834872941</v>
      </c>
      <c r="D29" s="616">
        <f>82.453*85/100</f>
        <v>70.085049999999995</v>
      </c>
      <c r="E29" s="616">
        <f>82.453*85/100</f>
        <v>70.085049999999995</v>
      </c>
      <c r="F29" s="616">
        <f>82.453*85/100</f>
        <v>70.085049999999995</v>
      </c>
      <c r="G29" s="617">
        <f>82.453*85/100</f>
        <v>70.085049999999995</v>
      </c>
      <c r="H29" s="618">
        <v>70.437691800232599</v>
      </c>
      <c r="I29" s="618">
        <v>70.437691800232599</v>
      </c>
      <c r="J29" s="627">
        <v>70.437691800232599</v>
      </c>
      <c r="K29" s="628">
        <v>70.437691800232599</v>
      </c>
      <c r="L29" s="632"/>
      <c r="M29" s="631"/>
      <c r="N29" s="620">
        <f t="shared" si="13"/>
        <v>70.437691800232599</v>
      </c>
      <c r="O29" s="615">
        <f>82.867872706156*85/100</f>
        <v>70.437691800232599</v>
      </c>
      <c r="P29" s="616">
        <f>82.867872706156*85/100</f>
        <v>70.437691800232599</v>
      </c>
      <c r="Q29" s="616">
        <f>82.867872706156*85/100</f>
        <v>70.437691800232599</v>
      </c>
      <c r="R29" s="615">
        <f t="shared" si="19"/>
        <v>0</v>
      </c>
      <c r="S29" s="616">
        <f t="shared" si="20"/>
        <v>0</v>
      </c>
      <c r="T29" s="616">
        <f t="shared" si="21"/>
        <v>0</v>
      </c>
      <c r="U29" s="620">
        <f t="shared" si="7"/>
        <v>0</v>
      </c>
      <c r="V29" s="220"/>
      <c r="W29" s="615">
        <f t="shared" si="22"/>
        <v>70.437691800232599</v>
      </c>
      <c r="X29" s="616">
        <v>70.085049999999995</v>
      </c>
      <c r="Y29" s="615">
        <f t="shared" si="8"/>
        <v>-0.35264180023260394</v>
      </c>
      <c r="Z29" s="621">
        <f t="shared" si="3"/>
        <v>-3.6395948435820677E-4</v>
      </c>
      <c r="AB29" s="196"/>
    </row>
    <row r="30" spans="1:30" s="204" customFormat="1" x14ac:dyDescent="0.2">
      <c r="A30" s="622" t="s">
        <v>551</v>
      </c>
      <c r="B30" s="623"/>
      <c r="C30" s="615">
        <v>165.29400000000001</v>
      </c>
      <c r="D30" s="631">
        <v>161.72800000000001</v>
      </c>
      <c r="E30" s="633">
        <v>125.452</v>
      </c>
      <c r="F30" s="633">
        <v>129.24600000000001</v>
      </c>
      <c r="G30" s="634">
        <v>88.635999999999996</v>
      </c>
      <c r="H30" s="618">
        <v>172.16186514637664</v>
      </c>
      <c r="I30" s="618">
        <v>134.5488226828783</v>
      </c>
      <c r="J30" s="627">
        <v>142.90104671040072</v>
      </c>
      <c r="K30" s="628">
        <v>100.77780224858073</v>
      </c>
      <c r="L30" s="632"/>
      <c r="M30" s="631"/>
      <c r="N30" s="620">
        <f t="shared" si="13"/>
        <v>172.16186514637664</v>
      </c>
      <c r="O30" s="615">
        <v>134.5488226828783</v>
      </c>
      <c r="P30" s="616">
        <v>142.90104671040072</v>
      </c>
      <c r="Q30" s="616">
        <v>100.77780224858073</v>
      </c>
      <c r="R30" s="615">
        <f t="shared" si="19"/>
        <v>0</v>
      </c>
      <c r="S30" s="616">
        <f t="shared" si="20"/>
        <v>0</v>
      </c>
      <c r="T30" s="616">
        <f t="shared" si="21"/>
        <v>0</v>
      </c>
      <c r="U30" s="620">
        <f t="shared" si="7"/>
        <v>-37.613042463498346</v>
      </c>
      <c r="V30" s="220"/>
      <c r="W30" s="615">
        <f t="shared" si="22"/>
        <v>134.5488226828783</v>
      </c>
      <c r="X30" s="616">
        <v>125.452</v>
      </c>
      <c r="Y30" s="615">
        <f t="shared" si="8"/>
        <v>-9.0968226828782974</v>
      </c>
      <c r="Z30" s="621">
        <f t="shared" si="3"/>
        <v>-9.388776063344045E-3</v>
      </c>
      <c r="AB30" s="196"/>
    </row>
    <row r="31" spans="1:30" s="204" customFormat="1" x14ac:dyDescent="0.2">
      <c r="A31" s="622" t="s">
        <v>552</v>
      </c>
      <c r="B31" s="623"/>
      <c r="C31" s="615">
        <v>0</v>
      </c>
      <c r="D31" s="631">
        <v>0</v>
      </c>
      <c r="E31" s="633">
        <v>150.005</v>
      </c>
      <c r="F31" s="633">
        <v>150.005</v>
      </c>
      <c r="G31" s="634">
        <v>150.005</v>
      </c>
      <c r="H31" s="618">
        <v>0</v>
      </c>
      <c r="I31" s="618">
        <v>0</v>
      </c>
      <c r="J31" s="618">
        <v>0</v>
      </c>
      <c r="K31" s="619">
        <v>0</v>
      </c>
      <c r="L31" s="632"/>
      <c r="M31" s="631"/>
      <c r="N31" s="620">
        <f t="shared" si="13"/>
        <v>0</v>
      </c>
      <c r="O31" s="615">
        <v>0</v>
      </c>
      <c r="P31" s="616">
        <v>0</v>
      </c>
      <c r="Q31" s="616">
        <v>0</v>
      </c>
      <c r="R31" s="615">
        <f t="shared" si="19"/>
        <v>0</v>
      </c>
      <c r="S31" s="616">
        <f t="shared" si="20"/>
        <v>0</v>
      </c>
      <c r="T31" s="616">
        <f t="shared" si="21"/>
        <v>0</v>
      </c>
      <c r="U31" s="620">
        <f t="shared" si="7"/>
        <v>0</v>
      </c>
      <c r="V31" s="220"/>
      <c r="W31" s="615">
        <f t="shared" si="22"/>
        <v>0</v>
      </c>
      <c r="X31" s="616">
        <v>150.005</v>
      </c>
      <c r="Y31" s="615">
        <f t="shared" si="8"/>
        <v>150.005</v>
      </c>
      <c r="Z31" s="621">
        <f t="shared" si="3"/>
        <v>0.15481925969961938</v>
      </c>
      <c r="AB31" s="196"/>
    </row>
    <row r="32" spans="1:30" s="204" customFormat="1" x14ac:dyDescent="0.2">
      <c r="A32" s="622" t="s">
        <v>553</v>
      </c>
      <c r="B32" s="623"/>
      <c r="C32" s="615">
        <v>80.500855000000001</v>
      </c>
      <c r="D32" s="629">
        <f>D20/0.67*0.33</f>
        <v>86.673373050000009</v>
      </c>
      <c r="E32" s="633">
        <f>362.0926*0.33</f>
        <v>119.49055800000001</v>
      </c>
      <c r="F32" s="616">
        <f>318.72594*0.33</f>
        <v>105.1795602</v>
      </c>
      <c r="G32" s="617">
        <f>302.299777*0.33</f>
        <v>99.758926410000001</v>
      </c>
      <c r="H32" s="618">
        <v>81.629373050000012</v>
      </c>
      <c r="I32" s="618">
        <v>103.28425800000001</v>
      </c>
      <c r="J32" s="618">
        <v>103.6912602</v>
      </c>
      <c r="K32" s="619">
        <v>103.55062641000001</v>
      </c>
      <c r="L32" s="598"/>
      <c r="M32" s="631"/>
      <c r="N32" s="620">
        <f t="shared" si="13"/>
        <v>81.629373050000012</v>
      </c>
      <c r="O32" s="615">
        <f>C32</f>
        <v>80.500855000000001</v>
      </c>
      <c r="P32" s="616">
        <f t="shared" ref="P32:Q33" si="23">O32</f>
        <v>80.500855000000001</v>
      </c>
      <c r="Q32" s="616">
        <f t="shared" si="23"/>
        <v>80.500855000000001</v>
      </c>
      <c r="R32" s="615">
        <f t="shared" si="19"/>
        <v>22.783403000000007</v>
      </c>
      <c r="S32" s="616">
        <f t="shared" si="20"/>
        <v>23.190405200000001</v>
      </c>
      <c r="T32" s="616">
        <f t="shared" si="21"/>
        <v>23.049771410000005</v>
      </c>
      <c r="U32" s="620">
        <f t="shared" si="7"/>
        <v>-1.1285180500000109</v>
      </c>
      <c r="V32" s="220"/>
      <c r="W32" s="615">
        <f t="shared" si="22"/>
        <v>80.500855000000001</v>
      </c>
      <c r="X32" s="616">
        <v>103.28425800000001</v>
      </c>
      <c r="Y32" s="615">
        <f t="shared" si="8"/>
        <v>22.783403000000007</v>
      </c>
      <c r="Z32" s="621">
        <f t="shared" si="3"/>
        <v>2.3514613418873294E-2</v>
      </c>
      <c r="AB32" s="196"/>
    </row>
    <row r="33" spans="1:35" s="204" customFormat="1" x14ac:dyDescent="0.2">
      <c r="A33" s="622" t="s">
        <v>497</v>
      </c>
      <c r="B33" s="623"/>
      <c r="C33" s="635">
        <v>-0.82953662329964573</v>
      </c>
      <c r="D33" s="631">
        <f t="shared" ref="D33:G33" si="24">D24-SUM(D25:D32)</f>
        <v>0.26606695000009495</v>
      </c>
      <c r="E33" s="633">
        <f t="shared" si="24"/>
        <v>1.5343419999999242</v>
      </c>
      <c r="F33" s="633">
        <f t="shared" si="24"/>
        <v>1.6284797999996954</v>
      </c>
      <c r="G33" s="634">
        <f t="shared" si="24"/>
        <v>1.7230835899999875</v>
      </c>
      <c r="H33" s="618">
        <v>0.26606695000009495</v>
      </c>
      <c r="I33" s="618">
        <v>1.5343419999999242</v>
      </c>
      <c r="J33" s="618">
        <v>1.6284797999996954</v>
      </c>
      <c r="K33" s="619">
        <v>1.7230835899999875</v>
      </c>
      <c r="L33" s="598"/>
      <c r="M33" s="615"/>
      <c r="N33" s="620">
        <f t="shared" si="13"/>
        <v>0.26606695000009495</v>
      </c>
      <c r="O33" s="615">
        <f>N33</f>
        <v>0.26606695000009495</v>
      </c>
      <c r="P33" s="616">
        <f t="shared" si="23"/>
        <v>0.26606695000009495</v>
      </c>
      <c r="Q33" s="616">
        <f t="shared" si="23"/>
        <v>0.26606695000009495</v>
      </c>
      <c r="R33" s="615">
        <f t="shared" si="19"/>
        <v>1.2682750499998292</v>
      </c>
      <c r="S33" s="616">
        <f t="shared" si="20"/>
        <v>1.3624128499996004</v>
      </c>
      <c r="T33" s="616">
        <f t="shared" si="21"/>
        <v>1.4570166399998925</v>
      </c>
      <c r="U33" s="620">
        <f t="shared" si="7"/>
        <v>0</v>
      </c>
      <c r="V33" s="220"/>
      <c r="W33" s="615">
        <f t="shared" si="22"/>
        <v>0.26606695000009495</v>
      </c>
      <c r="X33" s="616">
        <v>1.5343419999999242</v>
      </c>
      <c r="Y33" s="615">
        <f t="shared" si="8"/>
        <v>1.2682750499998292</v>
      </c>
      <c r="Z33" s="621">
        <f t="shared" si="3"/>
        <v>1.3089790629410439E-3</v>
      </c>
      <c r="AB33" s="196"/>
    </row>
    <row r="34" spans="1:35" s="206" customFormat="1" x14ac:dyDescent="0.2">
      <c r="A34" s="479" t="s">
        <v>404</v>
      </c>
      <c r="B34" s="641" t="s">
        <v>554</v>
      </c>
      <c r="C34" s="605">
        <v>0</v>
      </c>
      <c r="D34" s="605">
        <v>0</v>
      </c>
      <c r="E34" s="637">
        <v>0</v>
      </c>
      <c r="F34" s="637">
        <v>0</v>
      </c>
      <c r="G34" s="640">
        <v>0</v>
      </c>
      <c r="H34" s="609">
        <v>7.2099999999999996E-4</v>
      </c>
      <c r="I34" s="609">
        <v>0</v>
      </c>
      <c r="J34" s="609">
        <v>0</v>
      </c>
      <c r="K34" s="636">
        <v>0</v>
      </c>
      <c r="L34" s="598"/>
      <c r="M34" s="605">
        <v>0</v>
      </c>
      <c r="N34" s="604">
        <f t="shared" si="13"/>
        <v>7.2099999999999996E-4</v>
      </c>
      <c r="O34" s="605">
        <v>0</v>
      </c>
      <c r="P34" s="637">
        <v>0</v>
      </c>
      <c r="Q34" s="637">
        <v>0</v>
      </c>
      <c r="R34" s="605">
        <v>0</v>
      </c>
      <c r="S34" s="637">
        <v>0</v>
      </c>
      <c r="T34" s="637">
        <v>0</v>
      </c>
      <c r="U34" s="604">
        <f t="shared" si="7"/>
        <v>-7.2099999999999996E-4</v>
      </c>
      <c r="V34" s="220"/>
      <c r="W34" s="605">
        <f t="shared" si="22"/>
        <v>0</v>
      </c>
      <c r="X34" s="637">
        <v>0</v>
      </c>
      <c r="Y34" s="605">
        <f t="shared" si="8"/>
        <v>0</v>
      </c>
      <c r="Z34" s="638">
        <f t="shared" si="3"/>
        <v>0</v>
      </c>
      <c r="AB34" s="196"/>
    </row>
    <row r="35" spans="1:35" s="206" customFormat="1" x14ac:dyDescent="0.2">
      <c r="A35" s="479" t="s">
        <v>407</v>
      </c>
      <c r="B35" s="641" t="s">
        <v>555</v>
      </c>
      <c r="C35" s="605">
        <v>12524.6</v>
      </c>
      <c r="D35" s="651">
        <v>13507.9</v>
      </c>
      <c r="E35" s="637">
        <v>13998.315000000001</v>
      </c>
      <c r="F35" s="637">
        <v>14615.513000000001</v>
      </c>
      <c r="G35" s="640">
        <v>15211.682000000001</v>
      </c>
      <c r="H35" s="609">
        <f>SUM(H36:H42)</f>
        <v>13490.5302613815</v>
      </c>
      <c r="I35" s="609">
        <f t="shared" ref="I35:K35" si="25">SUM(I36:I42)</f>
        <v>13921.105617299016</v>
      </c>
      <c r="J35" s="609">
        <f t="shared" si="25"/>
        <v>14685.375714902608</v>
      </c>
      <c r="K35" s="636">
        <f t="shared" si="25"/>
        <v>15359.182493773105</v>
      </c>
      <c r="L35" s="637"/>
      <c r="M35" s="605">
        <f>SUM(M36:M41)</f>
        <v>-187.2193</v>
      </c>
      <c r="N35" s="604">
        <f t="shared" si="13"/>
        <v>13303.3109613815</v>
      </c>
      <c r="O35" s="605">
        <f>SUM(O36:O41)</f>
        <v>14129.5407929509</v>
      </c>
      <c r="P35" s="637">
        <f t="shared" ref="P35:T35" si="26">SUM(P36:P41)</f>
        <v>14991.769274442304</v>
      </c>
      <c r="Q35" s="637">
        <f t="shared" si="26"/>
        <v>15798.431774543224</v>
      </c>
      <c r="R35" s="605">
        <f t="shared" si="26"/>
        <v>-208.43493465188382</v>
      </c>
      <c r="S35" s="637">
        <f t="shared" si="26"/>
        <v>-306.39289853969666</v>
      </c>
      <c r="T35" s="637">
        <f t="shared" si="26"/>
        <v>-439.24954277011818</v>
      </c>
      <c r="U35" s="604">
        <f t="shared" si="7"/>
        <v>826.22983156940063</v>
      </c>
      <c r="V35" s="220"/>
      <c r="W35" s="605">
        <f>SUM(W36:W41)</f>
        <v>14129.5407929509</v>
      </c>
      <c r="X35" s="637">
        <v>13934.964465165733</v>
      </c>
      <c r="Y35" s="605">
        <f t="shared" si="8"/>
        <v>-194.57632778516745</v>
      </c>
      <c r="Z35" s="638">
        <f t="shared" si="3"/>
        <v>-0.20082105944981907</v>
      </c>
      <c r="AB35" s="196"/>
    </row>
    <row r="36" spans="1:35" s="204" customFormat="1" x14ac:dyDescent="0.2">
      <c r="A36" s="622" t="s">
        <v>515</v>
      </c>
      <c r="B36" s="623"/>
      <c r="C36" s="631">
        <v>7095.013353724341</v>
      </c>
      <c r="D36" s="631">
        <v>7838.6030000000001</v>
      </c>
      <c r="E36" s="616">
        <v>8152.6959999999999</v>
      </c>
      <c r="F36" s="616">
        <v>8673.3979999999992</v>
      </c>
      <c r="G36" s="617">
        <v>9159.5229999999992</v>
      </c>
      <c r="H36" s="618">
        <v>7857.2935911589584</v>
      </c>
      <c r="I36" s="618">
        <v>8116.3372690051056</v>
      </c>
      <c r="J36" s="618">
        <v>8646.9750303545297</v>
      </c>
      <c r="K36" s="619">
        <v>9164.04056284123</v>
      </c>
      <c r="L36" s="616"/>
      <c r="M36" s="631">
        <v>-187.2193</v>
      </c>
      <c r="N36" s="620">
        <f t="shared" si="13"/>
        <v>7670.0742911589587</v>
      </c>
      <c r="O36" s="615">
        <v>8112.1775577741601</v>
      </c>
      <c r="P36" s="616">
        <v>8603.7865810739204</v>
      </c>
      <c r="Q36" s="616">
        <v>9044.7287524103904</v>
      </c>
      <c r="R36" s="615">
        <f t="shared" ref="R36:T42" si="27">I36-O36</f>
        <v>4.1597112309455042</v>
      </c>
      <c r="S36" s="616">
        <f t="shared" si="27"/>
        <v>43.188449280609348</v>
      </c>
      <c r="T36" s="616">
        <f t="shared" si="27"/>
        <v>119.31181043083961</v>
      </c>
      <c r="U36" s="620">
        <f t="shared" si="7"/>
        <v>442.10326661520139</v>
      </c>
      <c r="V36" s="220"/>
      <c r="W36" s="615">
        <f t="shared" ref="W36:W42" si="28">O36</f>
        <v>8112.1775577741601</v>
      </c>
      <c r="X36" s="616">
        <v>8152.6959999999999</v>
      </c>
      <c r="Y36" s="615">
        <f t="shared" si="8"/>
        <v>40.518442225839863</v>
      </c>
      <c r="Z36" s="621">
        <f t="shared" ref="Z36:Z52" si="29">Y36/$X$193*100</f>
        <v>4.1818840902545416E-2</v>
      </c>
      <c r="AB36" s="196"/>
    </row>
    <row r="37" spans="1:35" s="204" customFormat="1" x14ac:dyDescent="0.2">
      <c r="A37" s="622" t="s">
        <v>517</v>
      </c>
      <c r="B37" s="623"/>
      <c r="C37" s="615">
        <v>3329.0783611100001</v>
      </c>
      <c r="D37" s="631">
        <v>3667.1990000000001</v>
      </c>
      <c r="E37" s="616">
        <v>4021.8209999999999</v>
      </c>
      <c r="F37" s="616">
        <v>4302.6719999999996</v>
      </c>
      <c r="G37" s="617">
        <v>4560.2150000000001</v>
      </c>
      <c r="H37" s="618">
        <v>3665.5818277692688</v>
      </c>
      <c r="I37" s="618">
        <v>3971.7529999999997</v>
      </c>
      <c r="J37" s="618">
        <v>4262.2369490605433</v>
      </c>
      <c r="K37" s="619">
        <v>4530.6740881859305</v>
      </c>
      <c r="L37" s="616"/>
      <c r="M37" s="631"/>
      <c r="N37" s="620">
        <f t="shared" si="13"/>
        <v>3665.5818277692688</v>
      </c>
      <c r="O37" s="615">
        <v>3960.4810602840003</v>
      </c>
      <c r="P37" s="616">
        <v>4229.0517042153615</v>
      </c>
      <c r="Q37" s="616">
        <v>4493.465440295864</v>
      </c>
      <c r="R37" s="631">
        <f t="shared" si="27"/>
        <v>11.271939715999451</v>
      </c>
      <c r="S37" s="633">
        <f t="shared" si="27"/>
        <v>33.185244845181842</v>
      </c>
      <c r="T37" s="633">
        <f t="shared" si="27"/>
        <v>37.208647890066459</v>
      </c>
      <c r="U37" s="635">
        <f t="shared" si="7"/>
        <v>294.89923251473147</v>
      </c>
      <c r="V37" s="220"/>
      <c r="W37" s="615">
        <f t="shared" si="28"/>
        <v>3960.4810602840003</v>
      </c>
      <c r="X37" s="616">
        <v>4021.8209999999999</v>
      </c>
      <c r="Y37" s="615">
        <f t="shared" si="8"/>
        <v>61.339939715999662</v>
      </c>
      <c r="Z37" s="621">
        <f t="shared" si="29"/>
        <v>6.3308583426221449E-2</v>
      </c>
      <c r="AB37" s="196"/>
    </row>
    <row r="38" spans="1:35" s="204" customFormat="1" x14ac:dyDescent="0.2">
      <c r="A38" s="622" t="s">
        <v>556</v>
      </c>
      <c r="B38" s="623"/>
      <c r="C38" s="615">
        <v>1299.2790002199999</v>
      </c>
      <c r="D38" s="615">
        <f>1166+40.039</f>
        <v>1206.039</v>
      </c>
      <c r="E38" s="616">
        <v>992.57</v>
      </c>
      <c r="F38" s="616">
        <v>790</v>
      </c>
      <c r="G38" s="617">
        <v>630</v>
      </c>
      <c r="H38" s="618">
        <v>1206.221</v>
      </c>
      <c r="I38" s="618">
        <v>1065.1378831281806</v>
      </c>
      <c r="J38" s="618">
        <v>988.48511760655538</v>
      </c>
      <c r="K38" s="619">
        <v>859.12193672510489</v>
      </c>
      <c r="L38" s="616"/>
      <c r="M38" s="766"/>
      <c r="N38" s="620">
        <f t="shared" si="13"/>
        <v>1206.221</v>
      </c>
      <c r="O38" s="615">
        <v>1261.7706513157891</v>
      </c>
      <c r="P38" s="616">
        <v>1340.3626587924018</v>
      </c>
      <c r="Q38" s="616">
        <v>1420.091500413527</v>
      </c>
      <c r="R38" s="615">
        <f t="shared" si="27"/>
        <v>-196.63276818760846</v>
      </c>
      <c r="S38" s="616">
        <f t="shared" si="27"/>
        <v>-351.87754118584644</v>
      </c>
      <c r="T38" s="616">
        <f t="shared" si="27"/>
        <v>-560.96956368842211</v>
      </c>
      <c r="U38" s="620">
        <f t="shared" si="7"/>
        <v>55.549651315789106</v>
      </c>
      <c r="V38" s="220"/>
      <c r="W38" s="615">
        <f t="shared" si="28"/>
        <v>1261.7706513157891</v>
      </c>
      <c r="X38" s="616">
        <v>992.57</v>
      </c>
      <c r="Y38" s="615">
        <f t="shared" si="8"/>
        <v>-269.20065131578906</v>
      </c>
      <c r="Z38" s="621">
        <f t="shared" si="29"/>
        <v>-0.27784037563658426</v>
      </c>
      <c r="AB38" s="196"/>
    </row>
    <row r="39" spans="1:35" s="204" customFormat="1" x14ac:dyDescent="0.2">
      <c r="A39" s="622" t="s">
        <v>557</v>
      </c>
      <c r="B39" s="623"/>
      <c r="C39" s="615">
        <v>224.78899999999999</v>
      </c>
      <c r="D39" s="615">
        <f>217.371+2.5</f>
        <v>219.87100000000001</v>
      </c>
      <c r="E39" s="616">
        <v>231.58921900000001</v>
      </c>
      <c r="F39" s="616">
        <v>244.05491499999999</v>
      </c>
      <c r="G39" s="617">
        <v>256.49811799999998</v>
      </c>
      <c r="H39" s="618">
        <v>247.428</v>
      </c>
      <c r="I39" s="618">
        <v>231.58921900000001</v>
      </c>
      <c r="J39" s="618">
        <v>244.05491499999999</v>
      </c>
      <c r="K39" s="619">
        <v>256.49811799999998</v>
      </c>
      <c r="L39" s="616"/>
      <c r="M39" s="615"/>
      <c r="N39" s="620">
        <f t="shared" si="13"/>
        <v>247.428</v>
      </c>
      <c r="O39" s="615">
        <v>258.82271052631575</v>
      </c>
      <c r="P39" s="616">
        <v>274.94402098760213</v>
      </c>
      <c r="Q39" s="616">
        <v>291.29852635986128</v>
      </c>
      <c r="R39" s="615">
        <f t="shared" si="27"/>
        <v>-27.233491526315731</v>
      </c>
      <c r="S39" s="616">
        <f t="shared" si="27"/>
        <v>-30.889105987602136</v>
      </c>
      <c r="T39" s="616">
        <f t="shared" si="27"/>
        <v>-34.800408359861308</v>
      </c>
      <c r="U39" s="620">
        <f t="shared" si="7"/>
        <v>11.394710526315748</v>
      </c>
      <c r="V39" s="220"/>
      <c r="W39" s="615">
        <f t="shared" si="28"/>
        <v>258.82271052631575</v>
      </c>
      <c r="X39" s="616">
        <v>231.58921900000001</v>
      </c>
      <c r="Y39" s="615">
        <f t="shared" si="8"/>
        <v>-27.233491526315731</v>
      </c>
      <c r="Z39" s="621">
        <f t="shared" si="29"/>
        <v>-2.8107523063498278E-2</v>
      </c>
      <c r="AB39" s="196"/>
    </row>
    <row r="40" spans="1:35" s="204" customFormat="1" x14ac:dyDescent="0.2">
      <c r="A40" s="622" t="s">
        <v>472</v>
      </c>
      <c r="B40" s="623"/>
      <c r="C40" s="615">
        <v>189.23599999999999</v>
      </c>
      <c r="D40" s="615">
        <v>166.386</v>
      </c>
      <c r="E40" s="616">
        <v>173.96700000000001</v>
      </c>
      <c r="F40" s="616">
        <v>176.489</v>
      </c>
      <c r="G40" s="617">
        <v>176.24700000000001</v>
      </c>
      <c r="H40" s="618">
        <v>202.07084245327502</v>
      </c>
      <c r="I40" s="618">
        <v>206.92787616573162</v>
      </c>
      <c r="J40" s="618">
        <v>212.03602888097771</v>
      </c>
      <c r="K40" s="619">
        <v>217.46031702083741</v>
      </c>
      <c r="L40" s="616"/>
      <c r="M40" s="615"/>
      <c r="N40" s="620">
        <f t="shared" si="13"/>
        <v>202.07084245327502</v>
      </c>
      <c r="O40" s="615">
        <f>O80</f>
        <v>206.9282020506362</v>
      </c>
      <c r="P40" s="616">
        <f t="shared" ref="P40:Q40" si="30">P80</f>
        <v>212.03597437301698</v>
      </c>
      <c r="Q40" s="616">
        <f t="shared" si="30"/>
        <v>217.46034606357821</v>
      </c>
      <c r="R40" s="615">
        <f t="shared" si="27"/>
        <v>-3.2588490458351771E-4</v>
      </c>
      <c r="S40" s="616">
        <f t="shared" si="27"/>
        <v>5.4507960726368765E-5</v>
      </c>
      <c r="T40" s="616">
        <f t="shared" si="27"/>
        <v>-2.9042740806062284E-5</v>
      </c>
      <c r="U40" s="620">
        <f t="shared" si="7"/>
        <v>4.8573595973611816</v>
      </c>
      <c r="V40" s="220"/>
      <c r="W40" s="615">
        <f t="shared" si="28"/>
        <v>206.9282020506362</v>
      </c>
      <c r="X40" s="616">
        <v>206.92787616573162</v>
      </c>
      <c r="Y40" s="615">
        <f t="shared" si="8"/>
        <v>-3.2588490458351771E-4</v>
      </c>
      <c r="Z40" s="621">
        <f t="shared" si="29"/>
        <v>-3.3634385303757412E-7</v>
      </c>
      <c r="AB40" s="196"/>
    </row>
    <row r="41" spans="1:35" s="204" customFormat="1" x14ac:dyDescent="0.2">
      <c r="A41" s="622" t="s">
        <v>558</v>
      </c>
      <c r="B41" s="623"/>
      <c r="C41" s="631">
        <v>387.11220944000002</v>
      </c>
      <c r="D41" s="631">
        <v>409.77499999999998</v>
      </c>
      <c r="E41" s="633">
        <v>425.67202200000003</v>
      </c>
      <c r="F41" s="633">
        <v>428.89974599999999</v>
      </c>
      <c r="G41" s="634">
        <v>429.19862000000001</v>
      </c>
      <c r="H41" s="813">
        <v>311.93499999999995</v>
      </c>
      <c r="I41" s="813">
        <v>329.36061100000001</v>
      </c>
      <c r="J41" s="813">
        <v>331.58833499999997</v>
      </c>
      <c r="K41" s="814">
        <v>331.38720899999998</v>
      </c>
      <c r="L41" s="616"/>
      <c r="M41" s="631"/>
      <c r="N41" s="620">
        <f t="shared" si="13"/>
        <v>311.93499999999995</v>
      </c>
      <c r="O41" s="631">
        <f t="shared" ref="O41:Q42" si="31">I41</f>
        <v>329.36061100000001</v>
      </c>
      <c r="P41" s="633">
        <f t="shared" si="31"/>
        <v>331.58833499999997</v>
      </c>
      <c r="Q41" s="633">
        <f t="shared" si="31"/>
        <v>331.38720899999998</v>
      </c>
      <c r="R41" s="631">
        <f t="shared" si="27"/>
        <v>0</v>
      </c>
      <c r="S41" s="633">
        <f t="shared" si="27"/>
        <v>0</v>
      </c>
      <c r="T41" s="633">
        <f t="shared" si="27"/>
        <v>0</v>
      </c>
      <c r="U41" s="635">
        <f t="shared" si="7"/>
        <v>17.42561100000006</v>
      </c>
      <c r="V41" s="220"/>
      <c r="W41" s="615">
        <f t="shared" si="28"/>
        <v>329.36061100000001</v>
      </c>
      <c r="X41" s="616">
        <v>329.36061100000001</v>
      </c>
      <c r="Y41" s="615">
        <f t="shared" si="8"/>
        <v>0</v>
      </c>
      <c r="Z41" s="621">
        <f t="shared" si="29"/>
        <v>0</v>
      </c>
      <c r="AB41" s="196"/>
      <c r="AD41" s="202"/>
      <c r="AE41" s="202"/>
      <c r="AF41" s="202"/>
      <c r="AG41" s="202"/>
      <c r="AH41" s="202"/>
      <c r="AI41" s="202"/>
    </row>
    <row r="42" spans="1:35" s="204" customFormat="1" x14ac:dyDescent="0.2">
      <c r="A42" s="622" t="s">
        <v>497</v>
      </c>
      <c r="B42" s="623"/>
      <c r="C42" s="615">
        <v>9.2075505657703616E-2</v>
      </c>
      <c r="D42" s="615">
        <f t="shared" ref="D42:G42" si="32">D35-SUM(D36:D41)</f>
        <v>2.7000000000043656E-2</v>
      </c>
      <c r="E42" s="616">
        <f t="shared" si="32"/>
        <v>-2.4099999973259401E-4</v>
      </c>
      <c r="F42" s="616">
        <f t="shared" si="32"/>
        <v>-6.6099999821744859E-4</v>
      </c>
      <c r="G42" s="617">
        <f t="shared" si="32"/>
        <v>2.6200000320386607E-4</v>
      </c>
      <c r="H42" s="618">
        <v>4.3656050996432327E-14</v>
      </c>
      <c r="I42" s="618">
        <v>-2.4099999973259401E-4</v>
      </c>
      <c r="J42" s="618">
        <v>-6.6099999821744859E-4</v>
      </c>
      <c r="K42" s="619">
        <v>2.6200000320386607E-4</v>
      </c>
      <c r="L42" s="598"/>
      <c r="M42" s="615"/>
      <c r="N42" s="620">
        <f t="shared" si="13"/>
        <v>4.3656050996432327E-14</v>
      </c>
      <c r="O42" s="615">
        <f t="shared" si="31"/>
        <v>-2.4099999973259401E-4</v>
      </c>
      <c r="P42" s="616">
        <f t="shared" si="31"/>
        <v>-6.6099999821744859E-4</v>
      </c>
      <c r="Q42" s="616">
        <f t="shared" si="31"/>
        <v>2.6200000320386607E-4</v>
      </c>
      <c r="R42" s="615">
        <f t="shared" si="27"/>
        <v>0</v>
      </c>
      <c r="S42" s="616">
        <f t="shared" si="27"/>
        <v>0</v>
      </c>
      <c r="T42" s="616">
        <f t="shared" si="27"/>
        <v>0</v>
      </c>
      <c r="U42" s="620">
        <f t="shared" si="7"/>
        <v>-2.4099999977625006E-4</v>
      </c>
      <c r="V42" s="220"/>
      <c r="W42" s="615">
        <f t="shared" si="28"/>
        <v>-2.4099999973259401E-4</v>
      </c>
      <c r="X42" s="616">
        <v>-2.4099999973259401E-4</v>
      </c>
      <c r="Y42" s="615">
        <f t="shared" si="8"/>
        <v>0</v>
      </c>
      <c r="Z42" s="621">
        <f t="shared" si="29"/>
        <v>0</v>
      </c>
      <c r="AB42" s="196"/>
    </row>
    <row r="43" spans="1:35" s="206" customFormat="1" x14ac:dyDescent="0.2">
      <c r="A43" s="479" t="s">
        <v>398</v>
      </c>
      <c r="B43" s="641" t="s">
        <v>559</v>
      </c>
      <c r="C43" s="605">
        <v>641.29999999999995</v>
      </c>
      <c r="D43" s="605">
        <v>426.3</v>
      </c>
      <c r="E43" s="637">
        <v>585.22699999999998</v>
      </c>
      <c r="F43" s="637">
        <v>584.10599999999999</v>
      </c>
      <c r="G43" s="640">
        <v>596.524</v>
      </c>
      <c r="H43" s="609">
        <f>SUM(H44:H52)</f>
        <v>619.4962298800001</v>
      </c>
      <c r="I43" s="609">
        <f t="shared" ref="I43:K43" si="33">SUM(I44:I52)</f>
        <v>609.6555252220179</v>
      </c>
      <c r="J43" s="609">
        <f t="shared" si="33"/>
        <v>609.97963252431487</v>
      </c>
      <c r="K43" s="636">
        <f t="shared" si="33"/>
        <v>624.14203551229332</v>
      </c>
      <c r="L43" s="598"/>
      <c r="M43" s="605">
        <f>SUM(M44:M52)</f>
        <v>0</v>
      </c>
      <c r="N43" s="604">
        <f t="shared" si="13"/>
        <v>619.4962298800001</v>
      </c>
      <c r="O43" s="605">
        <f t="shared" ref="O43:T43" si="34">SUM(O44:O52)</f>
        <v>628.14770327261385</v>
      </c>
      <c r="P43" s="637">
        <f t="shared" si="34"/>
        <v>664.2810850015419</v>
      </c>
      <c r="Q43" s="637">
        <f t="shared" si="34"/>
        <v>695.03956768315879</v>
      </c>
      <c r="R43" s="605">
        <f t="shared" si="34"/>
        <v>-18.492178050596024</v>
      </c>
      <c r="S43" s="637">
        <f t="shared" si="34"/>
        <v>-54.301452477227045</v>
      </c>
      <c r="T43" s="637">
        <f t="shared" si="34"/>
        <v>-70.89753217086546</v>
      </c>
      <c r="U43" s="604">
        <f t="shared" si="7"/>
        <v>8.6514733926137524</v>
      </c>
      <c r="V43" s="220"/>
      <c r="W43" s="605">
        <f>SUM(W44:W52)</f>
        <v>628.14770327261385</v>
      </c>
      <c r="X43" s="637">
        <v>678.13052522201792</v>
      </c>
      <c r="Y43" s="605">
        <f t="shared" si="8"/>
        <v>49.98282194940407</v>
      </c>
      <c r="Z43" s="638">
        <f t="shared" si="29"/>
        <v>5.1586970380351475E-2</v>
      </c>
      <c r="AB43" s="196"/>
      <c r="AD43" s="201"/>
      <c r="AE43" s="201"/>
      <c r="AF43" s="201"/>
      <c r="AG43" s="201"/>
      <c r="AH43" s="201"/>
      <c r="AI43" s="201"/>
    </row>
    <row r="44" spans="1:35" s="204" customFormat="1" x14ac:dyDescent="0.2">
      <c r="A44" s="622" t="s">
        <v>560</v>
      </c>
      <c r="B44" s="623"/>
      <c r="C44" s="615">
        <v>23.343</v>
      </c>
      <c r="D44" s="615">
        <v>0</v>
      </c>
      <c r="E44" s="616">
        <v>0</v>
      </c>
      <c r="F44" s="616">
        <v>0</v>
      </c>
      <c r="G44" s="617">
        <v>0</v>
      </c>
      <c r="H44" s="618">
        <v>23.343</v>
      </c>
      <c r="I44" s="618">
        <v>23.343</v>
      </c>
      <c r="J44" s="618">
        <v>23.343</v>
      </c>
      <c r="K44" s="619">
        <v>23.343</v>
      </c>
      <c r="L44" s="598"/>
      <c r="M44" s="655"/>
      <c r="N44" s="620">
        <f t="shared" si="13"/>
        <v>23.343</v>
      </c>
      <c r="O44" s="615">
        <f>N44</f>
        <v>23.343</v>
      </c>
      <c r="P44" s="616">
        <f t="shared" ref="P44:Q45" si="35">O44</f>
        <v>23.343</v>
      </c>
      <c r="Q44" s="616">
        <f t="shared" si="35"/>
        <v>23.343</v>
      </c>
      <c r="R44" s="615">
        <f t="shared" ref="R44:R52" si="36">I44-O44</f>
        <v>0</v>
      </c>
      <c r="S44" s="616">
        <f t="shared" ref="S44:S52" si="37">J44-P44</f>
        <v>0</v>
      </c>
      <c r="T44" s="616">
        <f t="shared" ref="T44:T52" si="38">K44-Q44</f>
        <v>0</v>
      </c>
      <c r="U44" s="620">
        <f t="shared" si="7"/>
        <v>0</v>
      </c>
      <c r="V44" s="220"/>
      <c r="W44" s="615">
        <f t="shared" ref="W44:W64" si="39">O44</f>
        <v>23.343</v>
      </c>
      <c r="X44" s="616">
        <v>23.343</v>
      </c>
      <c r="Y44" s="615">
        <f t="shared" si="8"/>
        <v>0</v>
      </c>
      <c r="Z44" s="621">
        <f t="shared" si="29"/>
        <v>0</v>
      </c>
      <c r="AB44" s="196"/>
    </row>
    <row r="45" spans="1:35" s="204" customFormat="1" x14ac:dyDescent="0.2">
      <c r="A45" s="622" t="s">
        <v>561</v>
      </c>
      <c r="B45" s="623"/>
      <c r="C45" s="615">
        <v>18.904</v>
      </c>
      <c r="D45" s="615">
        <v>0</v>
      </c>
      <c r="E45" s="616">
        <v>0</v>
      </c>
      <c r="F45" s="616">
        <v>0</v>
      </c>
      <c r="G45" s="617">
        <v>0</v>
      </c>
      <c r="H45" s="618">
        <v>18.904</v>
      </c>
      <c r="I45" s="618">
        <v>18.904</v>
      </c>
      <c r="J45" s="618">
        <v>18.904</v>
      </c>
      <c r="K45" s="619">
        <v>18.904</v>
      </c>
      <c r="L45" s="598"/>
      <c r="M45" s="655"/>
      <c r="N45" s="620">
        <f t="shared" si="13"/>
        <v>18.904</v>
      </c>
      <c r="O45" s="615">
        <f>N45</f>
        <v>18.904</v>
      </c>
      <c r="P45" s="616">
        <f t="shared" si="35"/>
        <v>18.904</v>
      </c>
      <c r="Q45" s="616">
        <f t="shared" si="35"/>
        <v>18.904</v>
      </c>
      <c r="R45" s="615">
        <f t="shared" si="36"/>
        <v>0</v>
      </c>
      <c r="S45" s="616">
        <f t="shared" si="37"/>
        <v>0</v>
      </c>
      <c r="T45" s="616">
        <f t="shared" si="38"/>
        <v>0</v>
      </c>
      <c r="U45" s="620">
        <f t="shared" si="7"/>
        <v>0</v>
      </c>
      <c r="V45" s="220"/>
      <c r="W45" s="615">
        <f t="shared" si="39"/>
        <v>18.904</v>
      </c>
      <c r="X45" s="616">
        <v>18.904</v>
      </c>
      <c r="Y45" s="615">
        <f t="shared" si="8"/>
        <v>0</v>
      </c>
      <c r="Z45" s="621">
        <f t="shared" si="29"/>
        <v>0</v>
      </c>
      <c r="AB45" s="196"/>
    </row>
    <row r="46" spans="1:35" s="204" customFormat="1" x14ac:dyDescent="0.2">
      <c r="A46" s="622" t="s">
        <v>562</v>
      </c>
      <c r="B46" s="623"/>
      <c r="C46" s="615">
        <v>5.1017371200000001</v>
      </c>
      <c r="D46" s="615">
        <v>28.021000000000001</v>
      </c>
      <c r="E46" s="616">
        <v>22.305410999999999</v>
      </c>
      <c r="F46" s="616">
        <v>24.136697999999999</v>
      </c>
      <c r="G46" s="617">
        <v>24.175367000000001</v>
      </c>
      <c r="H46" s="618">
        <v>0.55499999999999972</v>
      </c>
      <c r="I46" s="618">
        <v>0</v>
      </c>
      <c r="J46" s="618">
        <v>0</v>
      </c>
      <c r="K46" s="619">
        <v>0</v>
      </c>
      <c r="L46" s="598"/>
      <c r="M46" s="615"/>
      <c r="N46" s="620">
        <f t="shared" si="13"/>
        <v>0.55499999999999972</v>
      </c>
      <c r="O46" s="615">
        <v>0.58350676054085138</v>
      </c>
      <c r="P46" s="616">
        <v>0.6137907915274553</v>
      </c>
      <c r="Q46" s="616">
        <v>0.63769399770516777</v>
      </c>
      <c r="R46" s="615">
        <f t="shared" si="36"/>
        <v>-0.58350676054085138</v>
      </c>
      <c r="S46" s="616">
        <f t="shared" si="37"/>
        <v>-0.6137907915274553</v>
      </c>
      <c r="T46" s="616">
        <f t="shared" si="38"/>
        <v>-0.63769399770516777</v>
      </c>
      <c r="U46" s="620">
        <f t="shared" si="7"/>
        <v>2.8506760540851661E-2</v>
      </c>
      <c r="V46" s="220"/>
      <c r="W46" s="615">
        <f t="shared" si="39"/>
        <v>0.58350676054085138</v>
      </c>
      <c r="X46" s="616">
        <v>0</v>
      </c>
      <c r="Y46" s="615">
        <f t="shared" si="8"/>
        <v>-0.58350676054085138</v>
      </c>
      <c r="Z46" s="621">
        <f t="shared" si="29"/>
        <v>-6.0223382351693399E-4</v>
      </c>
      <c r="AB46" s="196"/>
      <c r="AD46" s="202"/>
      <c r="AE46" s="202"/>
      <c r="AF46" s="202"/>
      <c r="AG46" s="202"/>
      <c r="AH46" s="202"/>
      <c r="AI46" s="202"/>
    </row>
    <row r="47" spans="1:35" s="204" customFormat="1" x14ac:dyDescent="0.2">
      <c r="A47" s="622" t="s">
        <v>563</v>
      </c>
      <c r="B47" s="623"/>
      <c r="C47" s="615">
        <v>20.629868999999999</v>
      </c>
      <c r="D47" s="615">
        <v>21.827000000000002</v>
      </c>
      <c r="E47" s="616">
        <v>26.330375</v>
      </c>
      <c r="F47" s="616">
        <v>22.005417999999999</v>
      </c>
      <c r="G47" s="617">
        <v>20.970421999999999</v>
      </c>
      <c r="H47" s="618">
        <v>0</v>
      </c>
      <c r="I47" s="618">
        <v>0</v>
      </c>
      <c r="J47" s="618">
        <v>0</v>
      </c>
      <c r="K47" s="619">
        <v>0</v>
      </c>
      <c r="L47" s="598"/>
      <c r="M47" s="615"/>
      <c r="N47" s="620">
        <f t="shared" si="13"/>
        <v>0</v>
      </c>
      <c r="O47" s="615">
        <v>0</v>
      </c>
      <c r="P47" s="616">
        <v>0</v>
      </c>
      <c r="Q47" s="616">
        <v>0</v>
      </c>
      <c r="R47" s="615">
        <f t="shared" si="36"/>
        <v>0</v>
      </c>
      <c r="S47" s="616">
        <f t="shared" si="37"/>
        <v>0</v>
      </c>
      <c r="T47" s="616">
        <f t="shared" si="38"/>
        <v>0</v>
      </c>
      <c r="U47" s="620">
        <f t="shared" si="7"/>
        <v>0</v>
      </c>
      <c r="V47" s="220"/>
      <c r="W47" s="615">
        <f t="shared" si="39"/>
        <v>0</v>
      </c>
      <c r="X47" s="616">
        <v>0</v>
      </c>
      <c r="Y47" s="615">
        <f t="shared" si="8"/>
        <v>0</v>
      </c>
      <c r="Z47" s="621">
        <f t="shared" si="29"/>
        <v>0</v>
      </c>
      <c r="AB47" s="196"/>
      <c r="AD47" s="202"/>
      <c r="AE47" s="202"/>
      <c r="AF47" s="202"/>
      <c r="AG47" s="202"/>
      <c r="AH47" s="202"/>
      <c r="AI47" s="202"/>
    </row>
    <row r="48" spans="1:35" s="204" customFormat="1" x14ac:dyDescent="0.2">
      <c r="A48" s="622" t="s">
        <v>564</v>
      </c>
      <c r="B48" s="623"/>
      <c r="C48" s="631">
        <v>0.47199999999999998</v>
      </c>
      <c r="D48" s="631">
        <v>0</v>
      </c>
      <c r="E48" s="633">
        <v>0</v>
      </c>
      <c r="F48" s="633">
        <v>0</v>
      </c>
      <c r="G48" s="634">
        <v>0</v>
      </c>
      <c r="H48" s="813">
        <v>0.47199999999999998</v>
      </c>
      <c r="I48" s="813">
        <v>0.47199999999999998</v>
      </c>
      <c r="J48" s="813">
        <v>0.47199999999999998</v>
      </c>
      <c r="K48" s="814">
        <v>0.47199999999999998</v>
      </c>
      <c r="L48" s="598"/>
      <c r="M48" s="615"/>
      <c r="N48" s="620">
        <f t="shared" ref="N48:N75" si="40">H48+M48</f>
        <v>0.47199999999999998</v>
      </c>
      <c r="O48" s="615">
        <v>0.50348556922961929</v>
      </c>
      <c r="P48" s="616">
        <v>0.53323586506767529</v>
      </c>
      <c r="Q48" s="616">
        <v>0.56434017444032114</v>
      </c>
      <c r="R48" s="615">
        <f t="shared" si="36"/>
        <v>-3.1485569229619315E-2</v>
      </c>
      <c r="S48" s="616">
        <f t="shared" si="37"/>
        <v>-6.123586506767531E-2</v>
      </c>
      <c r="T48" s="616">
        <f t="shared" si="38"/>
        <v>-9.2340174440321166E-2</v>
      </c>
      <c r="U48" s="620">
        <f t="shared" si="7"/>
        <v>3.1485569229619315E-2</v>
      </c>
      <c r="V48" s="220"/>
      <c r="W48" s="809">
        <f>O48</f>
        <v>0.50348556922961929</v>
      </c>
      <c r="X48" s="618">
        <v>0.47199999999999998</v>
      </c>
      <c r="Y48" s="809">
        <f>X48-W48</f>
        <v>-3.1485569229619315E-2</v>
      </c>
      <c r="Z48" s="815">
        <f t="shared" si="29"/>
        <v>-3.2496066926774292E-5</v>
      </c>
      <c r="AB48" s="196"/>
    </row>
    <row r="49" spans="1:35" s="204" customFormat="1" x14ac:dyDescent="0.2">
      <c r="A49" s="622" t="s">
        <v>565</v>
      </c>
      <c r="B49" s="623"/>
      <c r="C49" s="631">
        <v>5.98212601</v>
      </c>
      <c r="D49" s="631">
        <v>8.8647930000000006</v>
      </c>
      <c r="E49" s="633">
        <v>0</v>
      </c>
      <c r="F49" s="633">
        <v>0</v>
      </c>
      <c r="G49" s="634">
        <v>0</v>
      </c>
      <c r="H49" s="813">
        <v>2.7022880000000526E-2</v>
      </c>
      <c r="I49" s="813">
        <v>5.98212601</v>
      </c>
      <c r="J49" s="813">
        <v>5.98212601</v>
      </c>
      <c r="K49" s="814">
        <v>5.98212601</v>
      </c>
      <c r="L49" s="598"/>
      <c r="M49" s="615"/>
      <c r="N49" s="620">
        <f t="shared" si="40"/>
        <v>2.7022880000000526E-2</v>
      </c>
      <c r="O49" s="615">
        <v>2.8825487540304996E-2</v>
      </c>
      <c r="P49" s="616">
        <v>3.0528747443686995E-2</v>
      </c>
      <c r="Q49" s="616">
        <v>3.2309527146356272E-2</v>
      </c>
      <c r="R49" s="615">
        <f t="shared" si="36"/>
        <v>5.9533005224596947</v>
      </c>
      <c r="S49" s="616">
        <f t="shared" si="37"/>
        <v>5.9515972625563132</v>
      </c>
      <c r="T49" s="616">
        <f t="shared" si="38"/>
        <v>5.9498164828536435</v>
      </c>
      <c r="U49" s="620">
        <f t="shared" si="7"/>
        <v>1.802607540304469E-3</v>
      </c>
      <c r="V49" s="220"/>
      <c r="W49" s="615">
        <f t="shared" si="39"/>
        <v>2.8825487540304996E-2</v>
      </c>
      <c r="X49" s="616">
        <v>5.98212601</v>
      </c>
      <c r="Y49" s="615">
        <f t="shared" si="8"/>
        <v>5.9533005224596947</v>
      </c>
      <c r="Z49" s="621">
        <f t="shared" si="29"/>
        <v>6.1443657188531529E-3</v>
      </c>
      <c r="AB49" s="196"/>
    </row>
    <row r="50" spans="1:35" s="204" customFormat="1" x14ac:dyDescent="0.2">
      <c r="A50" s="622" t="s">
        <v>566</v>
      </c>
      <c r="B50" s="623"/>
      <c r="C50" s="615">
        <v>373.19084099999998</v>
      </c>
      <c r="D50" s="615">
        <f>330.847-D49-D46-D47+10</f>
        <v>282.13420699999995</v>
      </c>
      <c r="E50" s="616">
        <f>498.499-21.993978-E47</f>
        <v>450.17464700000005</v>
      </c>
      <c r="F50" s="616">
        <f>495.196-23.815658-F47</f>
        <v>449.37492400000002</v>
      </c>
      <c r="G50" s="617">
        <f>494.792-23.843268-G47</f>
        <v>449.97830999999996</v>
      </c>
      <c r="H50" s="618">
        <v>375.09220699999992</v>
      </c>
      <c r="I50" s="618">
        <v>381.69964700000003</v>
      </c>
      <c r="J50" s="618">
        <v>380.89992400000006</v>
      </c>
      <c r="K50" s="619">
        <v>381.50330999999994</v>
      </c>
      <c r="L50" s="598"/>
      <c r="M50" s="615"/>
      <c r="N50" s="620">
        <f t="shared" si="40"/>
        <v>375.09220699999992</v>
      </c>
      <c r="O50" s="615">
        <v>400.11337575209558</v>
      </c>
      <c r="P50" s="616">
        <v>436.46460962401073</v>
      </c>
      <c r="Q50" s="616">
        <v>461.92413164290815</v>
      </c>
      <c r="R50" s="615">
        <f t="shared" si="36"/>
        <v>-18.413728752095551</v>
      </c>
      <c r="S50" s="616">
        <f t="shared" si="37"/>
        <v>-55.564685624010679</v>
      </c>
      <c r="T50" s="616">
        <f t="shared" si="38"/>
        <v>-80.420821642908209</v>
      </c>
      <c r="U50" s="620">
        <f t="shared" si="7"/>
        <v>25.021168752095662</v>
      </c>
      <c r="V50" s="220"/>
      <c r="W50" s="615">
        <f>O50</f>
        <v>400.11337575209558</v>
      </c>
      <c r="X50" s="616">
        <v>450.17464700000005</v>
      </c>
      <c r="Y50" s="615">
        <f>X50-W50</f>
        <v>50.061271247904472</v>
      </c>
      <c r="Z50" s="621">
        <f t="shared" si="29"/>
        <v>5.1667937430235067E-2</v>
      </c>
      <c r="AB50" s="196"/>
      <c r="AD50" s="202"/>
      <c r="AE50" s="202"/>
      <c r="AF50" s="202"/>
      <c r="AG50" s="202"/>
      <c r="AH50" s="202"/>
      <c r="AI50" s="202"/>
    </row>
    <row r="51" spans="1:35" s="204" customFormat="1" x14ac:dyDescent="0.2">
      <c r="A51" s="622" t="s">
        <v>567</v>
      </c>
      <c r="B51" s="623"/>
      <c r="C51" s="615">
        <v>147.58100000000002</v>
      </c>
      <c r="D51" s="615">
        <v>37.546999999999997</v>
      </c>
      <c r="E51" s="616">
        <f>37.276-0.135</f>
        <v>37.141000000000005</v>
      </c>
      <c r="F51" s="616">
        <f>39.47-0.144</f>
        <v>39.326000000000001</v>
      </c>
      <c r="G51" s="617">
        <f>50.572-0.155</f>
        <v>50.417000000000002</v>
      </c>
      <c r="H51" s="618">
        <v>147.97300000000001</v>
      </c>
      <c r="I51" s="618">
        <v>129.97918521201797</v>
      </c>
      <c r="J51" s="618">
        <v>131.11562251431482</v>
      </c>
      <c r="K51" s="619">
        <v>142.9546985022933</v>
      </c>
      <c r="L51" s="598"/>
      <c r="M51" s="615"/>
      <c r="N51" s="620">
        <f t="shared" si="40"/>
        <v>147.97300000000001</v>
      </c>
      <c r="O51" s="615">
        <v>131.54150970320745</v>
      </c>
      <c r="P51" s="616">
        <v>131.26191997349227</v>
      </c>
      <c r="Q51" s="616">
        <v>136.50409234095866</v>
      </c>
      <c r="R51" s="615">
        <f t="shared" si="36"/>
        <v>-1.5623244911894858</v>
      </c>
      <c r="S51" s="616">
        <f t="shared" si="37"/>
        <v>-0.14629745917744685</v>
      </c>
      <c r="T51" s="616">
        <f t="shared" si="38"/>
        <v>6.4506061613346333</v>
      </c>
      <c r="U51" s="620">
        <f t="shared" si="7"/>
        <v>-16.43149029679256</v>
      </c>
      <c r="V51" s="220"/>
      <c r="W51" s="615">
        <f>O51</f>
        <v>131.54150970320745</v>
      </c>
      <c r="X51" s="616">
        <v>129.97918521201797</v>
      </c>
      <c r="Y51" s="615">
        <f t="shared" ref="Y51" si="41">X51-W51</f>
        <v>-1.5623244911894858</v>
      </c>
      <c r="Z51" s="621">
        <f t="shared" si="29"/>
        <v>-1.6124657253860919E-3</v>
      </c>
      <c r="AB51" s="196"/>
      <c r="AD51" s="202"/>
      <c r="AE51" s="202"/>
      <c r="AF51" s="202"/>
      <c r="AG51" s="202"/>
      <c r="AH51" s="202"/>
      <c r="AI51" s="202"/>
    </row>
    <row r="52" spans="1:35" s="204" customFormat="1" x14ac:dyDescent="0.2">
      <c r="A52" s="622" t="s">
        <v>568</v>
      </c>
      <c r="B52" s="623"/>
      <c r="C52" s="620">
        <v>46.095426869999983</v>
      </c>
      <c r="D52" s="615">
        <f t="shared" ref="D52:G52" si="42">D43-SUM(D44:D51)</f>
        <v>47.90600000000012</v>
      </c>
      <c r="E52" s="616">
        <f t="shared" si="42"/>
        <v>49.27556699999991</v>
      </c>
      <c r="F52" s="616">
        <f t="shared" si="42"/>
        <v>49.262960000000021</v>
      </c>
      <c r="G52" s="617">
        <f t="shared" si="42"/>
        <v>50.982901000000084</v>
      </c>
      <c r="H52" s="618">
        <v>53.130000000000123</v>
      </c>
      <c r="I52" s="618">
        <v>49.27556699999991</v>
      </c>
      <c r="J52" s="618">
        <v>49.262960000000021</v>
      </c>
      <c r="K52" s="619">
        <v>50.982901000000084</v>
      </c>
      <c r="L52" s="598"/>
      <c r="M52" s="615"/>
      <c r="N52" s="620">
        <f t="shared" si="40"/>
        <v>53.130000000000123</v>
      </c>
      <c r="O52" s="615">
        <f>N52</f>
        <v>53.130000000000123</v>
      </c>
      <c r="P52" s="616">
        <f>O52</f>
        <v>53.130000000000123</v>
      </c>
      <c r="Q52" s="616">
        <f>P52</f>
        <v>53.130000000000123</v>
      </c>
      <c r="R52" s="615">
        <f t="shared" si="36"/>
        <v>-3.8544330000002134</v>
      </c>
      <c r="S52" s="616">
        <f t="shared" si="37"/>
        <v>-3.8670400000001024</v>
      </c>
      <c r="T52" s="616">
        <f t="shared" si="38"/>
        <v>-2.1470990000000398</v>
      </c>
      <c r="U52" s="620">
        <f t="shared" si="7"/>
        <v>0</v>
      </c>
      <c r="V52" s="220"/>
      <c r="W52" s="615">
        <f t="shared" si="39"/>
        <v>53.130000000000123</v>
      </c>
      <c r="X52" s="616">
        <v>49.27556699999991</v>
      </c>
      <c r="Y52" s="615">
        <f t="shared" si="8"/>
        <v>-3.8544330000002134</v>
      </c>
      <c r="Z52" s="621">
        <f t="shared" si="29"/>
        <v>-3.9781371529070096E-3</v>
      </c>
      <c r="AB52" s="196"/>
    </row>
    <row r="53" spans="1:35" s="204" customFormat="1" x14ac:dyDescent="0.2">
      <c r="A53" s="479" t="s">
        <v>394</v>
      </c>
      <c r="B53" s="641" t="s">
        <v>569</v>
      </c>
      <c r="C53" s="605">
        <f>4788.6-C65</f>
        <v>3647.3</v>
      </c>
      <c r="D53" s="605">
        <f>4838.1-D65</f>
        <v>3514.9130000000005</v>
      </c>
      <c r="E53" s="637">
        <v>3596.7959999999998</v>
      </c>
      <c r="F53" s="637">
        <v>3746.6680000000001</v>
      </c>
      <c r="G53" s="640">
        <v>3826.0639999999999</v>
      </c>
      <c r="H53" s="609">
        <f t="shared" ref="H53" si="43">SUM(H54:H64)</f>
        <v>3724.8433816000002</v>
      </c>
      <c r="I53" s="609">
        <f t="shared" ref="I53:K53" si="44">SUM(I54:I64)</f>
        <v>3865.1571179410294</v>
      </c>
      <c r="J53" s="609">
        <f t="shared" si="44"/>
        <v>4023.7491083635059</v>
      </c>
      <c r="K53" s="636">
        <f t="shared" si="44"/>
        <v>4178.6594574011315</v>
      </c>
      <c r="L53" s="598"/>
      <c r="M53" s="605">
        <f>SUM(M54:M64)</f>
        <v>0</v>
      </c>
      <c r="N53" s="604">
        <f t="shared" si="40"/>
        <v>3724.8433816000002</v>
      </c>
      <c r="O53" s="605">
        <f t="shared" ref="O53:T53" si="45">SUM(O54:O64)</f>
        <v>3870.4020374173419</v>
      </c>
      <c r="P53" s="637">
        <f t="shared" si="45"/>
        <v>4023.1435747233163</v>
      </c>
      <c r="Q53" s="637">
        <f t="shared" si="45"/>
        <v>4161.0526094468823</v>
      </c>
      <c r="R53" s="605">
        <f t="shared" si="45"/>
        <v>-5.2449194763125817</v>
      </c>
      <c r="S53" s="637">
        <f t="shared" si="45"/>
        <v>0.6055336401891509</v>
      </c>
      <c r="T53" s="637">
        <f t="shared" si="45"/>
        <v>17.606847954249368</v>
      </c>
      <c r="U53" s="604">
        <f t="shared" si="7"/>
        <v>145.55865581734179</v>
      </c>
      <c r="V53" s="220"/>
      <c r="W53" s="605">
        <f>SUM(W54:W64)</f>
        <v>3870.4020374173419</v>
      </c>
      <c r="X53" s="637">
        <v>3755.3684426636673</v>
      </c>
      <c r="Y53" s="605">
        <f>SUM(Y54:Y64)</f>
        <v>-115.03359475367472</v>
      </c>
      <c r="Z53" s="638">
        <f>SUM(Z54:Z64)</f>
        <v>-0.11872548235292119</v>
      </c>
      <c r="AB53" s="196"/>
    </row>
    <row r="54" spans="1:35" s="206" customFormat="1" x14ac:dyDescent="0.2">
      <c r="A54" s="622" t="s">
        <v>570</v>
      </c>
      <c r="B54" s="641"/>
      <c r="C54" s="615">
        <v>175.27199999999999</v>
      </c>
      <c r="D54" s="615">
        <v>259.80900000000003</v>
      </c>
      <c r="E54" s="616">
        <f>51.769472+174.854936+30.454913</f>
        <v>257.07932099999999</v>
      </c>
      <c r="F54" s="616">
        <f>225.371908+54.178028+31.871826</f>
        <v>311.421762</v>
      </c>
      <c r="G54" s="617">
        <f>228.757242+54.991841+32.350576</f>
        <v>316.09965899999997</v>
      </c>
      <c r="H54" s="618">
        <v>180.00000000000003</v>
      </c>
      <c r="I54" s="618">
        <v>192.13019659366742</v>
      </c>
      <c r="J54" s="618">
        <v>204.06654929968377</v>
      </c>
      <c r="K54" s="619">
        <v>216.19222174350469</v>
      </c>
      <c r="L54" s="598"/>
      <c r="M54" s="615"/>
      <c r="N54" s="620">
        <f t="shared" si="40"/>
        <v>180.00000000000003</v>
      </c>
      <c r="O54" s="615">
        <v>192.13019659366742</v>
      </c>
      <c r="P54" s="616">
        <v>204.06654929968377</v>
      </c>
      <c r="Q54" s="616">
        <v>216.19222174350469</v>
      </c>
      <c r="R54" s="615">
        <f t="shared" ref="R54:R64" si="46">I54-O54</f>
        <v>0</v>
      </c>
      <c r="S54" s="616">
        <f t="shared" ref="S54:S64" si="47">J54-P54</f>
        <v>0</v>
      </c>
      <c r="T54" s="616">
        <f t="shared" ref="T54:T64" si="48">K54-Q54</f>
        <v>0</v>
      </c>
      <c r="U54" s="620">
        <f t="shared" si="7"/>
        <v>12.130196593667392</v>
      </c>
      <c r="V54" s="220"/>
      <c r="W54" s="615">
        <f t="shared" si="39"/>
        <v>192.13019659366742</v>
      </c>
      <c r="X54" s="616">
        <v>192.13019659366742</v>
      </c>
      <c r="Y54" s="615">
        <f t="shared" ref="Y54:Y63" si="49">X54-W54</f>
        <v>0</v>
      </c>
      <c r="Z54" s="621">
        <f t="shared" ref="Z54:Z85" si="50">Y54/$X$193*100</f>
        <v>0</v>
      </c>
      <c r="AA54" s="201"/>
      <c r="AB54" s="196"/>
    </row>
    <row r="55" spans="1:35" s="206" customFormat="1" x14ac:dyDescent="0.2">
      <c r="A55" s="622" t="s">
        <v>571</v>
      </c>
      <c r="B55" s="641"/>
      <c r="C55" s="615">
        <v>70.345580999999996</v>
      </c>
      <c r="D55" s="615">
        <v>75.424000000000007</v>
      </c>
      <c r="E55" s="616">
        <v>68.576526999999999</v>
      </c>
      <c r="F55" s="616">
        <v>76.022440000000003</v>
      </c>
      <c r="G55" s="617">
        <v>83.457265000000007</v>
      </c>
      <c r="H55" s="618">
        <v>75.424000000000007</v>
      </c>
      <c r="I55" s="618">
        <v>68.576526999999999</v>
      </c>
      <c r="J55" s="618">
        <v>76.022440000000003</v>
      </c>
      <c r="K55" s="619">
        <v>83.457265000000007</v>
      </c>
      <c r="L55" s="598"/>
      <c r="M55" s="615"/>
      <c r="N55" s="620">
        <f t="shared" si="40"/>
        <v>75.424000000000007</v>
      </c>
      <c r="O55" s="615">
        <f>O151</f>
        <v>80.506821932670945</v>
      </c>
      <c r="P55" s="616">
        <f t="shared" ref="P55:Q55" si="51">P151</f>
        <v>85.508418968774151</v>
      </c>
      <c r="Q55" s="616">
        <f t="shared" si="51"/>
        <v>90.589345182122756</v>
      </c>
      <c r="R55" s="615">
        <f t="shared" si="46"/>
        <v>-11.930294932670947</v>
      </c>
      <c r="S55" s="616">
        <f t="shared" si="47"/>
        <v>-9.4859789687741483</v>
      </c>
      <c r="T55" s="616">
        <f t="shared" si="48"/>
        <v>-7.1320801821227491</v>
      </c>
      <c r="U55" s="620">
        <f t="shared" si="7"/>
        <v>5.0828219326709387</v>
      </c>
      <c r="V55" s="220"/>
      <c r="W55" s="615">
        <f t="shared" si="39"/>
        <v>80.506821932670945</v>
      </c>
      <c r="X55" s="616">
        <v>68.576526999999999</v>
      </c>
      <c r="Y55" s="615">
        <f t="shared" si="49"/>
        <v>-11.930294932670947</v>
      </c>
      <c r="Z55" s="621">
        <f t="shared" si="50"/>
        <v>-1.2313185756969677E-2</v>
      </c>
      <c r="AA55" s="201"/>
      <c r="AB55" s="196"/>
    </row>
    <row r="56" spans="1:35" s="206" customFormat="1" x14ac:dyDescent="0.2">
      <c r="A56" s="622" t="s">
        <v>545</v>
      </c>
      <c r="B56" s="641"/>
      <c r="C56" s="615">
        <v>89.161845499999998</v>
      </c>
      <c r="D56" s="615">
        <v>0</v>
      </c>
      <c r="E56" s="616">
        <v>0</v>
      </c>
      <c r="F56" s="616">
        <v>0</v>
      </c>
      <c r="G56" s="617">
        <v>0</v>
      </c>
      <c r="H56" s="618">
        <v>95.174000000000007</v>
      </c>
      <c r="I56" s="618">
        <v>99.361983899520013</v>
      </c>
      <c r="J56" s="618">
        <v>103.7339111910989</v>
      </c>
      <c r="K56" s="619">
        <v>108.29820328350725</v>
      </c>
      <c r="L56" s="598"/>
      <c r="M56" s="615"/>
      <c r="N56" s="620">
        <f t="shared" si="40"/>
        <v>95.174000000000007</v>
      </c>
      <c r="O56" s="615">
        <f>I56</f>
        <v>99.361983899520013</v>
      </c>
      <c r="P56" s="616">
        <f>J56</f>
        <v>103.7339111910989</v>
      </c>
      <c r="Q56" s="616">
        <f>K56</f>
        <v>108.29820328350725</v>
      </c>
      <c r="R56" s="615">
        <f t="shared" si="46"/>
        <v>0</v>
      </c>
      <c r="S56" s="616">
        <f t="shared" si="47"/>
        <v>0</v>
      </c>
      <c r="T56" s="616">
        <f t="shared" si="48"/>
        <v>0</v>
      </c>
      <c r="U56" s="620">
        <f t="shared" si="7"/>
        <v>4.187983899520006</v>
      </c>
      <c r="V56" s="220"/>
      <c r="W56" s="615">
        <f t="shared" si="39"/>
        <v>99.361983899520013</v>
      </c>
      <c r="X56" s="616">
        <v>131.04</v>
      </c>
      <c r="Y56" s="615">
        <f t="shared" si="49"/>
        <v>31.678016100479979</v>
      </c>
      <c r="Z56" s="621">
        <f t="shared" si="50"/>
        <v>3.2694690186520006E-2</v>
      </c>
      <c r="AA56" s="201"/>
      <c r="AB56" s="196"/>
    </row>
    <row r="57" spans="1:35" s="206" customFormat="1" x14ac:dyDescent="0.2">
      <c r="A57" s="622" t="s">
        <v>523</v>
      </c>
      <c r="B57" s="623"/>
      <c r="C57" s="615">
        <v>627.16637383</v>
      </c>
      <c r="D57" s="615">
        <v>609.18700000000001</v>
      </c>
      <c r="E57" s="616">
        <v>594.28447500000004</v>
      </c>
      <c r="F57" s="616">
        <v>601.24676999999997</v>
      </c>
      <c r="G57" s="617">
        <v>608.24676699999998</v>
      </c>
      <c r="H57" s="618">
        <v>613.01700000000005</v>
      </c>
      <c r="I57" s="618">
        <v>594.28447500000004</v>
      </c>
      <c r="J57" s="618">
        <v>601.24676999999997</v>
      </c>
      <c r="K57" s="619">
        <v>608.24676699999998</v>
      </c>
      <c r="L57" s="598"/>
      <c r="M57" s="615"/>
      <c r="N57" s="620">
        <f t="shared" si="40"/>
        <v>613.01700000000005</v>
      </c>
      <c r="O57" s="615">
        <v>627.75264405505004</v>
      </c>
      <c r="P57" s="616">
        <v>643.24795860778136</v>
      </c>
      <c r="Q57" s="616">
        <v>659.70373233674809</v>
      </c>
      <c r="R57" s="615">
        <f t="shared" si="46"/>
        <v>-33.468169055049998</v>
      </c>
      <c r="S57" s="616">
        <f t="shared" si="47"/>
        <v>-42.001188607781387</v>
      </c>
      <c r="T57" s="616">
        <f t="shared" si="48"/>
        <v>-51.456965336748112</v>
      </c>
      <c r="U57" s="620">
        <f t="shared" si="7"/>
        <v>14.735644055049988</v>
      </c>
      <c r="V57" s="220"/>
      <c r="W57" s="615">
        <f t="shared" si="39"/>
        <v>627.75264405505004</v>
      </c>
      <c r="X57" s="616">
        <v>594.28447500000004</v>
      </c>
      <c r="Y57" s="615">
        <f t="shared" si="49"/>
        <v>-33.468169055049998</v>
      </c>
      <c r="Z57" s="621">
        <f t="shared" si="50"/>
        <v>-3.4542296300820306E-2</v>
      </c>
      <c r="AA57" s="201"/>
      <c r="AB57" s="196"/>
    </row>
    <row r="58" spans="1:35" s="206" customFormat="1" x14ac:dyDescent="0.2">
      <c r="A58" s="622" t="s">
        <v>572</v>
      </c>
      <c r="B58" s="623"/>
      <c r="C58" s="615">
        <v>619.96040600000003</v>
      </c>
      <c r="D58" s="615">
        <f>264.54+128.585+164.009-10+8.331</f>
        <v>555.46500000000003</v>
      </c>
      <c r="E58" s="616">
        <v>560.29085499999997</v>
      </c>
      <c r="F58" s="616">
        <v>572.37158399999998</v>
      </c>
      <c r="G58" s="617">
        <v>591.49739299999999</v>
      </c>
      <c r="H58" s="618">
        <v>635.04000000000008</v>
      </c>
      <c r="I58" s="618">
        <v>633.18042779842881</v>
      </c>
      <c r="J58" s="618">
        <v>662.71903849022146</v>
      </c>
      <c r="K58" s="619">
        <v>709.81857799716511</v>
      </c>
      <c r="L58" s="598"/>
      <c r="M58" s="615"/>
      <c r="N58" s="620">
        <f t="shared" si="40"/>
        <v>635.04000000000008</v>
      </c>
      <c r="O58" s="615">
        <v>650.30503082413543</v>
      </c>
      <c r="P58" s="616">
        <v>666.35702376000256</v>
      </c>
      <c r="Q58" s="616">
        <v>683.40398093874796</v>
      </c>
      <c r="R58" s="615">
        <f t="shared" si="46"/>
        <v>-17.12460302570662</v>
      </c>
      <c r="S58" s="616">
        <f t="shared" si="47"/>
        <v>-3.6379852697810975</v>
      </c>
      <c r="T58" s="616">
        <f t="shared" si="48"/>
        <v>26.414597058417144</v>
      </c>
      <c r="U58" s="620">
        <f t="shared" si="7"/>
        <v>15.265030824135351</v>
      </c>
      <c r="V58" s="220"/>
      <c r="W58" s="615">
        <f t="shared" si="39"/>
        <v>650.30503082413543</v>
      </c>
      <c r="X58" s="616">
        <v>560.29085499999997</v>
      </c>
      <c r="Y58" s="615">
        <f t="shared" si="49"/>
        <v>-90.014175824135464</v>
      </c>
      <c r="Z58" s="621">
        <f t="shared" si="50"/>
        <v>-9.2903090320749504E-2</v>
      </c>
      <c r="AA58" s="201"/>
      <c r="AB58" s="196"/>
    </row>
    <row r="59" spans="1:35" s="206" customFormat="1" x14ac:dyDescent="0.2">
      <c r="A59" s="622" t="s">
        <v>573</v>
      </c>
      <c r="B59" s="623"/>
      <c r="C59" s="615">
        <v>8.2514289999999999</v>
      </c>
      <c r="D59" s="615">
        <v>0</v>
      </c>
      <c r="E59" s="616">
        <v>0</v>
      </c>
      <c r="F59" s="616">
        <v>0</v>
      </c>
      <c r="G59" s="617">
        <v>0</v>
      </c>
      <c r="H59" s="618">
        <v>0</v>
      </c>
      <c r="I59" s="618">
        <v>0</v>
      </c>
      <c r="J59" s="618">
        <v>0</v>
      </c>
      <c r="K59" s="619">
        <v>0</v>
      </c>
      <c r="L59" s="598"/>
      <c r="M59" s="615"/>
      <c r="N59" s="620">
        <f t="shared" si="40"/>
        <v>0</v>
      </c>
      <c r="O59" s="615">
        <v>0</v>
      </c>
      <c r="P59" s="616">
        <v>0</v>
      </c>
      <c r="Q59" s="616">
        <v>0</v>
      </c>
      <c r="R59" s="615">
        <f t="shared" si="46"/>
        <v>0</v>
      </c>
      <c r="S59" s="616">
        <f t="shared" si="47"/>
        <v>0</v>
      </c>
      <c r="T59" s="616">
        <f t="shared" si="48"/>
        <v>0</v>
      </c>
      <c r="U59" s="620">
        <f t="shared" si="7"/>
        <v>0</v>
      </c>
      <c r="V59" s="220"/>
      <c r="W59" s="615">
        <f t="shared" si="39"/>
        <v>0</v>
      </c>
      <c r="X59" s="616">
        <v>0</v>
      </c>
      <c r="Y59" s="615">
        <f t="shared" si="49"/>
        <v>0</v>
      </c>
      <c r="Z59" s="621">
        <f t="shared" si="50"/>
        <v>0</v>
      </c>
      <c r="AA59" s="201"/>
      <c r="AB59" s="196"/>
    </row>
    <row r="60" spans="1:35" s="206" customFormat="1" x14ac:dyDescent="0.2">
      <c r="A60" s="622" t="s">
        <v>562</v>
      </c>
      <c r="B60" s="623"/>
      <c r="C60" s="615">
        <v>1459.7309431900001</v>
      </c>
      <c r="D60" s="615">
        <v>1465.6089999999999</v>
      </c>
      <c r="E60" s="616">
        <v>1567.249765</v>
      </c>
      <c r="F60" s="616">
        <v>1619.589682</v>
      </c>
      <c r="G60" s="617">
        <v>1650.8753240000001</v>
      </c>
      <c r="H60" s="618">
        <v>1575.366</v>
      </c>
      <c r="I60" s="618">
        <v>1658.1322945794134</v>
      </c>
      <c r="J60" s="618">
        <v>1744.0934383125016</v>
      </c>
      <c r="K60" s="619">
        <v>1811.9426273069548</v>
      </c>
      <c r="L60" s="598"/>
      <c r="M60" s="615"/>
      <c r="N60" s="620">
        <f t="shared" si="40"/>
        <v>1575.366</v>
      </c>
      <c r="O60" s="615">
        <v>1656.2823627499088</v>
      </c>
      <c r="P60" s="616">
        <v>1742.2435028566517</v>
      </c>
      <c r="Q60" s="616">
        <v>1810.0926889888285</v>
      </c>
      <c r="R60" s="615">
        <f t="shared" si="46"/>
        <v>1.8499318295046123</v>
      </c>
      <c r="S60" s="616">
        <f t="shared" si="47"/>
        <v>1.8499354558498453</v>
      </c>
      <c r="T60" s="616">
        <f t="shared" si="48"/>
        <v>1.8499383181263056</v>
      </c>
      <c r="U60" s="620">
        <f t="shared" si="7"/>
        <v>80.916362749908785</v>
      </c>
      <c r="V60" s="220"/>
      <c r="W60" s="615">
        <f t="shared" si="39"/>
        <v>1656.2823627499088</v>
      </c>
      <c r="X60" s="616">
        <v>1589.5551760000001</v>
      </c>
      <c r="Y60" s="615">
        <f t="shared" si="49"/>
        <v>-66.727186749908697</v>
      </c>
      <c r="Z60" s="621">
        <f t="shared" si="50"/>
        <v>-6.886872873876948E-2</v>
      </c>
      <c r="AA60" s="201"/>
      <c r="AB60" s="196"/>
    </row>
    <row r="61" spans="1:35" s="204" customFormat="1" x14ac:dyDescent="0.2">
      <c r="A61" s="622" t="s">
        <v>564</v>
      </c>
      <c r="B61" s="623"/>
      <c r="C61" s="631">
        <v>14.964381599999999</v>
      </c>
      <c r="D61" s="631">
        <v>0</v>
      </c>
      <c r="E61" s="633">
        <v>0</v>
      </c>
      <c r="F61" s="633">
        <v>0</v>
      </c>
      <c r="G61" s="634">
        <v>0</v>
      </c>
      <c r="H61" s="813">
        <v>14.964381599999999</v>
      </c>
      <c r="I61" s="813">
        <v>14.964381599999999</v>
      </c>
      <c r="J61" s="813">
        <v>14.964381599999999</v>
      </c>
      <c r="K61" s="814">
        <v>14.964381599999999</v>
      </c>
      <c r="L61" s="598"/>
      <c r="M61" s="615"/>
      <c r="N61" s="620">
        <f t="shared" si="40"/>
        <v>14.964381599999999</v>
      </c>
      <c r="O61" s="615">
        <v>15.324093974634863</v>
      </c>
      <c r="P61" s="616">
        <v>15.702350695050617</v>
      </c>
      <c r="Q61" s="616">
        <v>16.10405322141369</v>
      </c>
      <c r="R61" s="615">
        <f t="shared" si="46"/>
        <v>-0.35971237463486361</v>
      </c>
      <c r="S61" s="616">
        <f t="shared" si="47"/>
        <v>-0.7379690950506177</v>
      </c>
      <c r="T61" s="616">
        <f t="shared" si="48"/>
        <v>-1.1396716214136902</v>
      </c>
      <c r="U61" s="620">
        <f t="shared" si="7"/>
        <v>0.35971237463486361</v>
      </c>
      <c r="V61" s="220"/>
      <c r="W61" s="809">
        <f>O61</f>
        <v>15.324093974634863</v>
      </c>
      <c r="X61" s="618">
        <v>14.964381599999999</v>
      </c>
      <c r="Y61" s="809">
        <f>X61-W61</f>
        <v>-0.35971237463486361</v>
      </c>
      <c r="Z61" s="815">
        <f t="shared" si="50"/>
        <v>-3.7125698173902019E-4</v>
      </c>
      <c r="AB61" s="196"/>
    </row>
    <row r="62" spans="1:35" s="206" customFormat="1" x14ac:dyDescent="0.2">
      <c r="A62" s="622" t="s">
        <v>565</v>
      </c>
      <c r="B62" s="623"/>
      <c r="C62" s="631">
        <v>28.881399470000002</v>
      </c>
      <c r="D62" s="631">
        <v>26.537398</v>
      </c>
      <c r="E62" s="633">
        <v>0</v>
      </c>
      <c r="F62" s="633">
        <v>0</v>
      </c>
      <c r="G62" s="634">
        <v>0</v>
      </c>
      <c r="H62" s="813">
        <v>26.537398</v>
      </c>
      <c r="I62" s="813">
        <v>28.881399470000002</v>
      </c>
      <c r="J62" s="813">
        <v>28.881399470000002</v>
      </c>
      <c r="K62" s="814">
        <v>28.881399470000002</v>
      </c>
      <c r="L62" s="598"/>
      <c r="M62" s="631"/>
      <c r="N62" s="620">
        <f t="shared" si="40"/>
        <v>26.537398</v>
      </c>
      <c r="O62" s="631">
        <v>27.175301436732092</v>
      </c>
      <c r="P62" s="633">
        <v>27.846090875558456</v>
      </c>
      <c r="Q62" s="633">
        <v>28.55845842302212</v>
      </c>
      <c r="R62" s="615">
        <f t="shared" si="46"/>
        <v>1.7060980332679101</v>
      </c>
      <c r="S62" s="616">
        <f t="shared" si="47"/>
        <v>1.0353085944415454</v>
      </c>
      <c r="T62" s="616">
        <f t="shared" si="48"/>
        <v>0.32294104697788129</v>
      </c>
      <c r="U62" s="620">
        <f t="shared" si="7"/>
        <v>0.63790343673209193</v>
      </c>
      <c r="V62" s="220"/>
      <c r="W62" s="615">
        <f t="shared" ref="W62:W63" si="52">O62</f>
        <v>27.175301436732092</v>
      </c>
      <c r="X62" s="616">
        <v>28.881399470000002</v>
      </c>
      <c r="Y62" s="615">
        <f t="shared" si="49"/>
        <v>1.7060980332679101</v>
      </c>
      <c r="Z62" s="621">
        <f t="shared" si="50"/>
        <v>1.7608535347856033E-3</v>
      </c>
      <c r="AB62" s="196"/>
      <c r="AD62" s="198"/>
    </row>
    <row r="63" spans="1:35" s="206" customFormat="1" x14ac:dyDescent="0.2">
      <c r="A63" s="622" t="s">
        <v>574</v>
      </c>
      <c r="B63" s="623"/>
      <c r="C63" s="631">
        <v>7.0176400000000001</v>
      </c>
      <c r="D63" s="631">
        <v>14.04</v>
      </c>
      <c r="E63" s="633">
        <v>16.697934</v>
      </c>
      <c r="F63" s="633">
        <v>16.701853</v>
      </c>
      <c r="G63" s="634">
        <v>16.711053</v>
      </c>
      <c r="H63" s="813">
        <v>14.04</v>
      </c>
      <c r="I63" s="813">
        <v>16.697934</v>
      </c>
      <c r="J63" s="813">
        <v>16.701853</v>
      </c>
      <c r="K63" s="814">
        <v>16.711053</v>
      </c>
      <c r="L63" s="598"/>
      <c r="M63" s="631"/>
      <c r="N63" s="620">
        <f t="shared" si="40"/>
        <v>14.04</v>
      </c>
      <c r="O63" s="631">
        <v>14.377492178084625</v>
      </c>
      <c r="P63" s="633">
        <v>14.732383178367401</v>
      </c>
      <c r="Q63" s="633">
        <v>15.109271687421298</v>
      </c>
      <c r="R63" s="615">
        <f t="shared" si="46"/>
        <v>2.3204418219153755</v>
      </c>
      <c r="S63" s="616">
        <f t="shared" si="47"/>
        <v>1.9694698216325985</v>
      </c>
      <c r="T63" s="616">
        <f t="shared" si="48"/>
        <v>1.6017813125787015</v>
      </c>
      <c r="U63" s="620">
        <f t="shared" si="7"/>
        <v>0.33749217808462539</v>
      </c>
      <c r="V63" s="220"/>
      <c r="W63" s="615">
        <f t="shared" si="52"/>
        <v>14.377492178084625</v>
      </c>
      <c r="X63" s="616">
        <v>16.697934</v>
      </c>
      <c r="Y63" s="615">
        <f t="shared" si="49"/>
        <v>2.3204418219153755</v>
      </c>
      <c r="Z63" s="621">
        <f t="shared" si="50"/>
        <v>2.3949140698308353E-3</v>
      </c>
      <c r="AB63" s="196"/>
      <c r="AD63" s="198"/>
    </row>
    <row r="64" spans="1:35" s="204" customFormat="1" x14ac:dyDescent="0.2">
      <c r="A64" s="622" t="s">
        <v>497</v>
      </c>
      <c r="B64" s="623"/>
      <c r="C64" s="620">
        <v>546.54800041000044</v>
      </c>
      <c r="D64" s="615">
        <f t="shared" ref="D64:G64" si="53">D53-SUM(D54:D63)</f>
        <v>508.84160200000042</v>
      </c>
      <c r="E64" s="616">
        <f t="shared" si="53"/>
        <v>532.61712299999999</v>
      </c>
      <c r="F64" s="616">
        <f t="shared" si="53"/>
        <v>549.31390900000042</v>
      </c>
      <c r="G64" s="617">
        <f t="shared" si="53"/>
        <v>559.17653899999959</v>
      </c>
      <c r="H64" s="618">
        <v>495.28060200000039</v>
      </c>
      <c r="I64" s="618">
        <v>558.947498</v>
      </c>
      <c r="J64" s="618">
        <v>571.31932700000038</v>
      </c>
      <c r="K64" s="619">
        <v>580.14696099999958</v>
      </c>
      <c r="L64" s="598"/>
      <c r="M64" s="615"/>
      <c r="N64" s="620">
        <f t="shared" si="40"/>
        <v>495.28060200000039</v>
      </c>
      <c r="O64" s="615">
        <v>507.18610977293804</v>
      </c>
      <c r="P64" s="616">
        <v>519.70538529034798</v>
      </c>
      <c r="Q64" s="616">
        <v>533.00065364156569</v>
      </c>
      <c r="R64" s="615">
        <f t="shared" si="46"/>
        <v>51.761388227061957</v>
      </c>
      <c r="S64" s="616">
        <f t="shared" si="47"/>
        <v>51.613941709652408</v>
      </c>
      <c r="T64" s="616">
        <f t="shared" si="48"/>
        <v>47.146307358433887</v>
      </c>
      <c r="U64" s="620">
        <f t="shared" si="7"/>
        <v>11.905507772937653</v>
      </c>
      <c r="V64" s="220"/>
      <c r="W64" s="615">
        <f t="shared" si="39"/>
        <v>507.18610977293804</v>
      </c>
      <c r="X64" s="616">
        <v>558.947498</v>
      </c>
      <c r="Y64" s="615">
        <f>X64-W64</f>
        <v>51.761388227061957</v>
      </c>
      <c r="Z64" s="621">
        <f t="shared" si="50"/>
        <v>5.3422617954990342E-2</v>
      </c>
      <c r="AB64" s="196"/>
    </row>
    <row r="65" spans="1:35" s="206" customFormat="1" x14ac:dyDescent="0.2">
      <c r="A65" s="479" t="s">
        <v>575</v>
      </c>
      <c r="B65" s="641" t="s">
        <v>576</v>
      </c>
      <c r="C65" s="605">
        <f>4788.6-3647.3</f>
        <v>1141.3000000000002</v>
      </c>
      <c r="D65" s="605">
        <v>1323.1869999999999</v>
      </c>
      <c r="E65" s="637">
        <v>1198.7190000000001</v>
      </c>
      <c r="F65" s="637">
        <v>2064.4760000000001</v>
      </c>
      <c r="G65" s="640">
        <v>2030.6859999999999</v>
      </c>
      <c r="H65" s="609">
        <f>SUM(H66:H75)</f>
        <v>1529.7739361544168</v>
      </c>
      <c r="I65" s="609">
        <f>SUM(I66:I75)</f>
        <v>1907.8514452916338</v>
      </c>
      <c r="J65" s="609">
        <f>SUM(J66:J75)</f>
        <v>1851.0686359436615</v>
      </c>
      <c r="K65" s="636">
        <f>SUM(K66:K75)</f>
        <v>1902.3365707352075</v>
      </c>
      <c r="L65" s="598"/>
      <c r="M65" s="605">
        <f>SUM(M66:M75)</f>
        <v>0</v>
      </c>
      <c r="N65" s="604">
        <f t="shared" si="40"/>
        <v>1529.7739361544168</v>
      </c>
      <c r="O65" s="605">
        <f t="shared" ref="O65:T65" si="54">SUM(O66:O75)</f>
        <v>1847.8582834150643</v>
      </c>
      <c r="P65" s="637">
        <f t="shared" si="54"/>
        <v>1871.3400989966399</v>
      </c>
      <c r="Q65" s="637">
        <f t="shared" si="54"/>
        <v>1930.5670113125439</v>
      </c>
      <c r="R65" s="605">
        <f t="shared" si="54"/>
        <v>59.993161876569218</v>
      </c>
      <c r="S65" s="637">
        <f t="shared" si="54"/>
        <v>-20.271463052978305</v>
      </c>
      <c r="T65" s="637">
        <f t="shared" si="54"/>
        <v>-28.230440577336438</v>
      </c>
      <c r="U65" s="604">
        <f t="shared" si="7"/>
        <v>318.08434726064752</v>
      </c>
      <c r="V65" s="220"/>
      <c r="W65" s="605">
        <f>SUM(W66:W75)</f>
        <v>1847.8582834150643</v>
      </c>
      <c r="X65" s="637">
        <v>1247.0918023300001</v>
      </c>
      <c r="Y65" s="605">
        <f>SUM(Y66:Y75)</f>
        <v>-600.76648108506413</v>
      </c>
      <c r="Z65" s="638">
        <f t="shared" si="50"/>
        <v>-0.62004747744365196</v>
      </c>
      <c r="AB65" s="196"/>
      <c r="AE65" s="201"/>
      <c r="AF65" s="201"/>
      <c r="AG65" s="201"/>
      <c r="AH65" s="201"/>
      <c r="AI65" s="201"/>
    </row>
    <row r="66" spans="1:35" s="206" customFormat="1" x14ac:dyDescent="0.2">
      <c r="A66" s="622" t="s">
        <v>153</v>
      </c>
      <c r="B66" s="641"/>
      <c r="C66" s="615">
        <v>631.81297972000004</v>
      </c>
      <c r="D66" s="615">
        <v>671.005</v>
      </c>
      <c r="E66" s="616">
        <v>298.27499999999998</v>
      </c>
      <c r="F66" s="616">
        <v>1269.7180000000001</v>
      </c>
      <c r="G66" s="617">
        <v>1248.5139999999999</v>
      </c>
      <c r="H66" s="618">
        <v>892.1837238244168</v>
      </c>
      <c r="I66" s="618">
        <v>1087.7635804616332</v>
      </c>
      <c r="J66" s="618">
        <v>1040.4836211136615</v>
      </c>
      <c r="K66" s="619">
        <v>1091.7917684052074</v>
      </c>
      <c r="L66" s="598"/>
      <c r="M66" s="615"/>
      <c r="N66" s="620">
        <f t="shared" si="40"/>
        <v>892.1837238244168</v>
      </c>
      <c r="O66" s="615">
        <f>O78+O89+O141+O173+O117</f>
        <v>1087.7635804616332</v>
      </c>
      <c r="P66" s="616">
        <f>P78+P89+P141+P173+P117</f>
        <v>1040.4836211136615</v>
      </c>
      <c r="Q66" s="616">
        <f>Q78+Q89+Q141+Q173+Q117</f>
        <v>1091.7917684052072</v>
      </c>
      <c r="R66" s="615">
        <f t="shared" ref="R66:R75" si="55">I66-O66</f>
        <v>0</v>
      </c>
      <c r="S66" s="616">
        <f t="shared" ref="S66:S75" si="56">J66-P66</f>
        <v>0</v>
      </c>
      <c r="T66" s="616">
        <f t="shared" ref="T66:T75" si="57">K66-Q66</f>
        <v>0</v>
      </c>
      <c r="U66" s="620">
        <f t="shared" si="7"/>
        <v>195.57985663721638</v>
      </c>
      <c r="V66" s="220"/>
      <c r="W66" s="615">
        <f t="shared" ref="W66:W75" si="58">O66</f>
        <v>1087.7635804616332</v>
      </c>
      <c r="X66" s="616">
        <v>298.27499999999998</v>
      </c>
      <c r="Y66" s="615">
        <f t="shared" si="8"/>
        <v>-789.48858046163321</v>
      </c>
      <c r="Z66" s="621">
        <f t="shared" si="50"/>
        <v>-0.81482642290839258</v>
      </c>
      <c r="AB66" s="196"/>
      <c r="AE66" s="201"/>
      <c r="AF66" s="201"/>
      <c r="AG66" s="201"/>
      <c r="AH66" s="201"/>
      <c r="AI66" s="201"/>
    </row>
    <row r="67" spans="1:35" s="206" customFormat="1" x14ac:dyDescent="0.2">
      <c r="A67" s="622" t="s">
        <v>577</v>
      </c>
      <c r="B67" s="641"/>
      <c r="C67" s="615">
        <v>57.114598630000003</v>
      </c>
      <c r="D67" s="615">
        <v>57.734000000000002</v>
      </c>
      <c r="E67" s="616">
        <v>108.6542</v>
      </c>
      <c r="F67" s="616">
        <v>112.03100000000001</v>
      </c>
      <c r="G67" s="617">
        <v>112.03100000000001</v>
      </c>
      <c r="H67" s="618">
        <v>61.091999999999999</v>
      </c>
      <c r="I67" s="618">
        <v>85.925262500000002</v>
      </c>
      <c r="J67" s="618">
        <v>107.4852125</v>
      </c>
      <c r="K67" s="619">
        <v>112.03100000000001</v>
      </c>
      <c r="L67" s="598"/>
      <c r="M67" s="615"/>
      <c r="N67" s="620">
        <f t="shared" si="40"/>
        <v>61.091999999999999</v>
      </c>
      <c r="O67" s="615">
        <f>I67</f>
        <v>85.925262500000002</v>
      </c>
      <c r="P67" s="616">
        <f>J67</f>
        <v>107.4852125</v>
      </c>
      <c r="Q67" s="616">
        <f>K67</f>
        <v>112.03100000000001</v>
      </c>
      <c r="R67" s="615">
        <f t="shared" si="55"/>
        <v>0</v>
      </c>
      <c r="S67" s="616">
        <f t="shared" si="56"/>
        <v>0</v>
      </c>
      <c r="T67" s="616">
        <f t="shared" si="57"/>
        <v>0</v>
      </c>
      <c r="U67" s="620">
        <f t="shared" si="7"/>
        <v>24.833262500000004</v>
      </c>
      <c r="V67" s="220"/>
      <c r="W67" s="615">
        <f t="shared" si="58"/>
        <v>85.925262500000002</v>
      </c>
      <c r="X67" s="616">
        <v>108.6542</v>
      </c>
      <c r="Y67" s="615">
        <f t="shared" si="8"/>
        <v>22.728937500000001</v>
      </c>
      <c r="Z67" s="621">
        <f t="shared" si="50"/>
        <v>2.3458399903396005E-2</v>
      </c>
      <c r="AB67" s="196"/>
      <c r="AE67" s="201"/>
      <c r="AF67" s="201"/>
      <c r="AG67" s="201"/>
      <c r="AH67" s="201"/>
      <c r="AI67" s="201"/>
    </row>
    <row r="68" spans="1:35" s="206" customFormat="1" x14ac:dyDescent="0.2">
      <c r="A68" s="622" t="s">
        <v>578</v>
      </c>
      <c r="B68" s="641"/>
      <c r="C68" s="615">
        <v>10.200183000000001</v>
      </c>
      <c r="D68" s="615">
        <v>0</v>
      </c>
      <c r="E68" s="616">
        <v>94.065982000000005</v>
      </c>
      <c r="F68" s="616">
        <v>139.45136400000001</v>
      </c>
      <c r="G68" s="617">
        <v>139.45136400000001</v>
      </c>
      <c r="H68" s="618">
        <v>0</v>
      </c>
      <c r="I68" s="618">
        <v>94.065982000000005</v>
      </c>
      <c r="J68" s="618">
        <v>139.45136400000001</v>
      </c>
      <c r="K68" s="619">
        <v>139.45136400000001</v>
      </c>
      <c r="L68" s="598"/>
      <c r="M68" s="615"/>
      <c r="N68" s="620">
        <f t="shared" si="40"/>
        <v>0</v>
      </c>
      <c r="O68" s="615">
        <f>O148</f>
        <v>94.065982000000005</v>
      </c>
      <c r="P68" s="616">
        <f t="shared" ref="P68:Q68" si="59">P148</f>
        <v>139.45136399999998</v>
      </c>
      <c r="Q68" s="616">
        <f t="shared" si="59"/>
        <v>139.45136399999998</v>
      </c>
      <c r="R68" s="615">
        <f t="shared" si="55"/>
        <v>0</v>
      </c>
      <c r="S68" s="616">
        <f t="shared" si="56"/>
        <v>0</v>
      </c>
      <c r="T68" s="616">
        <f t="shared" si="57"/>
        <v>0</v>
      </c>
      <c r="U68" s="620">
        <f t="shared" si="7"/>
        <v>94.065982000000005</v>
      </c>
      <c r="V68" s="220"/>
      <c r="W68" s="615">
        <f t="shared" si="58"/>
        <v>94.065982000000005</v>
      </c>
      <c r="X68" s="616">
        <v>94.065982000000005</v>
      </c>
      <c r="Y68" s="615">
        <f t="shared" si="8"/>
        <v>0</v>
      </c>
      <c r="Z68" s="621">
        <f t="shared" si="50"/>
        <v>0</v>
      </c>
      <c r="AB68" s="196"/>
      <c r="AE68" s="201"/>
      <c r="AF68" s="201"/>
      <c r="AG68" s="201"/>
      <c r="AH68" s="201"/>
      <c r="AI68" s="201"/>
    </row>
    <row r="69" spans="1:35" s="206" customFormat="1" x14ac:dyDescent="0.2">
      <c r="A69" s="622" t="s">
        <v>562</v>
      </c>
      <c r="B69" s="623"/>
      <c r="C69" s="615">
        <v>43.7153803</v>
      </c>
      <c r="D69" s="615">
        <f>24.355+53.151+10</f>
        <v>87.506</v>
      </c>
      <c r="E69" s="616">
        <v>82.239801999999997</v>
      </c>
      <c r="F69" s="616">
        <v>42.968933</v>
      </c>
      <c r="G69" s="617">
        <v>39.459971000000003</v>
      </c>
      <c r="H69" s="618">
        <v>45.703000000000003</v>
      </c>
      <c r="I69" s="618">
        <v>82.239801999999997</v>
      </c>
      <c r="J69" s="618">
        <v>42.968933</v>
      </c>
      <c r="K69" s="619">
        <v>39.459971000000003</v>
      </c>
      <c r="L69" s="598"/>
      <c r="M69" s="615"/>
      <c r="N69" s="620">
        <f t="shared" si="40"/>
        <v>45.703000000000003</v>
      </c>
      <c r="O69" s="615">
        <v>48.050467526123505</v>
      </c>
      <c r="P69" s="616">
        <v>50.544289270593346</v>
      </c>
      <c r="Q69" s="616">
        <v>52.512664463278014</v>
      </c>
      <c r="R69" s="615">
        <f t="shared" si="55"/>
        <v>34.189334473876492</v>
      </c>
      <c r="S69" s="616">
        <f t="shared" si="56"/>
        <v>-7.5753562705933462</v>
      </c>
      <c r="T69" s="616">
        <f t="shared" si="57"/>
        <v>-13.052693463278011</v>
      </c>
      <c r="U69" s="620">
        <f t="shared" si="7"/>
        <v>2.3474675261235021</v>
      </c>
      <c r="V69" s="220"/>
      <c r="W69" s="615">
        <f t="shared" si="58"/>
        <v>48.050467526123505</v>
      </c>
      <c r="X69" s="616">
        <v>82.239801999999997</v>
      </c>
      <c r="Y69" s="615">
        <f t="shared" si="8"/>
        <v>34.189334473876492</v>
      </c>
      <c r="Z69" s="621">
        <f t="shared" si="50"/>
        <v>3.5286606798894928E-2</v>
      </c>
      <c r="AA69" s="201"/>
      <c r="AB69" s="196"/>
    </row>
    <row r="70" spans="1:35" s="206" customFormat="1" x14ac:dyDescent="0.2">
      <c r="A70" s="622" t="s">
        <v>564</v>
      </c>
      <c r="B70" s="623"/>
      <c r="C70" s="631">
        <v>16.996165430000001</v>
      </c>
      <c r="D70" s="631">
        <v>0</v>
      </c>
      <c r="E70" s="633">
        <v>0</v>
      </c>
      <c r="F70" s="633">
        <v>0</v>
      </c>
      <c r="G70" s="634">
        <v>0</v>
      </c>
      <c r="H70" s="813">
        <v>16.996165430000001</v>
      </c>
      <c r="I70" s="813">
        <v>16.996165430000001</v>
      </c>
      <c r="J70" s="813">
        <v>16.996165430000001</v>
      </c>
      <c r="K70" s="814">
        <v>16.996165430000001</v>
      </c>
      <c r="L70" s="598"/>
      <c r="M70" s="631"/>
      <c r="N70" s="620">
        <f t="shared" si="40"/>
        <v>16.996165430000001</v>
      </c>
      <c r="O70" s="631">
        <v>17.404717630146532</v>
      </c>
      <c r="P70" s="633">
        <v>17.834332028324898</v>
      </c>
      <c r="Q70" s="633">
        <v>18.290575578791142</v>
      </c>
      <c r="R70" s="631">
        <f t="shared" si="55"/>
        <v>-0.40855220014653071</v>
      </c>
      <c r="S70" s="633">
        <f t="shared" si="56"/>
        <v>-0.83816659832489648</v>
      </c>
      <c r="T70" s="633">
        <f t="shared" si="57"/>
        <v>-1.2944101487911404</v>
      </c>
      <c r="U70" s="635">
        <f t="shared" si="7"/>
        <v>0.40855220014653071</v>
      </c>
      <c r="V70" s="220"/>
      <c r="W70" s="615">
        <f t="shared" si="58"/>
        <v>17.404717630146532</v>
      </c>
      <c r="X70" s="616">
        <v>16.996165430000001</v>
      </c>
      <c r="Y70" s="615">
        <f t="shared" si="8"/>
        <v>-0.40855220014653071</v>
      </c>
      <c r="Z70" s="621">
        <f t="shared" si="50"/>
        <v>-4.216642723598321E-4</v>
      </c>
      <c r="AB70" s="196"/>
    </row>
    <row r="71" spans="1:35" s="206" customFormat="1" x14ac:dyDescent="0.2">
      <c r="A71" s="622" t="s">
        <v>565</v>
      </c>
      <c r="B71" s="623"/>
      <c r="C71" s="631">
        <v>31.376636899999998</v>
      </c>
      <c r="D71" s="631">
        <v>2.2435900000000002</v>
      </c>
      <c r="E71" s="633">
        <v>0</v>
      </c>
      <c r="F71" s="633">
        <v>0</v>
      </c>
      <c r="G71" s="634">
        <v>0</v>
      </c>
      <c r="H71" s="813">
        <v>31.376636899999998</v>
      </c>
      <c r="I71" s="813">
        <v>31.376636899999998</v>
      </c>
      <c r="J71" s="813">
        <v>31.376636899999998</v>
      </c>
      <c r="K71" s="814">
        <v>31.376636899999998</v>
      </c>
      <c r="L71" s="598"/>
      <c r="M71" s="631"/>
      <c r="N71" s="620">
        <f t="shared" si="40"/>
        <v>31.376636899999998</v>
      </c>
      <c r="O71" s="631">
        <v>32.130865498885427</v>
      </c>
      <c r="P71" s="633">
        <v>32.923977041260819</v>
      </c>
      <c r="Q71" s="633">
        <v>33.766248686586067</v>
      </c>
      <c r="R71" s="631">
        <f t="shared" si="55"/>
        <v>-0.75422859888542959</v>
      </c>
      <c r="S71" s="633">
        <f t="shared" si="56"/>
        <v>-1.5473401412608219</v>
      </c>
      <c r="T71" s="633">
        <f t="shared" si="57"/>
        <v>-2.3896117865860695</v>
      </c>
      <c r="U71" s="635">
        <f t="shared" si="7"/>
        <v>0.75422859888542959</v>
      </c>
      <c r="V71" s="220"/>
      <c r="W71" s="615">
        <f t="shared" si="58"/>
        <v>32.130865498885427</v>
      </c>
      <c r="X71" s="616">
        <v>31.376636899999998</v>
      </c>
      <c r="Y71" s="615">
        <f t="shared" si="8"/>
        <v>-0.75422859888542959</v>
      </c>
      <c r="Z71" s="621">
        <f t="shared" si="50"/>
        <v>-7.7843480766456711E-4</v>
      </c>
      <c r="AB71" s="196"/>
    </row>
    <row r="72" spans="1:35" s="206" customFormat="1" x14ac:dyDescent="0.2">
      <c r="A72" s="622" t="s">
        <v>574</v>
      </c>
      <c r="B72" s="623"/>
      <c r="C72" s="631">
        <v>66.786389850000006</v>
      </c>
      <c r="D72" s="631">
        <v>3.952</v>
      </c>
      <c r="E72" s="633">
        <v>3.883696</v>
      </c>
      <c r="F72" s="633">
        <v>3.5571830000000002</v>
      </c>
      <c r="G72" s="634">
        <v>3.5478130000000001</v>
      </c>
      <c r="H72" s="813">
        <v>3.952</v>
      </c>
      <c r="I72" s="813">
        <v>3.883696</v>
      </c>
      <c r="J72" s="813">
        <v>3.5571830000000002</v>
      </c>
      <c r="K72" s="814">
        <v>3.5478130000000001</v>
      </c>
      <c r="L72" s="598"/>
      <c r="M72" s="631"/>
      <c r="N72" s="620">
        <f t="shared" si="40"/>
        <v>3.952</v>
      </c>
      <c r="O72" s="631">
        <v>4.0469977982756724</v>
      </c>
      <c r="P72" s="633">
        <v>4.1468930427997135</v>
      </c>
      <c r="Q72" s="633">
        <v>4.2529801786815513</v>
      </c>
      <c r="R72" s="631">
        <f t="shared" si="55"/>
        <v>-0.16330179827567237</v>
      </c>
      <c r="S72" s="633">
        <f t="shared" si="56"/>
        <v>-0.58971004279971329</v>
      </c>
      <c r="T72" s="633">
        <f t="shared" si="57"/>
        <v>-0.70516717868155121</v>
      </c>
      <c r="U72" s="635">
        <f t="shared" si="7"/>
        <v>9.4997798275672451E-2</v>
      </c>
      <c r="V72" s="220"/>
      <c r="W72" s="615">
        <f t="shared" si="58"/>
        <v>4.0469977982756724</v>
      </c>
      <c r="X72" s="616">
        <v>3.883696</v>
      </c>
      <c r="Y72" s="615">
        <f t="shared" si="8"/>
        <v>-0.16330179827567237</v>
      </c>
      <c r="Z72" s="621">
        <f t="shared" si="50"/>
        <v>-1.6854280535086281E-4</v>
      </c>
      <c r="AB72" s="196"/>
    </row>
    <row r="73" spans="1:35" s="206" customFormat="1" x14ac:dyDescent="0.2">
      <c r="A73" s="622" t="s">
        <v>579</v>
      </c>
      <c r="B73" s="641"/>
      <c r="C73" s="615">
        <v>64.031867919999996</v>
      </c>
      <c r="D73" s="615">
        <v>21.956</v>
      </c>
      <c r="E73" s="616">
        <v>23.558949999999999</v>
      </c>
      <c r="F73" s="616">
        <v>22.429299</v>
      </c>
      <c r="G73" s="617">
        <v>21.741543</v>
      </c>
      <c r="H73" s="618">
        <v>42.558999999999997</v>
      </c>
      <c r="I73" s="618">
        <v>23.558949999999999</v>
      </c>
      <c r="J73" s="618">
        <v>22.429299</v>
      </c>
      <c r="K73" s="619">
        <v>21.741543</v>
      </c>
      <c r="L73" s="598"/>
      <c r="M73" s="615"/>
      <c r="N73" s="620">
        <f t="shared" si="40"/>
        <v>42.558999999999997</v>
      </c>
      <c r="O73" s="615">
        <f>N73</f>
        <v>42.558999999999997</v>
      </c>
      <c r="P73" s="616">
        <f t="shared" ref="P73:Q75" si="60">O73</f>
        <v>42.558999999999997</v>
      </c>
      <c r="Q73" s="616">
        <f t="shared" si="60"/>
        <v>42.558999999999997</v>
      </c>
      <c r="R73" s="615">
        <f t="shared" si="55"/>
        <v>-19.000049999999998</v>
      </c>
      <c r="S73" s="616">
        <f t="shared" si="56"/>
        <v>-20.129700999999997</v>
      </c>
      <c r="T73" s="616">
        <f t="shared" si="57"/>
        <v>-20.817456999999997</v>
      </c>
      <c r="U73" s="620">
        <f t="shared" si="7"/>
        <v>0</v>
      </c>
      <c r="V73" s="220"/>
      <c r="W73" s="615">
        <f t="shared" si="58"/>
        <v>42.558999999999997</v>
      </c>
      <c r="X73" s="616">
        <v>23.558949999999999</v>
      </c>
      <c r="Y73" s="615">
        <f t="shared" si="8"/>
        <v>-19.000049999999998</v>
      </c>
      <c r="Z73" s="621">
        <f t="shared" si="50"/>
        <v>-1.9609837507121447E-2</v>
      </c>
      <c r="AB73" s="196"/>
      <c r="AE73" s="201"/>
      <c r="AF73" s="201"/>
      <c r="AG73" s="201"/>
      <c r="AH73" s="201"/>
      <c r="AI73" s="201"/>
    </row>
    <row r="74" spans="1:35" s="206" customFormat="1" x14ac:dyDescent="0.2">
      <c r="A74" s="622" t="s">
        <v>667</v>
      </c>
      <c r="B74" s="641"/>
      <c r="C74" s="615">
        <v>189.93925732</v>
      </c>
      <c r="D74" s="615">
        <v>207.57499999999999</v>
      </c>
      <c r="E74" s="618">
        <f>270.096715+106</f>
        <v>376.09671500000002</v>
      </c>
      <c r="F74" s="616">
        <f>234.743638+28</f>
        <v>262.74363800000003</v>
      </c>
      <c r="G74" s="617">
        <f>233.220664+20</f>
        <v>253.220664</v>
      </c>
      <c r="H74" s="618">
        <v>217.922</v>
      </c>
      <c r="I74" s="618">
        <v>270.09671500000002</v>
      </c>
      <c r="J74" s="618">
        <v>234.743638</v>
      </c>
      <c r="K74" s="619">
        <v>233.220664</v>
      </c>
      <c r="L74" s="598"/>
      <c r="M74" s="615"/>
      <c r="N74" s="620">
        <f t="shared" si="40"/>
        <v>217.922</v>
      </c>
      <c r="O74" s="615">
        <f>N74</f>
        <v>217.922</v>
      </c>
      <c r="P74" s="616">
        <f t="shared" si="60"/>
        <v>217.922</v>
      </c>
      <c r="Q74" s="616">
        <f t="shared" si="60"/>
        <v>217.922</v>
      </c>
      <c r="R74" s="615">
        <f t="shared" si="55"/>
        <v>52.17471500000002</v>
      </c>
      <c r="S74" s="616">
        <f t="shared" si="56"/>
        <v>16.821638000000007</v>
      </c>
      <c r="T74" s="616">
        <f t="shared" si="57"/>
        <v>15.298664000000002</v>
      </c>
      <c r="U74" s="620">
        <f t="shared" si="7"/>
        <v>0</v>
      </c>
      <c r="V74" s="220"/>
      <c r="W74" s="615">
        <f t="shared" si="58"/>
        <v>217.922</v>
      </c>
      <c r="X74" s="616">
        <f>270.096715+106</f>
        <v>376.09671500000002</v>
      </c>
      <c r="Y74" s="615">
        <f t="shared" si="8"/>
        <v>158.17471500000002</v>
      </c>
      <c r="Z74" s="621">
        <f t="shared" si="50"/>
        <v>0.16325117349087218</v>
      </c>
      <c r="AB74" s="196"/>
      <c r="AE74" s="201"/>
      <c r="AF74" s="201"/>
      <c r="AG74" s="201"/>
      <c r="AH74" s="201"/>
      <c r="AI74" s="201"/>
    </row>
    <row r="75" spans="1:35" s="206" customFormat="1" x14ac:dyDescent="0.2">
      <c r="A75" s="816" t="s">
        <v>497</v>
      </c>
      <c r="B75" s="817"/>
      <c r="C75" s="642">
        <v>29.326540930000192</v>
      </c>
      <c r="D75" s="643">
        <f>D65-SUM(D66:D74)</f>
        <v>271.21540999999979</v>
      </c>
      <c r="E75" s="644">
        <f>E65-SUM(E66:E74)</f>
        <v>211.94465500000013</v>
      </c>
      <c r="F75" s="644">
        <f>F65-SUM(F66:F74)</f>
        <v>211.57658300000003</v>
      </c>
      <c r="G75" s="645">
        <f>G65-SUM(G66:G74)</f>
        <v>212.71964500000013</v>
      </c>
      <c r="H75" s="646">
        <v>217.98940999999979</v>
      </c>
      <c r="I75" s="646">
        <v>211.94465500000013</v>
      </c>
      <c r="J75" s="646">
        <v>211.57658300000026</v>
      </c>
      <c r="K75" s="647">
        <v>212.71964500000013</v>
      </c>
      <c r="L75" s="598"/>
      <c r="M75" s="643"/>
      <c r="N75" s="642">
        <f t="shared" si="40"/>
        <v>217.98940999999979</v>
      </c>
      <c r="O75" s="643">
        <f>N75</f>
        <v>217.98940999999979</v>
      </c>
      <c r="P75" s="644">
        <f>N75</f>
        <v>217.98940999999979</v>
      </c>
      <c r="Q75" s="644">
        <f t="shared" si="60"/>
        <v>217.98940999999979</v>
      </c>
      <c r="R75" s="643">
        <f t="shared" si="55"/>
        <v>-6.0447549999996681</v>
      </c>
      <c r="S75" s="644">
        <f t="shared" si="56"/>
        <v>-6.4128269999995382</v>
      </c>
      <c r="T75" s="644">
        <f t="shared" si="57"/>
        <v>-5.2697649999996656</v>
      </c>
      <c r="U75" s="642">
        <f t="shared" si="7"/>
        <v>0</v>
      </c>
      <c r="V75" s="220"/>
      <c r="W75" s="643">
        <f t="shared" si="58"/>
        <v>217.98940999999979</v>
      </c>
      <c r="X75" s="644">
        <v>211.94465500000013</v>
      </c>
      <c r="Y75" s="643">
        <f>X75-W75</f>
        <v>-6.0447549999996681</v>
      </c>
      <c r="Z75" s="648">
        <f t="shared" si="50"/>
        <v>-6.2387553359256123E-3</v>
      </c>
      <c r="AA75" s="201"/>
      <c r="AB75" s="196"/>
    </row>
    <row r="76" spans="1:35" s="204" customFormat="1" x14ac:dyDescent="0.2">
      <c r="A76" s="818" t="s">
        <v>580</v>
      </c>
      <c r="B76" s="819" t="s">
        <v>419</v>
      </c>
      <c r="C76" s="820">
        <f t="shared" ref="C76:K76" si="61">C77+C88+C108+C126+C132+C140+C160+C172</f>
        <v>34103.160000000003</v>
      </c>
      <c r="D76" s="821">
        <f t="shared" si="61"/>
        <v>35930.9</v>
      </c>
      <c r="E76" s="821">
        <f t="shared" si="61"/>
        <v>37258.226000000002</v>
      </c>
      <c r="F76" s="821">
        <f t="shared" si="61"/>
        <v>39744.764999999999</v>
      </c>
      <c r="G76" s="822">
        <f t="shared" si="61"/>
        <v>40858.275999999998</v>
      </c>
      <c r="H76" s="821">
        <f t="shared" si="61"/>
        <v>36608.475598026962</v>
      </c>
      <c r="I76" s="821">
        <f t="shared" si="61"/>
        <v>38461.045725626434</v>
      </c>
      <c r="J76" s="821">
        <f t="shared" si="61"/>
        <v>40183.831537163293</v>
      </c>
      <c r="K76" s="822">
        <f t="shared" si="61"/>
        <v>41398.32496441777</v>
      </c>
      <c r="L76" s="598"/>
      <c r="M76" s="823">
        <f t="shared" ref="M76:T76" si="62">M77+M88+M108+M126+M132+M140+M160+M172</f>
        <v>-298.37430000000006</v>
      </c>
      <c r="N76" s="820">
        <f t="shared" si="62"/>
        <v>36310.101298026966</v>
      </c>
      <c r="O76" s="823">
        <f t="shared" si="62"/>
        <v>38052.462525912939</v>
      </c>
      <c r="P76" s="821">
        <f t="shared" si="62"/>
        <v>39629.596203107329</v>
      </c>
      <c r="Q76" s="821">
        <f t="shared" si="62"/>
        <v>41147.268157560116</v>
      </c>
      <c r="R76" s="823">
        <f t="shared" si="62"/>
        <v>408.58319971350375</v>
      </c>
      <c r="S76" s="821">
        <f t="shared" si="62"/>
        <v>554.23533405595106</v>
      </c>
      <c r="T76" s="821">
        <f t="shared" si="62"/>
        <v>251.0568068576589</v>
      </c>
      <c r="U76" s="820">
        <f t="shared" ref="U76:U141" si="63">O76-N76</f>
        <v>1742.3612278859728</v>
      </c>
      <c r="V76" s="220"/>
      <c r="W76" s="823">
        <f>W77+W88+W108+W126+W132+W140+W160+W172</f>
        <v>38052.462525912939</v>
      </c>
      <c r="X76" s="821">
        <v>37381.219027751416</v>
      </c>
      <c r="Y76" s="823">
        <f t="shared" si="8"/>
        <v>-671.24349816152244</v>
      </c>
      <c r="Z76" s="824">
        <f t="shared" si="50"/>
        <v>-0.69278638354421329</v>
      </c>
      <c r="AA76" s="205"/>
      <c r="AB76" s="196"/>
    </row>
    <row r="77" spans="1:35" s="206" customFormat="1" x14ac:dyDescent="0.2">
      <c r="A77" s="479" t="s">
        <v>409</v>
      </c>
      <c r="B77" s="641" t="s">
        <v>581</v>
      </c>
      <c r="C77" s="649">
        <v>7803.6</v>
      </c>
      <c r="D77" s="825">
        <v>8225.7000000000007</v>
      </c>
      <c r="E77" s="826">
        <f>8634.352+265.748</f>
        <v>8900.1</v>
      </c>
      <c r="F77" s="826">
        <f>9244.808+528.492</f>
        <v>9773.3000000000011</v>
      </c>
      <c r="G77" s="827">
        <f>9511.18+582.02</f>
        <v>10093.200000000001</v>
      </c>
      <c r="H77" s="828">
        <f>SUM(H78:H87)</f>
        <v>8338.4661796360051</v>
      </c>
      <c r="I77" s="828">
        <f t="shared" ref="I77:K77" si="64">SUM(I78:I87)</f>
        <v>9259.9463895290428</v>
      </c>
      <c r="J77" s="828">
        <f t="shared" si="64"/>
        <v>10142.341962191342</v>
      </c>
      <c r="K77" s="827">
        <f t="shared" si="64"/>
        <v>10543.871175506754</v>
      </c>
      <c r="L77" s="598"/>
      <c r="M77" s="605">
        <f>SUM(M78:M87)</f>
        <v>0</v>
      </c>
      <c r="N77" s="604">
        <f t="shared" ref="N77:N108" si="65">H77+M77</f>
        <v>8338.4661796360051</v>
      </c>
      <c r="O77" s="605">
        <f t="shared" ref="O77:T77" si="66">SUM(O78:O87)</f>
        <v>8812.1867605134648</v>
      </c>
      <c r="P77" s="637">
        <f t="shared" si="66"/>
        <v>9315.7208606756212</v>
      </c>
      <c r="Q77" s="637">
        <f t="shared" si="66"/>
        <v>9805.6205247020771</v>
      </c>
      <c r="R77" s="605">
        <f t="shared" si="66"/>
        <v>447.75962901557773</v>
      </c>
      <c r="S77" s="637">
        <f t="shared" si="66"/>
        <v>826.62110151572119</v>
      </c>
      <c r="T77" s="637">
        <f t="shared" si="66"/>
        <v>738.25065080467789</v>
      </c>
      <c r="U77" s="604">
        <f t="shared" si="63"/>
        <v>473.72058087745972</v>
      </c>
      <c r="V77" s="424"/>
      <c r="W77" s="605">
        <f>SUM(W78:W87)</f>
        <v>8812.1867605134648</v>
      </c>
      <c r="X77" s="637">
        <v>8970.2744687096329</v>
      </c>
      <c r="Y77" s="605">
        <f>SUM(Y78:Y87)</f>
        <v>158.08770819616609</v>
      </c>
      <c r="Z77" s="638">
        <f t="shared" si="50"/>
        <v>0.16316137429112285</v>
      </c>
      <c r="AA77" s="650"/>
      <c r="AB77" s="196"/>
    </row>
    <row r="78" spans="1:35" s="204" customFormat="1" x14ac:dyDescent="0.2">
      <c r="A78" s="622" t="s">
        <v>153</v>
      </c>
      <c r="B78" s="641"/>
      <c r="C78" s="620">
        <v>93.520026597627009</v>
      </c>
      <c r="D78" s="616">
        <v>103.08600000000001</v>
      </c>
      <c r="E78" s="616">
        <v>2.0956000000000001</v>
      </c>
      <c r="F78" s="616">
        <v>39.559055000000001</v>
      </c>
      <c r="G78" s="617">
        <v>42.101931999999998</v>
      </c>
      <c r="H78" s="618">
        <v>153.17698024806305</v>
      </c>
      <c r="I78" s="618">
        <v>162.12106253717872</v>
      </c>
      <c r="J78" s="618">
        <v>171.62977342127428</v>
      </c>
      <c r="K78" s="619">
        <v>181.0589207854072</v>
      </c>
      <c r="L78" s="598"/>
      <c r="M78" s="615"/>
      <c r="N78" s="620">
        <f t="shared" si="65"/>
        <v>153.17698024806305</v>
      </c>
      <c r="O78" s="615">
        <f t="shared" ref="O78:Q79" si="67">I78</f>
        <v>162.12106253717872</v>
      </c>
      <c r="P78" s="616">
        <f t="shared" si="67"/>
        <v>171.62977342127428</v>
      </c>
      <c r="Q78" s="616">
        <f t="shared" si="67"/>
        <v>181.0589207854072</v>
      </c>
      <c r="R78" s="615">
        <f t="shared" ref="R78:R87" si="68">I78-O78</f>
        <v>0</v>
      </c>
      <c r="S78" s="616">
        <f t="shared" ref="S78:S87" si="69">J78-P78</f>
        <v>0</v>
      </c>
      <c r="T78" s="616">
        <f t="shared" ref="T78:T87" si="70">K78-Q78</f>
        <v>0</v>
      </c>
      <c r="U78" s="620">
        <f t="shared" si="63"/>
        <v>8.9440822891156699</v>
      </c>
      <c r="V78" s="220"/>
      <c r="W78" s="615">
        <f t="shared" ref="W78:W87" si="71">O78</f>
        <v>162.12106253717872</v>
      </c>
      <c r="X78" s="616">
        <v>2.0956000000000001</v>
      </c>
      <c r="Y78" s="615">
        <f t="shared" si="8"/>
        <v>-160.02546253717873</v>
      </c>
      <c r="Z78" s="621">
        <f t="shared" si="50"/>
        <v>-0.16516131891000421</v>
      </c>
      <c r="AB78" s="196"/>
    </row>
    <row r="79" spans="1:35" s="204" customFormat="1" x14ac:dyDescent="0.2">
      <c r="A79" s="622" t="s">
        <v>117</v>
      </c>
      <c r="B79" s="641"/>
      <c r="C79" s="615">
        <v>28.861501926948598</v>
      </c>
      <c r="D79" s="615">
        <v>19.771999999999998</v>
      </c>
      <c r="E79" s="616">
        <v>0</v>
      </c>
      <c r="F79" s="616">
        <v>4.8875000000000002</v>
      </c>
      <c r="G79" s="617">
        <v>5.056</v>
      </c>
      <c r="H79" s="618">
        <v>30.35249038076654</v>
      </c>
      <c r="I79" s="618">
        <v>32.124787831764245</v>
      </c>
      <c r="J79" s="618">
        <v>34.008968177764046</v>
      </c>
      <c r="K79" s="619">
        <v>35.877382767248641</v>
      </c>
      <c r="L79" s="598"/>
      <c r="M79" s="615"/>
      <c r="N79" s="620">
        <f t="shared" si="65"/>
        <v>30.35249038076654</v>
      </c>
      <c r="O79" s="615">
        <f t="shared" si="67"/>
        <v>32.124787831764245</v>
      </c>
      <c r="P79" s="616">
        <f t="shared" si="67"/>
        <v>34.008968177764046</v>
      </c>
      <c r="Q79" s="616">
        <f t="shared" si="67"/>
        <v>35.877382767248641</v>
      </c>
      <c r="R79" s="615">
        <f t="shared" si="68"/>
        <v>0</v>
      </c>
      <c r="S79" s="616">
        <f t="shared" si="69"/>
        <v>0</v>
      </c>
      <c r="T79" s="616">
        <f t="shared" si="70"/>
        <v>0</v>
      </c>
      <c r="U79" s="620">
        <f t="shared" si="63"/>
        <v>1.772297450997705</v>
      </c>
      <c r="V79" s="220"/>
      <c r="W79" s="615">
        <f t="shared" si="71"/>
        <v>32.124787831764245</v>
      </c>
      <c r="X79" s="616">
        <v>0</v>
      </c>
      <c r="Y79" s="615">
        <f t="shared" si="8"/>
        <v>-32.124787831764245</v>
      </c>
      <c r="Z79" s="621">
        <f t="shared" si="50"/>
        <v>-3.3155800607453621E-2</v>
      </c>
      <c r="AB79" s="196"/>
    </row>
    <row r="80" spans="1:35" s="204" customFormat="1" x14ac:dyDescent="0.2">
      <c r="A80" s="622" t="s">
        <v>472</v>
      </c>
      <c r="B80" s="623"/>
      <c r="C80" s="615">
        <v>189.23599999999999</v>
      </c>
      <c r="D80" s="615">
        <v>166.386</v>
      </c>
      <c r="E80" s="616">
        <f>E40</f>
        <v>173.96700000000001</v>
      </c>
      <c r="F80" s="616">
        <f>F40</f>
        <v>176.489</v>
      </c>
      <c r="G80" s="617">
        <f>G40</f>
        <v>176.24700000000001</v>
      </c>
      <c r="H80" s="618">
        <v>202.07084245327502</v>
      </c>
      <c r="I80" s="618">
        <v>206.92787616573162</v>
      </c>
      <c r="J80" s="618">
        <v>212.03602888097771</v>
      </c>
      <c r="K80" s="619">
        <v>217.46031702083741</v>
      </c>
      <c r="L80" s="598"/>
      <c r="M80" s="615"/>
      <c r="N80" s="620">
        <f t="shared" si="65"/>
        <v>202.07084245327502</v>
      </c>
      <c r="O80" s="615">
        <f>O119</f>
        <v>206.9282020506362</v>
      </c>
      <c r="P80" s="616">
        <f>P119</f>
        <v>212.03597437301698</v>
      </c>
      <c r="Q80" s="616">
        <f>Q119</f>
        <v>217.46034606357821</v>
      </c>
      <c r="R80" s="615">
        <f t="shared" si="68"/>
        <v>-3.2588490458351771E-4</v>
      </c>
      <c r="S80" s="616">
        <f t="shared" si="69"/>
        <v>5.4507960726368765E-5</v>
      </c>
      <c r="T80" s="616">
        <f t="shared" si="70"/>
        <v>-2.9042740806062284E-5</v>
      </c>
      <c r="U80" s="620">
        <f t="shared" si="63"/>
        <v>4.8573595973611816</v>
      </c>
      <c r="V80" s="220"/>
      <c r="W80" s="615">
        <f>O80</f>
        <v>206.9282020506362</v>
      </c>
      <c r="X80" s="616">
        <v>206.92787616573162</v>
      </c>
      <c r="Y80" s="615">
        <f>X80-W80</f>
        <v>-3.2588490458351771E-4</v>
      </c>
      <c r="Z80" s="621">
        <f t="shared" si="50"/>
        <v>-3.3634385303757412E-7</v>
      </c>
      <c r="AB80" s="196"/>
    </row>
    <row r="81" spans="1:28" s="204" customFormat="1" x14ac:dyDescent="0.2">
      <c r="A81" s="622" t="s">
        <v>74</v>
      </c>
      <c r="B81" s="623"/>
      <c r="C81" s="615">
        <v>0</v>
      </c>
      <c r="D81" s="615">
        <v>1.899848</v>
      </c>
      <c r="E81" s="616">
        <v>326.39821999999998</v>
      </c>
      <c r="F81" s="616">
        <v>609.06600000000003</v>
      </c>
      <c r="G81" s="617">
        <v>683.33399999999995</v>
      </c>
      <c r="H81" s="618">
        <v>0</v>
      </c>
      <c r="I81" s="618">
        <v>0</v>
      </c>
      <c r="J81" s="618">
        <v>0</v>
      </c>
      <c r="K81" s="619">
        <v>0</v>
      </c>
      <c r="L81" s="598"/>
      <c r="M81" s="655"/>
      <c r="N81" s="620">
        <f t="shared" si="65"/>
        <v>0</v>
      </c>
      <c r="O81" s="615">
        <v>0</v>
      </c>
      <c r="P81" s="616">
        <v>0</v>
      </c>
      <c r="Q81" s="616">
        <v>0</v>
      </c>
      <c r="R81" s="615">
        <f t="shared" si="68"/>
        <v>0</v>
      </c>
      <c r="S81" s="616">
        <f t="shared" si="69"/>
        <v>0</v>
      </c>
      <c r="T81" s="616">
        <f t="shared" si="70"/>
        <v>0</v>
      </c>
      <c r="U81" s="620">
        <f t="shared" si="63"/>
        <v>0</v>
      </c>
      <c r="V81" s="220"/>
      <c r="W81" s="615">
        <f>O81</f>
        <v>0</v>
      </c>
      <c r="X81" s="616">
        <v>326.39821999999998</v>
      </c>
      <c r="Y81" s="615">
        <f>X81-W81</f>
        <v>326.39821999999998</v>
      </c>
      <c r="Z81" s="621">
        <f t="shared" si="50"/>
        <v>0.33687364279639676</v>
      </c>
      <c r="AB81" s="196"/>
    </row>
    <row r="82" spans="1:28" s="204" customFormat="1" x14ac:dyDescent="0.2">
      <c r="A82" s="622" t="s">
        <v>582</v>
      </c>
      <c r="B82" s="623"/>
      <c r="C82" s="620">
        <v>0</v>
      </c>
      <c r="D82" s="616">
        <v>14.129</v>
      </c>
      <c r="E82" s="616">
        <v>265.74099999999999</v>
      </c>
      <c r="F82" s="616">
        <v>528.50199999999995</v>
      </c>
      <c r="G82" s="617">
        <f>G180</f>
        <v>582.063266</v>
      </c>
      <c r="H82" s="618">
        <v>0</v>
      </c>
      <c r="I82" s="618">
        <v>0</v>
      </c>
      <c r="J82" s="618">
        <v>0</v>
      </c>
      <c r="K82" s="619">
        <v>0</v>
      </c>
      <c r="L82" s="598"/>
      <c r="M82" s="655"/>
      <c r="N82" s="620">
        <f t="shared" si="65"/>
        <v>0</v>
      </c>
      <c r="O82" s="615">
        <v>0</v>
      </c>
      <c r="P82" s="616">
        <v>0</v>
      </c>
      <c r="Q82" s="616">
        <v>0</v>
      </c>
      <c r="R82" s="615">
        <f t="shared" si="68"/>
        <v>0</v>
      </c>
      <c r="S82" s="616">
        <f t="shared" si="69"/>
        <v>0</v>
      </c>
      <c r="T82" s="616">
        <f t="shared" si="70"/>
        <v>0</v>
      </c>
      <c r="U82" s="620">
        <f t="shared" si="63"/>
        <v>0</v>
      </c>
      <c r="V82" s="220"/>
      <c r="W82" s="615">
        <f>O82</f>
        <v>0</v>
      </c>
      <c r="X82" s="616">
        <v>265.74099999999999</v>
      </c>
      <c r="Y82" s="615">
        <f>X82-W82</f>
        <v>265.74099999999999</v>
      </c>
      <c r="Z82" s="621">
        <f t="shared" si="50"/>
        <v>0.27426969028923398</v>
      </c>
      <c r="AB82" s="196"/>
    </row>
    <row r="83" spans="1:28" s="204" customFormat="1" x14ac:dyDescent="0.2">
      <c r="A83" s="622" t="s">
        <v>562</v>
      </c>
      <c r="B83" s="623"/>
      <c r="C83" s="620">
        <v>847.51007248359997</v>
      </c>
      <c r="D83" s="616">
        <v>854.97900000000004</v>
      </c>
      <c r="E83" s="616">
        <v>935.84038799999996</v>
      </c>
      <c r="F83" s="616">
        <v>966.34603200000004</v>
      </c>
      <c r="G83" s="617">
        <v>992.18287299999997</v>
      </c>
      <c r="H83" s="618">
        <v>885.88100000000009</v>
      </c>
      <c r="I83" s="618">
        <v>981.55846705294221</v>
      </c>
      <c r="J83" s="618">
        <v>1033.2574042083343</v>
      </c>
      <c r="K83" s="619">
        <v>1083.4441638713031</v>
      </c>
      <c r="L83" s="598"/>
      <c r="M83" s="615"/>
      <c r="N83" s="620">
        <f t="shared" si="65"/>
        <v>885.88100000000009</v>
      </c>
      <c r="O83" s="615">
        <v>931.38297753998245</v>
      </c>
      <c r="P83" s="616">
        <v>979.72180214258378</v>
      </c>
      <c r="Q83" s="616">
        <v>1017.8756691550487</v>
      </c>
      <c r="R83" s="615">
        <f t="shared" si="68"/>
        <v>50.175489512959757</v>
      </c>
      <c r="S83" s="616">
        <f t="shared" si="69"/>
        <v>53.535602065750481</v>
      </c>
      <c r="T83" s="616">
        <f t="shared" si="70"/>
        <v>65.568494716254349</v>
      </c>
      <c r="U83" s="620">
        <f t="shared" si="63"/>
        <v>45.501977539982363</v>
      </c>
      <c r="V83" s="220"/>
      <c r="W83" s="615">
        <f t="shared" ref="W83" si="72">O83</f>
        <v>931.38297753998245</v>
      </c>
      <c r="X83" s="616">
        <v>935.84038799999996</v>
      </c>
      <c r="Y83" s="615">
        <f t="shared" ref="Y83:Y85" si="73">X83-W83</f>
        <v>4.4574104600175133</v>
      </c>
      <c r="Z83" s="621">
        <f t="shared" si="50"/>
        <v>4.6004665684293939E-3</v>
      </c>
      <c r="AA83" s="201"/>
      <c r="AB83" s="196"/>
    </row>
    <row r="84" spans="1:28" s="204" customFormat="1" x14ac:dyDescent="0.2">
      <c r="A84" s="622" t="s">
        <v>564</v>
      </c>
      <c r="B84" s="623"/>
      <c r="C84" s="631">
        <v>14.671908999999999</v>
      </c>
      <c r="D84" s="631">
        <v>0</v>
      </c>
      <c r="E84" s="633">
        <v>0</v>
      </c>
      <c r="F84" s="633">
        <v>0</v>
      </c>
      <c r="G84" s="634">
        <v>0</v>
      </c>
      <c r="H84" s="813">
        <v>11.671908999999999</v>
      </c>
      <c r="I84" s="813">
        <v>14.671908999999999</v>
      </c>
      <c r="J84" s="813">
        <v>14.671908999999999</v>
      </c>
      <c r="K84" s="814">
        <v>14.671908999999999</v>
      </c>
      <c r="L84" s="598"/>
      <c r="M84" s="615"/>
      <c r="N84" s="620">
        <f t="shared" si="65"/>
        <v>11.671908999999999</v>
      </c>
      <c r="O84" s="631">
        <v>12.353437741446708</v>
      </c>
      <c r="P84" s="616">
        <v>13.077990529775203</v>
      </c>
      <c r="Q84" s="616">
        <v>13.796480669765678</v>
      </c>
      <c r="R84" s="615">
        <f t="shared" si="68"/>
        <v>2.3184712585532914</v>
      </c>
      <c r="S84" s="616">
        <f t="shared" si="69"/>
        <v>1.5939184702247964</v>
      </c>
      <c r="T84" s="616">
        <f t="shared" si="70"/>
        <v>0.87542833023432109</v>
      </c>
      <c r="U84" s="620">
        <f t="shared" si="63"/>
        <v>0.68152874144670861</v>
      </c>
      <c r="V84" s="220"/>
      <c r="W84" s="809">
        <f>O84</f>
        <v>12.353437741446708</v>
      </c>
      <c r="X84" s="618">
        <v>14.671908999999999</v>
      </c>
      <c r="Y84" s="809">
        <f t="shared" si="73"/>
        <v>2.3184712585532914</v>
      </c>
      <c r="Z84" s="815">
        <f t="shared" si="50"/>
        <v>2.3928802632183287E-3</v>
      </c>
      <c r="AB84" s="196"/>
    </row>
    <row r="85" spans="1:28" s="204" customFormat="1" x14ac:dyDescent="0.2">
      <c r="A85" s="622" t="s">
        <v>565</v>
      </c>
      <c r="B85" s="623"/>
      <c r="C85" s="631">
        <v>22.541683543900003</v>
      </c>
      <c r="D85" s="631">
        <v>12.610877989999999</v>
      </c>
      <c r="E85" s="633">
        <v>0</v>
      </c>
      <c r="F85" s="633">
        <v>0</v>
      </c>
      <c r="G85" s="634">
        <v>0</v>
      </c>
      <c r="H85" s="813">
        <v>22.541683543900003</v>
      </c>
      <c r="I85" s="813">
        <v>22.541683543900003</v>
      </c>
      <c r="J85" s="813">
        <v>22.541683543900003</v>
      </c>
      <c r="K85" s="814">
        <v>22.541683543900003</v>
      </c>
      <c r="L85" s="598"/>
      <c r="M85" s="631"/>
      <c r="N85" s="620">
        <f t="shared" si="65"/>
        <v>22.541683543900003</v>
      </c>
      <c r="O85" s="631">
        <v>23.857903985283169</v>
      </c>
      <c r="P85" s="633">
        <v>25.257215757277905</v>
      </c>
      <c r="Q85" s="633">
        <v>26.644818879018977</v>
      </c>
      <c r="R85" s="631">
        <f t="shared" si="68"/>
        <v>-1.316220441383166</v>
      </c>
      <c r="S85" s="633">
        <f t="shared" si="69"/>
        <v>-2.7155322133779016</v>
      </c>
      <c r="T85" s="633">
        <f t="shared" si="70"/>
        <v>-4.1031353351189743</v>
      </c>
      <c r="U85" s="635">
        <f t="shared" si="63"/>
        <v>1.316220441383166</v>
      </c>
      <c r="V85" s="220"/>
      <c r="W85" s="615">
        <f>O85</f>
        <v>23.857903985283169</v>
      </c>
      <c r="X85" s="616">
        <v>22.541683543900003</v>
      </c>
      <c r="Y85" s="615">
        <f t="shared" si="73"/>
        <v>-1.316220441383166</v>
      </c>
      <c r="Z85" s="621">
        <f t="shared" si="50"/>
        <v>-1.3584632134692044E-3</v>
      </c>
      <c r="AB85" s="196"/>
    </row>
    <row r="86" spans="1:28" s="204" customFormat="1" x14ac:dyDescent="0.2">
      <c r="A86" s="622" t="s">
        <v>574</v>
      </c>
      <c r="B86" s="623"/>
      <c r="C86" s="631">
        <v>17.390034162500001</v>
      </c>
      <c r="D86" s="631">
        <v>1.111</v>
      </c>
      <c r="E86" s="633">
        <v>37.365634999999997</v>
      </c>
      <c r="F86" s="633">
        <v>38.442259999999997</v>
      </c>
      <c r="G86" s="634">
        <v>38.685622000000002</v>
      </c>
      <c r="H86" s="813">
        <v>42.466999999999999</v>
      </c>
      <c r="I86" s="813">
        <v>37.365634999999997</v>
      </c>
      <c r="J86" s="813">
        <v>38.442259999999997</v>
      </c>
      <c r="K86" s="814">
        <v>38.685622000000002</v>
      </c>
      <c r="L86" s="598"/>
      <c r="M86" s="631"/>
      <c r="N86" s="620">
        <f t="shared" si="65"/>
        <v>42.466999999999999</v>
      </c>
      <c r="O86" s="631">
        <v>44.946669869171984</v>
      </c>
      <c r="P86" s="633">
        <v>47.582878158831051</v>
      </c>
      <c r="Q86" s="633">
        <v>50.197028147061388</v>
      </c>
      <c r="R86" s="631">
        <f t="shared" si="68"/>
        <v>-7.5810348691719867</v>
      </c>
      <c r="S86" s="633">
        <f t="shared" si="69"/>
        <v>-9.1406181588310531</v>
      </c>
      <c r="T86" s="633">
        <f t="shared" si="70"/>
        <v>-11.511406147061386</v>
      </c>
      <c r="U86" s="635">
        <f t="shared" si="63"/>
        <v>2.4796698691719854</v>
      </c>
      <c r="V86" s="220"/>
      <c r="W86" s="615">
        <f t="shared" si="71"/>
        <v>44.946669869171984</v>
      </c>
      <c r="X86" s="616">
        <v>37.365634999999997</v>
      </c>
      <c r="Y86" s="615">
        <f t="shared" si="8"/>
        <v>-7.5810348691719867</v>
      </c>
      <c r="Z86" s="621">
        <f t="shared" ref="Z86:Z117" si="74">Y86/$X$193*100</f>
        <v>-7.8243405633292747E-3</v>
      </c>
      <c r="AB86" s="196"/>
    </row>
    <row r="87" spans="1:28" s="204" customFormat="1" x14ac:dyDescent="0.2">
      <c r="A87" s="622" t="s">
        <v>497</v>
      </c>
      <c r="B87" s="623"/>
      <c r="C87" s="620">
        <v>6589.8687722854247</v>
      </c>
      <c r="D87" s="615">
        <f t="shared" ref="D87:G87" si="75">D77-SUM(D78:D86)</f>
        <v>7051.7262740100005</v>
      </c>
      <c r="E87" s="616">
        <f t="shared" si="75"/>
        <v>7158.6921570000004</v>
      </c>
      <c r="F87" s="616">
        <f t="shared" si="75"/>
        <v>7410.0081530000007</v>
      </c>
      <c r="G87" s="617">
        <f t="shared" si="75"/>
        <v>7573.5293070000007</v>
      </c>
      <c r="H87" s="618">
        <v>6990.3042740100009</v>
      </c>
      <c r="I87" s="618">
        <v>7802.6349683975268</v>
      </c>
      <c r="J87" s="618">
        <v>8615.7539349590916</v>
      </c>
      <c r="K87" s="619">
        <v>8950.1311765180581</v>
      </c>
      <c r="L87" s="598"/>
      <c r="M87" s="615"/>
      <c r="N87" s="620">
        <f t="shared" si="65"/>
        <v>6990.3042740100009</v>
      </c>
      <c r="O87" s="615">
        <v>7398.4717189580024</v>
      </c>
      <c r="P87" s="616">
        <v>7832.4062581150974</v>
      </c>
      <c r="Q87" s="616">
        <v>8262.7098782349476</v>
      </c>
      <c r="R87" s="615">
        <f t="shared" si="68"/>
        <v>404.16324943952441</v>
      </c>
      <c r="S87" s="616">
        <f t="shared" si="69"/>
        <v>783.34767684399412</v>
      </c>
      <c r="T87" s="616">
        <f t="shared" si="70"/>
        <v>687.42129828311045</v>
      </c>
      <c r="U87" s="620">
        <f t="shared" si="63"/>
        <v>408.1674449480015</v>
      </c>
      <c r="V87" s="220"/>
      <c r="W87" s="615">
        <f t="shared" si="71"/>
        <v>7398.4717189580024</v>
      </c>
      <c r="X87" s="616">
        <v>7158.6921570000004</v>
      </c>
      <c r="Y87" s="615">
        <f>X87-W87</f>
        <v>-239.77956195800198</v>
      </c>
      <c r="Z87" s="621">
        <f t="shared" si="74"/>
        <v>-0.24747504598804626</v>
      </c>
      <c r="AA87" s="201"/>
      <c r="AB87" s="196"/>
    </row>
    <row r="88" spans="1:28" s="206" customFormat="1" x14ac:dyDescent="0.2">
      <c r="A88" s="479" t="s">
        <v>134</v>
      </c>
      <c r="B88" s="641" t="s">
        <v>64</v>
      </c>
      <c r="C88" s="605">
        <v>4802</v>
      </c>
      <c r="D88" s="651">
        <v>4941.2</v>
      </c>
      <c r="E88" s="637">
        <v>5434.8950000000004</v>
      </c>
      <c r="F88" s="637">
        <v>6008.1360000000004</v>
      </c>
      <c r="G88" s="640">
        <v>6082.9070000000002</v>
      </c>
      <c r="H88" s="609">
        <f>SUM(H89:H107)</f>
        <v>4804.7377202973457</v>
      </c>
      <c r="I88" s="609">
        <f>SUM(I89:I107)</f>
        <v>4892.0134518633067</v>
      </c>
      <c r="J88" s="609">
        <f>SUM(J89:J107)</f>
        <v>5392.8932659956463</v>
      </c>
      <c r="K88" s="636">
        <f>SUM(K89:K107)</f>
        <v>5644.7408970240003</v>
      </c>
      <c r="L88" s="598"/>
      <c r="M88" s="605">
        <f>SUM(M89:M107)</f>
        <v>111.1</v>
      </c>
      <c r="N88" s="604">
        <f t="shared" si="65"/>
        <v>4915.8377202973461</v>
      </c>
      <c r="O88" s="605">
        <f t="shared" ref="O88:T88" si="76">SUM(O89:O107)</f>
        <v>5028.518914744096</v>
      </c>
      <c r="P88" s="637">
        <f t="shared" si="76"/>
        <v>5191.1781637814629</v>
      </c>
      <c r="Q88" s="637">
        <f t="shared" si="76"/>
        <v>5365.2158010662879</v>
      </c>
      <c r="R88" s="605">
        <f t="shared" si="76"/>
        <v>-136.50546288078823</v>
      </c>
      <c r="S88" s="637">
        <f t="shared" si="76"/>
        <v>201.71510221418333</v>
      </c>
      <c r="T88" s="637">
        <f t="shared" si="76"/>
        <v>279.52509595771312</v>
      </c>
      <c r="U88" s="604">
        <f t="shared" si="63"/>
        <v>112.68119444674994</v>
      </c>
      <c r="V88" s="424"/>
      <c r="W88" s="605">
        <f>SUM(W89:W107)</f>
        <v>5028.518914744096</v>
      </c>
      <c r="X88" s="637">
        <v>5527.0463379386001</v>
      </c>
      <c r="Y88" s="605">
        <f>SUM(Y89:Y107)</f>
        <v>498.52742319450465</v>
      </c>
      <c r="Z88" s="638">
        <f t="shared" si="74"/>
        <v>0.51452715975422192</v>
      </c>
      <c r="AB88" s="196"/>
    </row>
    <row r="89" spans="1:28" s="204" customFormat="1" x14ac:dyDescent="0.2">
      <c r="A89" s="622" t="s">
        <v>153</v>
      </c>
      <c r="B89" s="641"/>
      <c r="C89" s="615">
        <v>97.82590401377297</v>
      </c>
      <c r="D89" s="615">
        <v>90.622</v>
      </c>
      <c r="E89" s="616">
        <f>182.563294+5.243605</f>
        <v>187.80689900000002</v>
      </c>
      <c r="F89" s="616">
        <f>529.247939+14.47224064</f>
        <v>543.72017963999997</v>
      </c>
      <c r="G89" s="617">
        <f>474.968145+14.92487945</f>
        <v>489.89302444999998</v>
      </c>
      <c r="H89" s="618">
        <v>83.962427669431236</v>
      </c>
      <c r="I89" s="618">
        <v>85.980708480786589</v>
      </c>
      <c r="J89" s="618">
        <v>88.103038248719258</v>
      </c>
      <c r="K89" s="619">
        <v>90.356918176132183</v>
      </c>
      <c r="L89" s="598"/>
      <c r="M89" s="615"/>
      <c r="N89" s="620">
        <f t="shared" si="65"/>
        <v>83.962427669431236</v>
      </c>
      <c r="O89" s="615">
        <f t="shared" ref="O89:Q90" si="77">I89</f>
        <v>85.980708480786589</v>
      </c>
      <c r="P89" s="616">
        <f t="shared" si="77"/>
        <v>88.103038248719258</v>
      </c>
      <c r="Q89" s="616">
        <f t="shared" si="77"/>
        <v>90.356918176132183</v>
      </c>
      <c r="R89" s="615">
        <f t="shared" ref="R89:R107" si="78">I89-O89</f>
        <v>0</v>
      </c>
      <c r="S89" s="616">
        <f t="shared" ref="S89:S107" si="79">J89-P89</f>
        <v>0</v>
      </c>
      <c r="T89" s="616">
        <f t="shared" ref="T89:T107" si="80">K89-Q89</f>
        <v>0</v>
      </c>
      <c r="U89" s="620">
        <f t="shared" si="63"/>
        <v>2.0182808113553534</v>
      </c>
      <c r="V89" s="220"/>
      <c r="W89" s="615">
        <f>O89</f>
        <v>85.980708480786589</v>
      </c>
      <c r="X89" s="616">
        <v>187.80689900000002</v>
      </c>
      <c r="Y89" s="615">
        <f t="shared" si="8"/>
        <v>101.82619051921343</v>
      </c>
      <c r="Z89" s="621">
        <f t="shared" si="74"/>
        <v>0.10509419975478834</v>
      </c>
      <c r="AB89" s="196"/>
    </row>
    <row r="90" spans="1:28" s="204" customFormat="1" x14ac:dyDescent="0.2">
      <c r="A90" s="622" t="s">
        <v>117</v>
      </c>
      <c r="B90" s="641"/>
      <c r="C90" s="615">
        <v>24.446511290251401</v>
      </c>
      <c r="D90" s="615">
        <v>27.541999999999998</v>
      </c>
      <c r="E90" s="616">
        <f>44.746964+0.18935212</f>
        <v>44.936316120000001</v>
      </c>
      <c r="F90" s="616">
        <f>98.00521+2.7307853</f>
        <v>100.7359953</v>
      </c>
      <c r="G90" s="617">
        <f>85.170536+3.79043124</f>
        <v>88.960967240000002</v>
      </c>
      <c r="H90" s="618">
        <v>34.941625689315515</v>
      </c>
      <c r="I90" s="618">
        <v>15.17306620249175</v>
      </c>
      <c r="J90" s="618">
        <v>15.547594985068102</v>
      </c>
      <c r="K90" s="619">
        <v>15.945338501670392</v>
      </c>
      <c r="L90" s="598"/>
      <c r="M90" s="615"/>
      <c r="N90" s="620">
        <f t="shared" si="65"/>
        <v>34.941625689315515</v>
      </c>
      <c r="O90" s="615">
        <f t="shared" si="77"/>
        <v>15.17306620249175</v>
      </c>
      <c r="P90" s="616">
        <f t="shared" si="77"/>
        <v>15.547594985068102</v>
      </c>
      <c r="Q90" s="616">
        <f t="shared" si="77"/>
        <v>15.945338501670392</v>
      </c>
      <c r="R90" s="615">
        <f t="shared" si="78"/>
        <v>0</v>
      </c>
      <c r="S90" s="616">
        <f t="shared" si="79"/>
        <v>0</v>
      </c>
      <c r="T90" s="616">
        <f t="shared" si="80"/>
        <v>0</v>
      </c>
      <c r="U90" s="620">
        <f t="shared" si="63"/>
        <v>-19.768559486823765</v>
      </c>
      <c r="V90" s="220"/>
      <c r="W90" s="615">
        <f>O90</f>
        <v>15.17306620249175</v>
      </c>
      <c r="X90" s="616">
        <v>44.936316120000001</v>
      </c>
      <c r="Y90" s="615">
        <f t="shared" si="8"/>
        <v>29.763249917508251</v>
      </c>
      <c r="Z90" s="621">
        <f t="shared" si="74"/>
        <v>3.0718471507505646E-2</v>
      </c>
      <c r="AB90" s="196"/>
    </row>
    <row r="91" spans="1:28" s="204" customFormat="1" x14ac:dyDescent="0.2">
      <c r="A91" s="622" t="s">
        <v>583</v>
      </c>
      <c r="B91" s="623"/>
      <c r="C91" s="615">
        <v>0.32</v>
      </c>
      <c r="D91" s="615">
        <v>0</v>
      </c>
      <c r="E91" s="616">
        <v>0</v>
      </c>
      <c r="F91" s="616">
        <v>0</v>
      </c>
      <c r="G91" s="617">
        <v>0</v>
      </c>
      <c r="H91" s="618">
        <v>0.32</v>
      </c>
      <c r="I91" s="618">
        <v>0</v>
      </c>
      <c r="J91" s="618">
        <v>0</v>
      </c>
      <c r="K91" s="619">
        <v>0</v>
      </c>
      <c r="L91" s="598"/>
      <c r="M91" s="655"/>
      <c r="N91" s="620">
        <f t="shared" si="65"/>
        <v>0.32</v>
      </c>
      <c r="O91" s="615">
        <f>N91</f>
        <v>0.32</v>
      </c>
      <c r="P91" s="616">
        <f t="shared" ref="P91:Q92" si="81">O91</f>
        <v>0.32</v>
      </c>
      <c r="Q91" s="616">
        <f t="shared" si="81"/>
        <v>0.32</v>
      </c>
      <c r="R91" s="615">
        <f t="shared" si="78"/>
        <v>-0.32</v>
      </c>
      <c r="S91" s="616">
        <f t="shared" si="79"/>
        <v>-0.32</v>
      </c>
      <c r="T91" s="616">
        <f t="shared" si="80"/>
        <v>-0.32</v>
      </c>
      <c r="U91" s="620">
        <f t="shared" si="63"/>
        <v>0</v>
      </c>
      <c r="V91" s="220"/>
      <c r="W91" s="615">
        <f t="shared" ref="W91:W107" si="82">O91</f>
        <v>0.32</v>
      </c>
      <c r="X91" s="616">
        <v>0</v>
      </c>
      <c r="Y91" s="615">
        <f t="shared" si="8"/>
        <v>-0.32</v>
      </c>
      <c r="Z91" s="621">
        <f t="shared" si="74"/>
        <v>-3.3027007835657608E-4</v>
      </c>
      <c r="AB91" s="196"/>
    </row>
    <row r="92" spans="1:28" s="204" customFormat="1" x14ac:dyDescent="0.2">
      <c r="A92" s="622" t="s">
        <v>584</v>
      </c>
      <c r="B92" s="623"/>
      <c r="C92" s="615">
        <v>56.133000000000003</v>
      </c>
      <c r="D92" s="615">
        <v>0</v>
      </c>
      <c r="E92" s="616">
        <v>0</v>
      </c>
      <c r="F92" s="616">
        <v>0</v>
      </c>
      <c r="G92" s="617">
        <v>0</v>
      </c>
      <c r="H92" s="618">
        <v>56.133000000000003</v>
      </c>
      <c r="I92" s="618">
        <v>56.133000000000003</v>
      </c>
      <c r="J92" s="618">
        <v>56.133000000000003</v>
      </c>
      <c r="K92" s="619">
        <v>56.133000000000003</v>
      </c>
      <c r="L92" s="598"/>
      <c r="M92" s="655"/>
      <c r="N92" s="620">
        <f t="shared" si="65"/>
        <v>56.133000000000003</v>
      </c>
      <c r="O92" s="615">
        <f>N92</f>
        <v>56.133000000000003</v>
      </c>
      <c r="P92" s="616">
        <f t="shared" si="81"/>
        <v>56.133000000000003</v>
      </c>
      <c r="Q92" s="616">
        <f t="shared" si="81"/>
        <v>56.133000000000003</v>
      </c>
      <c r="R92" s="615">
        <f t="shared" si="78"/>
        <v>0</v>
      </c>
      <c r="S92" s="616">
        <f t="shared" si="79"/>
        <v>0</v>
      </c>
      <c r="T92" s="616">
        <f t="shared" si="80"/>
        <v>0</v>
      </c>
      <c r="U92" s="620">
        <f t="shared" si="63"/>
        <v>0</v>
      </c>
      <c r="V92" s="220"/>
      <c r="W92" s="615">
        <f t="shared" si="82"/>
        <v>56.133000000000003</v>
      </c>
      <c r="X92" s="616">
        <v>56.133000000000003</v>
      </c>
      <c r="Y92" s="615">
        <f t="shared" si="8"/>
        <v>0</v>
      </c>
      <c r="Z92" s="621">
        <f t="shared" si="74"/>
        <v>0</v>
      </c>
      <c r="AB92" s="196"/>
    </row>
    <row r="93" spans="1:28" s="204" customFormat="1" x14ac:dyDescent="0.2">
      <c r="A93" s="622" t="s">
        <v>585</v>
      </c>
      <c r="B93" s="623"/>
      <c r="C93" s="615">
        <v>-84.195999999999998</v>
      </c>
      <c r="D93" s="615">
        <v>0</v>
      </c>
      <c r="E93" s="616">
        <v>0</v>
      </c>
      <c r="F93" s="616">
        <v>0</v>
      </c>
      <c r="G93" s="617">
        <v>0</v>
      </c>
      <c r="H93" s="618">
        <v>0</v>
      </c>
      <c r="I93" s="618">
        <v>0</v>
      </c>
      <c r="J93" s="618">
        <v>0</v>
      </c>
      <c r="K93" s="619">
        <v>0</v>
      </c>
      <c r="L93" s="598"/>
      <c r="M93" s="655"/>
      <c r="N93" s="620">
        <f t="shared" si="65"/>
        <v>0</v>
      </c>
      <c r="O93" s="615">
        <v>0</v>
      </c>
      <c r="P93" s="616">
        <v>0</v>
      </c>
      <c r="Q93" s="616">
        <v>0</v>
      </c>
      <c r="R93" s="615">
        <f t="shared" si="78"/>
        <v>0</v>
      </c>
      <c r="S93" s="616">
        <f t="shared" si="79"/>
        <v>0</v>
      </c>
      <c r="T93" s="616">
        <f t="shared" si="80"/>
        <v>0</v>
      </c>
      <c r="U93" s="620">
        <f t="shared" si="63"/>
        <v>0</v>
      </c>
      <c r="V93" s="220"/>
      <c r="W93" s="615">
        <f t="shared" si="82"/>
        <v>0</v>
      </c>
      <c r="X93" s="616">
        <v>0</v>
      </c>
      <c r="Y93" s="615">
        <f t="shared" si="8"/>
        <v>0</v>
      </c>
      <c r="Z93" s="621">
        <f t="shared" si="74"/>
        <v>0</v>
      </c>
      <c r="AB93" s="196"/>
    </row>
    <row r="94" spans="1:28" s="204" customFormat="1" x14ac:dyDescent="0.2">
      <c r="A94" s="622" t="s">
        <v>586</v>
      </c>
      <c r="B94" s="623"/>
      <c r="C94" s="615">
        <v>124.18436527</v>
      </c>
      <c r="D94" s="631">
        <f>125.468253</f>
        <v>125.468253</v>
      </c>
      <c r="E94" s="616">
        <f>127.668515</f>
        <v>127.668515</v>
      </c>
      <c r="F94" s="616">
        <f>128.044054+22.251</f>
        <v>150.29505399999999</v>
      </c>
      <c r="G94" s="619">
        <f>128.427479+52.829+5</f>
        <v>186.25647900000001</v>
      </c>
      <c r="H94" s="618">
        <v>127.65325300000001</v>
      </c>
      <c r="I94" s="618">
        <v>127.668515</v>
      </c>
      <c r="J94" s="618">
        <v>150.29505399999999</v>
      </c>
      <c r="K94" s="619">
        <v>186.25647900000001</v>
      </c>
      <c r="L94" s="598"/>
      <c r="M94" s="615"/>
      <c r="N94" s="620">
        <f t="shared" si="65"/>
        <v>127.65325300000001</v>
      </c>
      <c r="O94" s="615">
        <f>E94</f>
        <v>127.668515</v>
      </c>
      <c r="P94" s="616">
        <f>F94</f>
        <v>150.29505399999999</v>
      </c>
      <c r="Q94" s="616">
        <f>G94</f>
        <v>186.25647900000001</v>
      </c>
      <c r="R94" s="615">
        <f t="shared" si="78"/>
        <v>0</v>
      </c>
      <c r="S94" s="616">
        <f t="shared" si="79"/>
        <v>0</v>
      </c>
      <c r="T94" s="616">
        <f t="shared" si="80"/>
        <v>0</v>
      </c>
      <c r="U94" s="620">
        <f t="shared" si="63"/>
        <v>1.5261999999992781E-2</v>
      </c>
      <c r="V94" s="220"/>
      <c r="W94" s="615">
        <f t="shared" si="82"/>
        <v>127.668515</v>
      </c>
      <c r="X94" s="616">
        <v>127.668515</v>
      </c>
      <c r="Y94" s="615">
        <f t="shared" si="8"/>
        <v>0</v>
      </c>
      <c r="Z94" s="621">
        <f t="shared" si="74"/>
        <v>0</v>
      </c>
      <c r="AB94" s="196"/>
    </row>
    <row r="95" spans="1:28" s="204" customFormat="1" x14ac:dyDescent="0.2">
      <c r="A95" s="622" t="s">
        <v>587</v>
      </c>
      <c r="B95" s="623"/>
      <c r="C95" s="615">
        <v>208.20437778350001</v>
      </c>
      <c r="D95" s="631">
        <f>230.159627+8.626*0.67+9.267*0.9-11.8</f>
        <v>232.47934699999996</v>
      </c>
      <c r="E95" s="616">
        <v>246.55755300000001</v>
      </c>
      <c r="F95" s="616">
        <v>354.64765080000001</v>
      </c>
      <c r="G95" s="617">
        <v>466.73182530000003</v>
      </c>
      <c r="H95" s="618">
        <v>232.47934699999996</v>
      </c>
      <c r="I95" s="618">
        <v>246.55755300000001</v>
      </c>
      <c r="J95" s="618">
        <v>354.64765080000001</v>
      </c>
      <c r="K95" s="619">
        <v>466.73182530000003</v>
      </c>
      <c r="L95" s="598"/>
      <c r="M95" s="615"/>
      <c r="N95" s="620">
        <f t="shared" si="65"/>
        <v>232.47934699999996</v>
      </c>
      <c r="O95" s="615">
        <v>238.06766332327072</v>
      </c>
      <c r="P95" s="616">
        <v>243.94407557411949</v>
      </c>
      <c r="Q95" s="616">
        <v>250.18473045137401</v>
      </c>
      <c r="R95" s="615">
        <f t="shared" si="78"/>
        <v>8.4898896767292911</v>
      </c>
      <c r="S95" s="616">
        <f t="shared" si="79"/>
        <v>110.70357522588051</v>
      </c>
      <c r="T95" s="616">
        <f t="shared" si="80"/>
        <v>216.54709484862602</v>
      </c>
      <c r="U95" s="620">
        <f t="shared" si="63"/>
        <v>5.5883163232707602</v>
      </c>
      <c r="V95" s="220"/>
      <c r="W95" s="615">
        <f t="shared" si="82"/>
        <v>238.06766332327072</v>
      </c>
      <c r="X95" s="616">
        <v>246.55755300000001</v>
      </c>
      <c r="Y95" s="615">
        <f t="shared" si="8"/>
        <v>8.4898896767292911</v>
      </c>
      <c r="Z95" s="621">
        <f t="shared" si="74"/>
        <v>8.7623641524127178E-3</v>
      </c>
      <c r="AB95" s="196"/>
    </row>
    <row r="96" spans="1:28" s="204" customFormat="1" x14ac:dyDescent="0.2">
      <c r="A96" s="622" t="s">
        <v>588</v>
      </c>
      <c r="B96" s="623"/>
      <c r="C96" s="615">
        <v>0</v>
      </c>
      <c r="D96" s="631">
        <v>0</v>
      </c>
      <c r="E96" s="616">
        <f>150.005-31.501</f>
        <v>118.50399999999999</v>
      </c>
      <c r="F96" s="616">
        <f t="shared" ref="F96:G96" si="83">150.005-31.501</f>
        <v>118.50399999999999</v>
      </c>
      <c r="G96" s="617">
        <f t="shared" si="83"/>
        <v>118.50399999999999</v>
      </c>
      <c r="H96" s="618">
        <v>0</v>
      </c>
      <c r="I96" s="618">
        <v>0</v>
      </c>
      <c r="J96" s="618">
        <v>0</v>
      </c>
      <c r="K96" s="619">
        <v>0</v>
      </c>
      <c r="L96" s="598"/>
      <c r="M96" s="615"/>
      <c r="N96" s="620">
        <f t="shared" si="65"/>
        <v>0</v>
      </c>
      <c r="O96" s="615">
        <v>0</v>
      </c>
      <c r="P96" s="616">
        <v>0</v>
      </c>
      <c r="Q96" s="616">
        <v>0</v>
      </c>
      <c r="R96" s="615">
        <f t="shared" si="78"/>
        <v>0</v>
      </c>
      <c r="S96" s="616">
        <f t="shared" si="79"/>
        <v>0</v>
      </c>
      <c r="T96" s="616">
        <f t="shared" si="80"/>
        <v>0</v>
      </c>
      <c r="U96" s="620">
        <f t="shared" si="63"/>
        <v>0</v>
      </c>
      <c r="V96" s="220"/>
      <c r="W96" s="615">
        <f t="shared" si="82"/>
        <v>0</v>
      </c>
      <c r="X96" s="616">
        <v>118.50399999999999</v>
      </c>
      <c r="Y96" s="615">
        <f t="shared" si="8"/>
        <v>118.50399999999999</v>
      </c>
      <c r="Z96" s="621">
        <f t="shared" si="74"/>
        <v>0.12230726676739903</v>
      </c>
      <c r="AB96" s="196"/>
    </row>
    <row r="97" spans="1:29" s="204" customFormat="1" x14ac:dyDescent="0.2">
      <c r="A97" s="622" t="s">
        <v>589</v>
      </c>
      <c r="B97" s="623"/>
      <c r="C97" s="615">
        <v>118.1513550871</v>
      </c>
      <c r="D97" s="631">
        <f>68.98+2.84*0.67+15.39*0.9+25.207</f>
        <v>109.9408</v>
      </c>
      <c r="E97" s="616">
        <v>88.270319000000001</v>
      </c>
      <c r="F97" s="616">
        <v>88.373028000000005</v>
      </c>
      <c r="G97" s="617">
        <v>87.213809999999995</v>
      </c>
      <c r="H97" s="618">
        <v>107.1378</v>
      </c>
      <c r="I97" s="618">
        <v>88.270319000000001</v>
      </c>
      <c r="J97" s="618">
        <v>88.373028000000005</v>
      </c>
      <c r="K97" s="619">
        <v>87.213809999999995</v>
      </c>
      <c r="L97" s="598"/>
      <c r="M97" s="615"/>
      <c r="N97" s="620">
        <f t="shared" si="65"/>
        <v>107.1378</v>
      </c>
      <c r="O97" s="615">
        <v>109.7131681963814</v>
      </c>
      <c r="P97" s="616">
        <v>112.42130502046231</v>
      </c>
      <c r="Q97" s="616">
        <v>115.2973025778209</v>
      </c>
      <c r="R97" s="615">
        <f t="shared" si="78"/>
        <v>-21.442849196381403</v>
      </c>
      <c r="S97" s="616">
        <f t="shared" si="79"/>
        <v>-24.048277020462308</v>
      </c>
      <c r="T97" s="616">
        <f t="shared" si="80"/>
        <v>-28.083492577820905</v>
      </c>
      <c r="U97" s="620">
        <f t="shared" si="63"/>
        <v>2.5753681963814046</v>
      </c>
      <c r="V97" s="220"/>
      <c r="W97" s="615">
        <f t="shared" si="82"/>
        <v>109.7131681963814</v>
      </c>
      <c r="X97" s="616">
        <v>88.270319000000001</v>
      </c>
      <c r="Y97" s="615">
        <f t="shared" si="8"/>
        <v>-21.442849196381403</v>
      </c>
      <c r="Z97" s="621">
        <f t="shared" si="74"/>
        <v>-2.2131035888366034E-2</v>
      </c>
      <c r="AB97" s="196"/>
    </row>
    <row r="98" spans="1:29" s="204" customFormat="1" x14ac:dyDescent="0.2">
      <c r="A98" s="622" t="s">
        <v>590</v>
      </c>
      <c r="B98" s="623"/>
      <c r="C98" s="615">
        <v>176.8332877167</v>
      </c>
      <c r="D98" s="631">
        <f>15.616+152.903+0.259486*0.67+4.553*0.9</f>
        <v>172.79055562000002</v>
      </c>
      <c r="E98" s="616">
        <v>156.55153100000001</v>
      </c>
      <c r="F98" s="616">
        <v>156.51316</v>
      </c>
      <c r="G98" s="617">
        <v>162.16166000000001</v>
      </c>
      <c r="H98" s="618">
        <v>145.28155562000001</v>
      </c>
      <c r="I98" s="618">
        <v>156.55153100000001</v>
      </c>
      <c r="J98" s="618">
        <v>156.51316</v>
      </c>
      <c r="K98" s="619">
        <v>162.16166000000001</v>
      </c>
      <c r="L98" s="598"/>
      <c r="M98" s="615"/>
      <c r="N98" s="620">
        <f t="shared" si="65"/>
        <v>145.28155562000001</v>
      </c>
      <c r="O98" s="615">
        <v>148.77381976827041</v>
      </c>
      <c r="P98" s="616">
        <v>152.4461215201664</v>
      </c>
      <c r="Q98" s="616">
        <v>156.34604665482826</v>
      </c>
      <c r="R98" s="615">
        <f t="shared" si="78"/>
        <v>7.7777112317295973</v>
      </c>
      <c r="S98" s="616">
        <f t="shared" si="79"/>
        <v>4.0670384798335988</v>
      </c>
      <c r="T98" s="616">
        <f t="shared" si="80"/>
        <v>5.8156133451717551</v>
      </c>
      <c r="U98" s="620">
        <f t="shared" si="63"/>
        <v>3.492264148270408</v>
      </c>
      <c r="V98" s="220"/>
      <c r="W98" s="615">
        <f t="shared" si="82"/>
        <v>148.77381976827041</v>
      </c>
      <c r="X98" s="616">
        <v>156.55153100000001</v>
      </c>
      <c r="Y98" s="615">
        <f t="shared" si="8"/>
        <v>7.7777112317295973</v>
      </c>
      <c r="Z98" s="621">
        <f t="shared" si="74"/>
        <v>8.0273290560567388E-3</v>
      </c>
      <c r="AB98" s="196"/>
    </row>
    <row r="99" spans="1:29" s="204" customFormat="1" x14ac:dyDescent="0.2">
      <c r="A99" s="622" t="s">
        <v>591</v>
      </c>
      <c r="B99" s="623"/>
      <c r="C99" s="615">
        <v>0</v>
      </c>
      <c r="D99" s="631">
        <v>5.7880000000000003</v>
      </c>
      <c r="E99" s="616">
        <v>5.7880000000000003</v>
      </c>
      <c r="F99" s="220">
        <v>5.7880000000000003</v>
      </c>
      <c r="G99" s="617">
        <v>5.7880000000000003</v>
      </c>
      <c r="H99" s="618">
        <v>0</v>
      </c>
      <c r="I99" s="618">
        <v>0</v>
      </c>
      <c r="J99" s="618">
        <v>0</v>
      </c>
      <c r="K99" s="619">
        <v>0</v>
      </c>
      <c r="L99" s="598"/>
      <c r="M99" s="615">
        <v>0</v>
      </c>
      <c r="N99" s="620">
        <f t="shared" si="65"/>
        <v>0</v>
      </c>
      <c r="O99" s="615">
        <f>I99</f>
        <v>0</v>
      </c>
      <c r="P99" s="616">
        <f>J99</f>
        <v>0</v>
      </c>
      <c r="Q99" s="616">
        <f>K99</f>
        <v>0</v>
      </c>
      <c r="R99" s="615">
        <f t="shared" si="78"/>
        <v>0</v>
      </c>
      <c r="S99" s="616">
        <f t="shared" si="79"/>
        <v>0</v>
      </c>
      <c r="T99" s="616">
        <f t="shared" si="80"/>
        <v>0</v>
      </c>
      <c r="U99" s="620">
        <f t="shared" si="63"/>
        <v>0</v>
      </c>
      <c r="V99" s="220"/>
      <c r="W99" s="615">
        <f t="shared" si="82"/>
        <v>0</v>
      </c>
      <c r="X99" s="616">
        <v>0</v>
      </c>
      <c r="Y99" s="615">
        <f t="shared" si="8"/>
        <v>0</v>
      </c>
      <c r="Z99" s="621">
        <f t="shared" si="74"/>
        <v>0</v>
      </c>
      <c r="AB99" s="196"/>
    </row>
    <row r="100" spans="1:29" s="204" customFormat="1" x14ac:dyDescent="0.2">
      <c r="A100" s="622" t="s">
        <v>666</v>
      </c>
      <c r="B100" s="623"/>
      <c r="C100" s="615">
        <v>0</v>
      </c>
      <c r="D100" s="615">
        <v>0</v>
      </c>
      <c r="E100" s="616">
        <v>400</v>
      </c>
      <c r="F100" s="616">
        <v>400</v>
      </c>
      <c r="G100" s="617">
        <v>400</v>
      </c>
      <c r="H100" s="618">
        <v>0</v>
      </c>
      <c r="I100" s="618">
        <v>0</v>
      </c>
      <c r="J100" s="618">
        <v>0</v>
      </c>
      <c r="K100" s="619">
        <v>0</v>
      </c>
      <c r="L100" s="598"/>
      <c r="M100" s="615"/>
      <c r="N100" s="620">
        <f t="shared" si="65"/>
        <v>0</v>
      </c>
      <c r="O100" s="615">
        <v>0</v>
      </c>
      <c r="P100" s="616">
        <v>0</v>
      </c>
      <c r="Q100" s="616">
        <v>0</v>
      </c>
      <c r="R100" s="615">
        <f t="shared" si="78"/>
        <v>0</v>
      </c>
      <c r="S100" s="616">
        <f t="shared" si="79"/>
        <v>0</v>
      </c>
      <c r="T100" s="616">
        <f t="shared" si="80"/>
        <v>0</v>
      </c>
      <c r="U100" s="620">
        <f t="shared" si="63"/>
        <v>0</v>
      </c>
      <c r="V100" s="220"/>
      <c r="W100" s="615">
        <f t="shared" si="82"/>
        <v>0</v>
      </c>
      <c r="X100" s="616">
        <v>400</v>
      </c>
      <c r="Y100" s="615">
        <f t="shared" si="8"/>
        <v>400</v>
      </c>
      <c r="Z100" s="621">
        <f t="shared" si="74"/>
        <v>0.41283759794572011</v>
      </c>
      <c r="AB100" s="196"/>
    </row>
    <row r="101" spans="1:29" s="204" customFormat="1" x14ac:dyDescent="0.2">
      <c r="A101" s="622" t="s">
        <v>78</v>
      </c>
      <c r="B101" s="623"/>
      <c r="C101" s="615">
        <v>0</v>
      </c>
      <c r="D101" s="615">
        <v>7.9269999999999996</v>
      </c>
      <c r="E101" s="423">
        <v>0</v>
      </c>
      <c r="F101" s="423">
        <v>0</v>
      </c>
      <c r="G101" s="544">
        <v>0</v>
      </c>
      <c r="H101" s="618">
        <v>0</v>
      </c>
      <c r="I101" s="618">
        <v>0</v>
      </c>
      <c r="J101" s="618">
        <v>0</v>
      </c>
      <c r="K101" s="619">
        <v>0</v>
      </c>
      <c r="L101" s="598"/>
      <c r="M101" s="615"/>
      <c r="N101" s="620">
        <f t="shared" si="65"/>
        <v>0</v>
      </c>
      <c r="O101" s="615">
        <v>0</v>
      </c>
      <c r="P101" s="616">
        <v>0</v>
      </c>
      <c r="Q101" s="616">
        <v>0</v>
      </c>
      <c r="R101" s="615">
        <f t="shared" si="78"/>
        <v>0</v>
      </c>
      <c r="S101" s="616">
        <f t="shared" si="79"/>
        <v>0</v>
      </c>
      <c r="T101" s="616">
        <f t="shared" si="80"/>
        <v>0</v>
      </c>
      <c r="U101" s="620">
        <f t="shared" si="63"/>
        <v>0</v>
      </c>
      <c r="V101" s="220"/>
      <c r="W101" s="615">
        <f t="shared" si="82"/>
        <v>0</v>
      </c>
      <c r="X101" s="616"/>
      <c r="Y101" s="615">
        <f t="shared" si="8"/>
        <v>0</v>
      </c>
      <c r="Z101" s="621">
        <f t="shared" si="74"/>
        <v>0</v>
      </c>
      <c r="AB101" s="196"/>
    </row>
    <row r="102" spans="1:29" s="204" customFormat="1" ht="13.5" customHeight="1" x14ac:dyDescent="0.2">
      <c r="A102" s="622" t="s">
        <v>593</v>
      </c>
      <c r="B102" s="623"/>
      <c r="C102" s="615">
        <v>0</v>
      </c>
      <c r="D102" s="631">
        <v>48.220390999999999</v>
      </c>
      <c r="E102" s="423">
        <v>87.817295999999999</v>
      </c>
      <c r="F102" s="423">
        <v>117.23766000000001</v>
      </c>
      <c r="G102" s="544">
        <v>38.763451000000003</v>
      </c>
      <c r="H102" s="618">
        <v>0</v>
      </c>
      <c r="I102" s="618">
        <v>0</v>
      </c>
      <c r="J102" s="618">
        <v>0</v>
      </c>
      <c r="K102" s="619">
        <v>0</v>
      </c>
      <c r="L102" s="598"/>
      <c r="M102" s="615"/>
      <c r="N102" s="620">
        <f t="shared" si="65"/>
        <v>0</v>
      </c>
      <c r="O102" s="615">
        <v>0</v>
      </c>
      <c r="P102" s="616">
        <v>0</v>
      </c>
      <c r="Q102" s="616">
        <v>0</v>
      </c>
      <c r="R102" s="615">
        <f t="shared" si="78"/>
        <v>0</v>
      </c>
      <c r="S102" s="616">
        <f t="shared" si="79"/>
        <v>0</v>
      </c>
      <c r="T102" s="616">
        <f t="shared" si="80"/>
        <v>0</v>
      </c>
      <c r="U102" s="620">
        <f t="shared" si="63"/>
        <v>0</v>
      </c>
      <c r="V102" s="220"/>
      <c r="W102" s="615">
        <f t="shared" si="82"/>
        <v>0</v>
      </c>
      <c r="X102" s="616">
        <v>87.817295999999999</v>
      </c>
      <c r="Y102" s="615">
        <f t="shared" si="8"/>
        <v>87.817295999999999</v>
      </c>
      <c r="Z102" s="621">
        <f t="shared" si="74"/>
        <v>9.063570384682075E-2</v>
      </c>
      <c r="AB102" s="196"/>
    </row>
    <row r="103" spans="1:29" s="204" customFormat="1" x14ac:dyDescent="0.2">
      <c r="A103" s="622" t="s">
        <v>562</v>
      </c>
      <c r="B103" s="623"/>
      <c r="C103" s="620">
        <v>649.81910600000003</v>
      </c>
      <c r="D103" s="616">
        <f>620-D185</f>
        <v>614.06200000000001</v>
      </c>
      <c r="E103" s="616">
        <v>611.28581599999995</v>
      </c>
      <c r="F103" s="616">
        <v>621.13919199999998</v>
      </c>
      <c r="G103" s="617">
        <v>628.83136300000001</v>
      </c>
      <c r="H103" s="618">
        <v>603.74199999999996</v>
      </c>
      <c r="I103" s="618">
        <v>415.75399079017745</v>
      </c>
      <c r="J103" s="618">
        <v>726.83215491416718</v>
      </c>
      <c r="K103" s="619">
        <v>744.34528524565155</v>
      </c>
      <c r="L103" s="598"/>
      <c r="M103" s="620">
        <v>111.1</v>
      </c>
      <c r="N103" s="620">
        <f t="shared" si="65"/>
        <v>714.84199999999998</v>
      </c>
      <c r="O103" s="615">
        <v>751.55881030368198</v>
      </c>
      <c r="P103" s="616">
        <v>790.56475134607115</v>
      </c>
      <c r="Q103" s="616">
        <v>821.35216704064464</v>
      </c>
      <c r="R103" s="615">
        <f t="shared" si="78"/>
        <v>-335.80481951350453</v>
      </c>
      <c r="S103" s="616">
        <f t="shared" si="79"/>
        <v>-63.732596431903971</v>
      </c>
      <c r="T103" s="616">
        <f t="shared" si="80"/>
        <v>-77.006881794993092</v>
      </c>
      <c r="U103" s="620">
        <f t="shared" si="63"/>
        <v>36.716810303681996</v>
      </c>
      <c r="V103" s="220"/>
      <c r="W103" s="615">
        <f t="shared" si="82"/>
        <v>751.55881030368198</v>
      </c>
      <c r="X103" s="616">
        <v>611.28581599999995</v>
      </c>
      <c r="Y103" s="615">
        <f t="shared" si="8"/>
        <v>-140.27299430368203</v>
      </c>
      <c r="Z103" s="621">
        <f t="shared" si="74"/>
        <v>-0.14477491506246443</v>
      </c>
      <c r="AA103" s="201"/>
      <c r="AB103" s="196"/>
    </row>
    <row r="104" spans="1:29" s="204" customFormat="1" x14ac:dyDescent="0.2">
      <c r="A104" s="622" t="s">
        <v>564</v>
      </c>
      <c r="B104" s="623"/>
      <c r="C104" s="631">
        <v>20.384215999999999</v>
      </c>
      <c r="D104" s="631">
        <v>0</v>
      </c>
      <c r="E104" s="633">
        <v>0</v>
      </c>
      <c r="F104" s="633">
        <v>0</v>
      </c>
      <c r="G104" s="634">
        <v>0</v>
      </c>
      <c r="H104" s="813">
        <v>15.384215999999999</v>
      </c>
      <c r="I104" s="813">
        <v>20.384215999999999</v>
      </c>
      <c r="J104" s="813">
        <v>20.384215999999999</v>
      </c>
      <c r="K104" s="814">
        <v>20.384215999999999</v>
      </c>
      <c r="L104" s="598"/>
      <c r="M104" s="615"/>
      <c r="N104" s="620">
        <f t="shared" si="65"/>
        <v>15.384215999999999</v>
      </c>
      <c r="O104" s="631">
        <v>15.754020313815122</v>
      </c>
      <c r="P104" s="616">
        <v>16.142889245781383</v>
      </c>
      <c r="Q104" s="616">
        <v>16.555861769371347</v>
      </c>
      <c r="R104" s="615">
        <f t="shared" si="78"/>
        <v>4.6301956861848765</v>
      </c>
      <c r="S104" s="616">
        <f t="shared" si="79"/>
        <v>4.2413267542186155</v>
      </c>
      <c r="T104" s="616">
        <f t="shared" si="80"/>
        <v>3.8283542306286513</v>
      </c>
      <c r="U104" s="620">
        <f t="shared" si="63"/>
        <v>0.36980431381512346</v>
      </c>
      <c r="V104" s="220"/>
      <c r="W104" s="809">
        <f>O104</f>
        <v>15.754020313815122</v>
      </c>
      <c r="X104" s="618">
        <v>20.384215999999999</v>
      </c>
      <c r="Y104" s="809">
        <f>X104-W104</f>
        <v>4.6301956861848765</v>
      </c>
      <c r="Z104" s="815">
        <f t="shared" si="74"/>
        <v>4.7787971627579993E-3</v>
      </c>
      <c r="AB104" s="196"/>
    </row>
    <row r="105" spans="1:29" s="204" customFormat="1" x14ac:dyDescent="0.2">
      <c r="A105" s="622" t="s">
        <v>574</v>
      </c>
      <c r="B105" s="623"/>
      <c r="C105" s="631">
        <v>51.131266481300003</v>
      </c>
      <c r="D105" s="631">
        <v>37.344000000000001</v>
      </c>
      <c r="E105" s="633">
        <f>21.086414-2.250233</f>
        <v>18.836181</v>
      </c>
      <c r="F105" s="633">
        <f>22.0831-3.328761</f>
        <v>18.754339000000002</v>
      </c>
      <c r="G105" s="634">
        <f>21.33941-2.576121</f>
        <v>18.763289</v>
      </c>
      <c r="H105" s="813">
        <v>10.437000000000001</v>
      </c>
      <c r="I105" s="813">
        <v>18.836181</v>
      </c>
      <c r="J105" s="813">
        <v>18.754339000000002</v>
      </c>
      <c r="K105" s="814">
        <v>18.763289</v>
      </c>
      <c r="L105" s="598"/>
      <c r="M105" s="631"/>
      <c r="N105" s="620">
        <f t="shared" si="65"/>
        <v>10.437000000000001</v>
      </c>
      <c r="O105" s="631">
        <v>10.687883608452225</v>
      </c>
      <c r="P105" s="633">
        <v>10.951701084944485</v>
      </c>
      <c r="Q105" s="633">
        <v>11.231870983021089</v>
      </c>
      <c r="R105" s="631">
        <f t="shared" si="78"/>
        <v>8.148297391547775</v>
      </c>
      <c r="S105" s="633">
        <f t="shared" si="79"/>
        <v>7.8026379150555165</v>
      </c>
      <c r="T105" s="633">
        <f t="shared" si="80"/>
        <v>7.5314180169789111</v>
      </c>
      <c r="U105" s="635">
        <f t="shared" si="63"/>
        <v>0.25088360845222368</v>
      </c>
      <c r="V105" s="220"/>
      <c r="W105" s="615">
        <f t="shared" si="82"/>
        <v>10.687883608452225</v>
      </c>
      <c r="X105" s="616">
        <v>18.836181</v>
      </c>
      <c r="Y105" s="615">
        <f t="shared" si="8"/>
        <v>8.148297391547775</v>
      </c>
      <c r="Z105" s="621">
        <f t="shared" si="74"/>
        <v>8.4098088061849013E-3</v>
      </c>
      <c r="AB105" s="196"/>
      <c r="AC105" s="196"/>
    </row>
    <row r="106" spans="1:29" s="204" customFormat="1" x14ac:dyDescent="0.2">
      <c r="A106" s="622" t="s">
        <v>565</v>
      </c>
      <c r="B106" s="623"/>
      <c r="C106" s="631">
        <v>21.422121938599997</v>
      </c>
      <c r="D106" s="631">
        <v>23.986280000000001</v>
      </c>
      <c r="E106" s="633">
        <v>0</v>
      </c>
      <c r="F106" s="633">
        <v>0</v>
      </c>
      <c r="G106" s="634">
        <v>0</v>
      </c>
      <c r="H106" s="813">
        <v>21.422121938599997</v>
      </c>
      <c r="I106" s="813">
        <v>21.422121938599997</v>
      </c>
      <c r="J106" s="813">
        <v>21.422121938599997</v>
      </c>
      <c r="K106" s="814">
        <v>21.422121938599997</v>
      </c>
      <c r="L106" s="598"/>
      <c r="M106" s="631"/>
      <c r="N106" s="620">
        <f t="shared" si="65"/>
        <v>21.422121938599997</v>
      </c>
      <c r="O106" s="631">
        <v>21.937064858276102</v>
      </c>
      <c r="P106" s="633">
        <v>22.478554764470502</v>
      </c>
      <c r="Q106" s="633">
        <v>23.053608297106521</v>
      </c>
      <c r="R106" s="631">
        <f t="shared" si="78"/>
        <v>-0.5149429196761055</v>
      </c>
      <c r="S106" s="633">
        <f t="shared" si="79"/>
        <v>-1.0564328258705054</v>
      </c>
      <c r="T106" s="633">
        <f t="shared" si="80"/>
        <v>-1.6314863585065247</v>
      </c>
      <c r="U106" s="635">
        <f t="shared" si="63"/>
        <v>0.5149429196761055</v>
      </c>
      <c r="V106" s="220"/>
      <c r="W106" s="615">
        <f t="shared" si="82"/>
        <v>21.937064858276102</v>
      </c>
      <c r="X106" s="616">
        <v>21.422121938599997</v>
      </c>
      <c r="Y106" s="615">
        <f t="shared" si="8"/>
        <v>-0.5149429196761055</v>
      </c>
      <c r="Z106" s="621">
        <f t="shared" si="74"/>
        <v>-5.3146949509559822E-4</v>
      </c>
      <c r="AB106" s="196"/>
    </row>
    <row r="107" spans="1:29" s="204" customFormat="1" x14ac:dyDescent="0.2">
      <c r="A107" s="622" t="s">
        <v>497</v>
      </c>
      <c r="B107" s="623"/>
      <c r="C107" s="620">
        <v>3337.3404884187757</v>
      </c>
      <c r="D107" s="615">
        <f>D88-SUM(D89:D106)</f>
        <v>3445.0293733799999</v>
      </c>
      <c r="E107" s="616">
        <f>E88-SUM(E89:E106)</f>
        <v>3340.8725738800003</v>
      </c>
      <c r="F107" s="616">
        <f>F88-SUM(F89:F106)</f>
        <v>3332.4277412600004</v>
      </c>
      <c r="G107" s="617">
        <f>G88-SUM(G89:G106)</f>
        <v>3391.0391310100003</v>
      </c>
      <c r="H107" s="618">
        <v>3365.8433733799998</v>
      </c>
      <c r="I107" s="618">
        <v>3639.2822494512516</v>
      </c>
      <c r="J107" s="618">
        <v>3695.8879081090913</v>
      </c>
      <c r="K107" s="619">
        <v>3775.0269538619464</v>
      </c>
      <c r="L107" s="598"/>
      <c r="M107" s="615"/>
      <c r="N107" s="620">
        <f t="shared" si="65"/>
        <v>3365.8433733799998</v>
      </c>
      <c r="O107" s="615">
        <v>3446.7511946886693</v>
      </c>
      <c r="P107" s="616">
        <v>3531.8300779916594</v>
      </c>
      <c r="Q107" s="616">
        <v>3622.182477614318</v>
      </c>
      <c r="R107" s="615">
        <f t="shared" si="78"/>
        <v>192.53105476258224</v>
      </c>
      <c r="S107" s="616">
        <f t="shared" si="79"/>
        <v>164.05783011743188</v>
      </c>
      <c r="T107" s="616">
        <f t="shared" si="80"/>
        <v>152.84447624762834</v>
      </c>
      <c r="U107" s="620">
        <f t="shared" si="63"/>
        <v>80.907821308669554</v>
      </c>
      <c r="V107" s="220"/>
      <c r="W107" s="615">
        <f t="shared" si="82"/>
        <v>3446.7511946886693</v>
      </c>
      <c r="X107" s="616">
        <v>3340.8725738800003</v>
      </c>
      <c r="Y107" s="615">
        <f>X107-W107</f>
        <v>-105.87862080866898</v>
      </c>
      <c r="Z107" s="621">
        <f t="shared" si="74"/>
        <v>-0.10927668872114162</v>
      </c>
      <c r="AA107" s="201"/>
      <c r="AB107" s="196"/>
    </row>
    <row r="108" spans="1:29" s="206" customFormat="1" x14ac:dyDescent="0.2">
      <c r="A108" s="479" t="s">
        <v>122</v>
      </c>
      <c r="B108" s="641" t="s">
        <v>594</v>
      </c>
      <c r="C108" s="605">
        <v>15715.3</v>
      </c>
      <c r="D108" s="651">
        <v>16404.2</v>
      </c>
      <c r="E108" s="656">
        <v>16849.149000000001</v>
      </c>
      <c r="F108" s="656">
        <v>17124.057000000001</v>
      </c>
      <c r="G108" s="657">
        <v>17458.151000000002</v>
      </c>
      <c r="H108" s="658">
        <f t="shared" ref="H108:K108" si="84">SUM(H109:H125)</f>
        <v>16355.481051255918</v>
      </c>
      <c r="I108" s="658">
        <f t="shared" si="84"/>
        <v>16945.610559787554</v>
      </c>
      <c r="J108" s="658">
        <f t="shared" si="84"/>
        <v>17487.450817167788</v>
      </c>
      <c r="K108" s="659">
        <f t="shared" si="84"/>
        <v>17896.701283818846</v>
      </c>
      <c r="L108" s="653"/>
      <c r="M108" s="829"/>
      <c r="N108" s="604">
        <f t="shared" si="65"/>
        <v>16355.481051255918</v>
      </c>
      <c r="O108" s="605">
        <f t="shared" ref="O108:T108" si="85">SUM(O109:O125)</f>
        <v>16996.744491917212</v>
      </c>
      <c r="P108" s="637">
        <f t="shared" si="85"/>
        <v>17709.845161045017</v>
      </c>
      <c r="Q108" s="637">
        <f t="shared" si="85"/>
        <v>18370.068728408565</v>
      </c>
      <c r="R108" s="605">
        <f t="shared" si="85"/>
        <v>-51.13393212965407</v>
      </c>
      <c r="S108" s="637">
        <f t="shared" si="85"/>
        <v>-222.39434387722611</v>
      </c>
      <c r="T108" s="637">
        <f t="shared" si="85"/>
        <v>-473.36744458971566</v>
      </c>
      <c r="U108" s="604">
        <f t="shared" si="63"/>
        <v>641.26344066129423</v>
      </c>
      <c r="V108" s="424"/>
      <c r="W108" s="605">
        <f>SUM(W109:W125)</f>
        <v>16996.744491917212</v>
      </c>
      <c r="X108" s="637">
        <v>16752.837589000002</v>
      </c>
      <c r="Y108" s="605">
        <f t="shared" si="8"/>
        <v>-243.90690291720966</v>
      </c>
      <c r="Z108" s="638">
        <f t="shared" si="74"/>
        <v>-0.251734849806802</v>
      </c>
      <c r="AB108" s="196"/>
    </row>
    <row r="109" spans="1:29" s="204" customFormat="1" x14ac:dyDescent="0.2">
      <c r="A109" s="622" t="s">
        <v>595</v>
      </c>
      <c r="B109" s="623"/>
      <c r="C109" s="615">
        <v>6766.1823673299996</v>
      </c>
      <c r="D109" s="631">
        <f>7053.494+37.1333-42.38</f>
        <v>7048.2473</v>
      </c>
      <c r="E109" s="616">
        <v>7327.0410000000002</v>
      </c>
      <c r="F109" s="616">
        <v>7594.1769999999997</v>
      </c>
      <c r="G109" s="617">
        <v>7856.0879999999997</v>
      </c>
      <c r="H109" s="618">
        <v>7072.3993</v>
      </c>
      <c r="I109" s="618">
        <v>7327.0410000000002</v>
      </c>
      <c r="J109" s="618">
        <v>7594.1769999999997</v>
      </c>
      <c r="K109" s="619">
        <v>7856.0879999999997</v>
      </c>
      <c r="L109" s="423"/>
      <c r="M109" s="652"/>
      <c r="N109" s="620">
        <f t="shared" ref="N109:N140" si="86">H109+M109</f>
        <v>7072.3993</v>
      </c>
      <c r="O109" s="615">
        <f>I109</f>
        <v>7327.0410000000002</v>
      </c>
      <c r="P109" s="616">
        <f>J109</f>
        <v>7594.1769999999997</v>
      </c>
      <c r="Q109" s="616">
        <f>K109</f>
        <v>7856.0879999999997</v>
      </c>
      <c r="R109" s="615">
        <f t="shared" ref="R109:R125" si="87">I109-O109</f>
        <v>0</v>
      </c>
      <c r="S109" s="616">
        <f t="shared" ref="S109:S125" si="88">J109-P109</f>
        <v>0</v>
      </c>
      <c r="T109" s="616">
        <f t="shared" ref="T109:T125" si="89">K109-Q109</f>
        <v>0</v>
      </c>
      <c r="U109" s="620">
        <f t="shared" si="63"/>
        <v>254.64170000000013</v>
      </c>
      <c r="V109" s="220"/>
      <c r="W109" s="615">
        <f t="shared" ref="W109:W121" si="90">O109</f>
        <v>7327.0410000000002</v>
      </c>
      <c r="X109" s="616">
        <v>7327.0410000000002</v>
      </c>
      <c r="Y109" s="615">
        <f t="shared" si="8"/>
        <v>0</v>
      </c>
      <c r="Z109" s="621">
        <f t="shared" si="74"/>
        <v>0</v>
      </c>
      <c r="AB109" s="196"/>
    </row>
    <row r="110" spans="1:29" s="204" customFormat="1" x14ac:dyDescent="0.2">
      <c r="A110" s="622" t="s">
        <v>596</v>
      </c>
      <c r="B110" s="623"/>
      <c r="C110" s="615">
        <v>565.37697658000002</v>
      </c>
      <c r="D110" s="631">
        <v>646.6</v>
      </c>
      <c r="E110" s="616">
        <v>690.37400000000002</v>
      </c>
      <c r="F110" s="616">
        <v>727.20399999999995</v>
      </c>
      <c r="G110" s="617">
        <v>764.54</v>
      </c>
      <c r="H110" s="618">
        <v>671.47199999999998</v>
      </c>
      <c r="I110" s="618">
        <v>690.37400000000002</v>
      </c>
      <c r="J110" s="618">
        <v>727.20399999999995</v>
      </c>
      <c r="K110" s="619">
        <v>764.54</v>
      </c>
      <c r="L110" s="423"/>
      <c r="M110" s="652"/>
      <c r="N110" s="620">
        <f t="shared" si="86"/>
        <v>671.47199999999998</v>
      </c>
      <c r="O110" s="615">
        <v>717.92629346950559</v>
      </c>
      <c r="P110" s="616">
        <v>765.67259697689553</v>
      </c>
      <c r="Q110" s="616">
        <v>812.37202221139569</v>
      </c>
      <c r="R110" s="615">
        <f t="shared" si="87"/>
        <v>-27.552293469505571</v>
      </c>
      <c r="S110" s="616">
        <f t="shared" si="88"/>
        <v>-38.468596976895583</v>
      </c>
      <c r="T110" s="616">
        <f t="shared" si="89"/>
        <v>-47.832022211395724</v>
      </c>
      <c r="U110" s="620">
        <f t="shared" si="63"/>
        <v>46.454293469505615</v>
      </c>
      <c r="V110" s="220"/>
      <c r="W110" s="615">
        <f t="shared" si="90"/>
        <v>717.92629346950559</v>
      </c>
      <c r="X110" s="616">
        <v>690.37400000000002</v>
      </c>
      <c r="Y110" s="615">
        <f t="shared" si="8"/>
        <v>-27.552293469505571</v>
      </c>
      <c r="Z110" s="621">
        <f t="shared" si="74"/>
        <v>-2.8436556634615581E-2</v>
      </c>
      <c r="AB110" s="196"/>
    </row>
    <row r="111" spans="1:29" s="204" customFormat="1" x14ac:dyDescent="0.2">
      <c r="A111" s="622" t="s">
        <v>597</v>
      </c>
      <c r="B111" s="623"/>
      <c r="C111" s="615">
        <v>45.336887070000003</v>
      </c>
      <c r="D111" s="631">
        <v>51.56</v>
      </c>
      <c r="E111" s="616">
        <v>55.7</v>
      </c>
      <c r="F111" s="616">
        <v>59.936</v>
      </c>
      <c r="G111" s="617">
        <v>64.433999999999997</v>
      </c>
      <c r="H111" s="618">
        <v>47.847999999999999</v>
      </c>
      <c r="I111" s="618">
        <v>55.7</v>
      </c>
      <c r="J111" s="618">
        <v>59.936</v>
      </c>
      <c r="K111" s="619">
        <v>64.433999999999997</v>
      </c>
      <c r="L111" s="423"/>
      <c r="M111" s="652"/>
      <c r="N111" s="620">
        <f t="shared" si="86"/>
        <v>47.847999999999999</v>
      </c>
      <c r="O111" s="615">
        <v>49.820017432264372</v>
      </c>
      <c r="P111" s="616">
        <v>51.895910590789647</v>
      </c>
      <c r="Q111" s="616">
        <v>53.985271008216259</v>
      </c>
      <c r="R111" s="615">
        <f t="shared" si="87"/>
        <v>5.879982567735631</v>
      </c>
      <c r="S111" s="616">
        <f t="shared" si="88"/>
        <v>8.0400894092103528</v>
      </c>
      <c r="T111" s="616">
        <f t="shared" si="89"/>
        <v>10.448728991783739</v>
      </c>
      <c r="U111" s="620">
        <f t="shared" si="63"/>
        <v>1.9720174322643729</v>
      </c>
      <c r="V111" s="220"/>
      <c r="W111" s="615">
        <f t="shared" si="90"/>
        <v>49.820017432264372</v>
      </c>
      <c r="X111" s="616">
        <v>55.7</v>
      </c>
      <c r="Y111" s="615">
        <f t="shared" si="8"/>
        <v>5.879982567735631</v>
      </c>
      <c r="Z111" s="621">
        <f t="shared" si="74"/>
        <v>6.0686946980667133E-3</v>
      </c>
      <c r="AB111" s="196"/>
    </row>
    <row r="112" spans="1:29" s="204" customFormat="1" x14ac:dyDescent="0.2">
      <c r="A112" s="622" t="s">
        <v>598</v>
      </c>
      <c r="B112" s="623"/>
      <c r="C112" s="615">
        <v>167.65545218</v>
      </c>
      <c r="D112" s="631">
        <v>170.1</v>
      </c>
      <c r="E112" s="616">
        <v>165.24799999999999</v>
      </c>
      <c r="F112" s="616">
        <v>166.97</v>
      </c>
      <c r="G112" s="617">
        <v>168.61199999999999</v>
      </c>
      <c r="H112" s="618">
        <v>183.69499999999999</v>
      </c>
      <c r="I112" s="618">
        <v>165.24799999999999</v>
      </c>
      <c r="J112" s="618">
        <v>166.97</v>
      </c>
      <c r="K112" s="619">
        <v>168.61199999999999</v>
      </c>
      <c r="L112" s="423"/>
      <c r="M112" s="652"/>
      <c r="N112" s="620">
        <f t="shared" si="86"/>
        <v>183.69499999999999</v>
      </c>
      <c r="O112" s="615">
        <v>180.74057486479688</v>
      </c>
      <c r="P112" s="616">
        <v>177.90089686070178</v>
      </c>
      <c r="Q112" s="616">
        <v>178.99059663088525</v>
      </c>
      <c r="R112" s="615">
        <f t="shared" si="87"/>
        <v>-15.492574864796893</v>
      </c>
      <c r="S112" s="616">
        <f t="shared" si="88"/>
        <v>-10.930896860701779</v>
      </c>
      <c r="T112" s="616">
        <f t="shared" si="89"/>
        <v>-10.378596630885255</v>
      </c>
      <c r="U112" s="620">
        <f t="shared" si="63"/>
        <v>-2.9544251352031097</v>
      </c>
      <c r="V112" s="220"/>
      <c r="W112" s="615">
        <f t="shared" si="90"/>
        <v>180.74057486479688</v>
      </c>
      <c r="X112" s="616">
        <v>165.24799999999999</v>
      </c>
      <c r="Y112" s="615">
        <f t="shared" si="8"/>
        <v>-15.492574864796893</v>
      </c>
      <c r="Z112" s="621">
        <f t="shared" si="74"/>
        <v>-1.5989793482942473E-2</v>
      </c>
      <c r="AB112" s="196"/>
    </row>
    <row r="113" spans="1:28" s="204" customFormat="1" x14ac:dyDescent="0.2">
      <c r="A113" s="622" t="s">
        <v>599</v>
      </c>
      <c r="B113" s="623"/>
      <c r="C113" s="615">
        <v>4246.5420000000004</v>
      </c>
      <c r="D113" s="631">
        <v>4494.1050000000005</v>
      </c>
      <c r="E113" s="616">
        <v>4703.5010000000002</v>
      </c>
      <c r="F113" s="616">
        <v>4810.326</v>
      </c>
      <c r="G113" s="617">
        <v>4960.4430000000002</v>
      </c>
      <c r="H113" s="618">
        <v>4456.4690000000001</v>
      </c>
      <c r="I113" s="618">
        <v>4690.6021639999999</v>
      </c>
      <c r="J113" s="618">
        <v>4933.773066667095</v>
      </c>
      <c r="K113" s="619">
        <v>5125.708024911035</v>
      </c>
      <c r="L113" s="423"/>
      <c r="M113" s="652"/>
      <c r="N113" s="620">
        <f t="shared" si="86"/>
        <v>4456.4690000000001</v>
      </c>
      <c r="O113" s="615">
        <v>4685.3689903436552</v>
      </c>
      <c r="P113" s="616">
        <v>4928.5398827523759</v>
      </c>
      <c r="Q113" s="616">
        <v>5120.4748328993737</v>
      </c>
      <c r="R113" s="615">
        <f t="shared" si="87"/>
        <v>5.2331736563446611</v>
      </c>
      <c r="S113" s="616">
        <f t="shared" si="88"/>
        <v>5.2331839147191204</v>
      </c>
      <c r="T113" s="616">
        <f t="shared" si="89"/>
        <v>5.2331920116612309</v>
      </c>
      <c r="U113" s="620">
        <f t="shared" si="63"/>
        <v>228.89999034365519</v>
      </c>
      <c r="V113" s="220"/>
      <c r="W113" s="615">
        <f t="shared" si="90"/>
        <v>4685.3689903436552</v>
      </c>
      <c r="X113" s="616">
        <v>4703.5010000000002</v>
      </c>
      <c r="Y113" s="615">
        <f t="shared" si="8"/>
        <v>18.132009656344962</v>
      </c>
      <c r="Z113" s="621">
        <f t="shared" si="74"/>
        <v>1.8713938281135142E-2</v>
      </c>
      <c r="AB113" s="196"/>
    </row>
    <row r="114" spans="1:28" s="204" customFormat="1" x14ac:dyDescent="0.2">
      <c r="A114" s="622" t="s">
        <v>600</v>
      </c>
      <c r="B114" s="623"/>
      <c r="C114" s="615">
        <v>1302.6273388699999</v>
      </c>
      <c r="D114" s="631">
        <v>1362.337</v>
      </c>
      <c r="E114" s="616">
        <v>1457.03</v>
      </c>
      <c r="F114" s="616">
        <v>1480.4639999999999</v>
      </c>
      <c r="G114" s="617">
        <v>1501.912</v>
      </c>
      <c r="H114" s="618">
        <v>1343.3689999999999</v>
      </c>
      <c r="I114" s="618">
        <v>1518.33</v>
      </c>
      <c r="J114" s="618">
        <v>1541.7639999999999</v>
      </c>
      <c r="K114" s="619">
        <v>1563.212</v>
      </c>
      <c r="L114" s="423"/>
      <c r="M114" s="652"/>
      <c r="N114" s="620">
        <f t="shared" si="86"/>
        <v>1343.3689999999999</v>
      </c>
      <c r="O114" s="615">
        <v>1370.6780673072897</v>
      </c>
      <c r="P114" s="616">
        <v>1400.7627186506479</v>
      </c>
      <c r="Q114" s="616">
        <v>1433.6440351889792</v>
      </c>
      <c r="R114" s="615">
        <f t="shared" si="87"/>
        <v>147.65193269271026</v>
      </c>
      <c r="S114" s="616">
        <f t="shared" si="88"/>
        <v>141.00128134935198</v>
      </c>
      <c r="T114" s="616">
        <f t="shared" si="89"/>
        <v>129.56796481102083</v>
      </c>
      <c r="U114" s="620">
        <f t="shared" si="63"/>
        <v>27.309067307289752</v>
      </c>
      <c r="V114" s="220"/>
      <c r="W114" s="615">
        <f t="shared" si="90"/>
        <v>1370.6780673072897</v>
      </c>
      <c r="X114" s="616">
        <v>1457.03</v>
      </c>
      <c r="Y114" s="615">
        <f t="shared" ref="Y114:Y193" si="91">X114-W114</f>
        <v>86.351932692710307</v>
      </c>
      <c r="Z114" s="621">
        <f t="shared" si="74"/>
        <v>8.9123311177072562E-2</v>
      </c>
      <c r="AB114" s="196"/>
    </row>
    <row r="115" spans="1:28" s="204" customFormat="1" x14ac:dyDescent="0.2">
      <c r="A115" s="622" t="s">
        <v>601</v>
      </c>
      <c r="B115" s="623"/>
      <c r="C115" s="615">
        <v>246.003266</v>
      </c>
      <c r="D115" s="615">
        <v>243.28799999999995</v>
      </c>
      <c r="E115" s="616">
        <v>259.54899999999998</v>
      </c>
      <c r="F115" s="616">
        <v>275.601</v>
      </c>
      <c r="G115" s="617">
        <v>292.005</v>
      </c>
      <c r="H115" s="618">
        <v>270.63099999999997</v>
      </c>
      <c r="I115" s="618">
        <v>259.54899999999998</v>
      </c>
      <c r="J115" s="618">
        <v>275.601</v>
      </c>
      <c r="K115" s="619">
        <v>292.005</v>
      </c>
      <c r="L115" s="423"/>
      <c r="M115" s="652"/>
      <c r="N115" s="620">
        <f t="shared" si="86"/>
        <v>270.63099999999997</v>
      </c>
      <c r="O115" s="615">
        <v>283.09426973684202</v>
      </c>
      <c r="P115" s="616">
        <v>300.72738470947405</v>
      </c>
      <c r="Q115" s="616">
        <v>318.6155628598849</v>
      </c>
      <c r="R115" s="615">
        <f t="shared" si="87"/>
        <v>-23.545269736842044</v>
      </c>
      <c r="S115" s="616">
        <f t="shared" si="88"/>
        <v>-25.126384709474053</v>
      </c>
      <c r="T115" s="616">
        <f t="shared" si="89"/>
        <v>-26.610562859884908</v>
      </c>
      <c r="U115" s="620">
        <f t="shared" si="63"/>
        <v>12.463269736842051</v>
      </c>
      <c r="V115" s="220"/>
      <c r="W115" s="615">
        <f t="shared" si="90"/>
        <v>283.09426973684202</v>
      </c>
      <c r="X115" s="616">
        <v>259.54899999999998</v>
      </c>
      <c r="Y115" s="615">
        <f t="shared" si="91"/>
        <v>-23.545269736842044</v>
      </c>
      <c r="Z115" s="621">
        <f t="shared" si="74"/>
        <v>-2.4300931502854822E-2</v>
      </c>
      <c r="AB115" s="196"/>
    </row>
    <row r="116" spans="1:28" s="204" customFormat="1" x14ac:dyDescent="0.2">
      <c r="A116" s="622" t="s">
        <v>602</v>
      </c>
      <c r="B116" s="623"/>
      <c r="C116" s="615">
        <v>1299.2790002199999</v>
      </c>
      <c r="D116" s="615">
        <f>1166+40.039</f>
        <v>1206.039</v>
      </c>
      <c r="E116" s="618">
        <f>960+32.57</f>
        <v>992.57</v>
      </c>
      <c r="F116" s="618">
        <v>790</v>
      </c>
      <c r="G116" s="619">
        <v>630</v>
      </c>
      <c r="H116" s="618">
        <v>1206.221</v>
      </c>
      <c r="I116" s="618">
        <v>1065.1378831281806</v>
      </c>
      <c r="J116" s="618">
        <v>988.48511760655538</v>
      </c>
      <c r="K116" s="619">
        <v>859.12193672510489</v>
      </c>
      <c r="L116" s="423"/>
      <c r="M116" s="652"/>
      <c r="N116" s="620">
        <f t="shared" si="86"/>
        <v>1206.221</v>
      </c>
      <c r="O116" s="615">
        <v>1261.7706513157891</v>
      </c>
      <c r="P116" s="616">
        <v>1340.3626587924018</v>
      </c>
      <c r="Q116" s="616">
        <v>1420.091500413527</v>
      </c>
      <c r="R116" s="615">
        <f t="shared" si="87"/>
        <v>-196.63276818760846</v>
      </c>
      <c r="S116" s="616">
        <f t="shared" si="88"/>
        <v>-351.87754118584644</v>
      </c>
      <c r="T116" s="616">
        <f t="shared" si="89"/>
        <v>-560.96956368842211</v>
      </c>
      <c r="U116" s="620">
        <f t="shared" si="63"/>
        <v>55.549651315789106</v>
      </c>
      <c r="V116" s="220"/>
      <c r="W116" s="615">
        <f t="shared" si="90"/>
        <v>1261.7706513157891</v>
      </c>
      <c r="X116" s="616">
        <v>992.57</v>
      </c>
      <c r="Y116" s="615">
        <f t="shared" si="91"/>
        <v>-269.20065131578906</v>
      </c>
      <c r="Z116" s="621">
        <f t="shared" si="74"/>
        <v>-0.27784037563658426</v>
      </c>
      <c r="AB116" s="196"/>
    </row>
    <row r="117" spans="1:28" s="204" customFormat="1" x14ac:dyDescent="0.2">
      <c r="A117" s="622" t="s">
        <v>153</v>
      </c>
      <c r="B117" s="641"/>
      <c r="C117" s="615">
        <v>0</v>
      </c>
      <c r="D117" s="615">
        <v>0.6</v>
      </c>
      <c r="E117" s="616">
        <v>1.2</v>
      </c>
      <c r="F117" s="616">
        <v>2.6459999999999999</v>
      </c>
      <c r="G117" s="617">
        <v>2.3361200000000002</v>
      </c>
      <c r="H117" s="618">
        <v>9.089188520621974</v>
      </c>
      <c r="I117" s="618">
        <v>1.2</v>
      </c>
      <c r="J117" s="618">
        <v>2.6459999999999999</v>
      </c>
      <c r="K117" s="619">
        <v>2.3361200000000002</v>
      </c>
      <c r="L117" s="653"/>
      <c r="M117" s="652"/>
      <c r="N117" s="620">
        <f t="shared" si="86"/>
        <v>9.089188520621974</v>
      </c>
      <c r="O117" s="615">
        <f t="shared" ref="O117:Q118" si="92">I117</f>
        <v>1.2</v>
      </c>
      <c r="P117" s="616">
        <f t="shared" si="92"/>
        <v>2.6459999999999999</v>
      </c>
      <c r="Q117" s="616">
        <f t="shared" si="92"/>
        <v>2.3361200000000002</v>
      </c>
      <c r="R117" s="615">
        <f t="shared" si="87"/>
        <v>0</v>
      </c>
      <c r="S117" s="616">
        <f t="shared" si="88"/>
        <v>0</v>
      </c>
      <c r="T117" s="616">
        <f t="shared" si="89"/>
        <v>0</v>
      </c>
      <c r="U117" s="620">
        <f t="shared" si="63"/>
        <v>-7.8891885206219738</v>
      </c>
      <c r="V117" s="220"/>
      <c r="W117" s="615">
        <f t="shared" si="90"/>
        <v>1.2</v>
      </c>
      <c r="X117" s="616">
        <v>1.2</v>
      </c>
      <c r="Y117" s="615">
        <f t="shared" si="91"/>
        <v>0</v>
      </c>
      <c r="Z117" s="621">
        <f t="shared" si="74"/>
        <v>0</v>
      </c>
      <c r="AB117" s="196"/>
    </row>
    <row r="118" spans="1:28" s="204" customFormat="1" x14ac:dyDescent="0.2">
      <c r="A118" s="622" t="s">
        <v>117</v>
      </c>
      <c r="B118" s="641"/>
      <c r="C118" s="615">
        <v>21.81691648</v>
      </c>
      <c r="D118" s="615">
        <v>24.878</v>
      </c>
      <c r="E118" s="616">
        <v>9.9791910000000001</v>
      </c>
      <c r="F118" s="616">
        <v>26.704996000000001</v>
      </c>
      <c r="G118" s="617">
        <v>26.886559999999999</v>
      </c>
      <c r="H118" s="618">
        <v>22.471020282024256</v>
      </c>
      <c r="I118" s="618">
        <v>23.783114659373449</v>
      </c>
      <c r="J118" s="618">
        <v>25.178039894133832</v>
      </c>
      <c r="K118" s="619">
        <v>26.561293182705597</v>
      </c>
      <c r="L118" s="653"/>
      <c r="M118" s="652"/>
      <c r="N118" s="620">
        <f t="shared" si="86"/>
        <v>22.471020282024256</v>
      </c>
      <c r="O118" s="615">
        <f t="shared" si="92"/>
        <v>23.783114659373449</v>
      </c>
      <c r="P118" s="616">
        <f t="shared" si="92"/>
        <v>25.178039894133832</v>
      </c>
      <c r="Q118" s="616">
        <f t="shared" si="92"/>
        <v>26.561293182705597</v>
      </c>
      <c r="R118" s="615">
        <f t="shared" si="87"/>
        <v>0</v>
      </c>
      <c r="S118" s="616">
        <f t="shared" si="88"/>
        <v>0</v>
      </c>
      <c r="T118" s="616">
        <f t="shared" si="89"/>
        <v>0</v>
      </c>
      <c r="U118" s="620">
        <f t="shared" si="63"/>
        <v>1.3120943773491938</v>
      </c>
      <c r="V118" s="220"/>
      <c r="W118" s="615">
        <f t="shared" si="90"/>
        <v>23.783114659373449</v>
      </c>
      <c r="X118" s="616">
        <v>9.9791910000000001</v>
      </c>
      <c r="Y118" s="615">
        <f t="shared" si="91"/>
        <v>-13.803923659373449</v>
      </c>
      <c r="Z118" s="621">
        <f t="shared" ref="Z118:Z149" si="93">Y118/$X$193*100</f>
        <v>-1.4246946714404574E-2</v>
      </c>
      <c r="AB118" s="196"/>
    </row>
    <row r="119" spans="1:28" s="204" customFormat="1" x14ac:dyDescent="0.2">
      <c r="A119" s="622" t="s">
        <v>603</v>
      </c>
      <c r="B119" s="623"/>
      <c r="C119" s="615">
        <v>189.23599999999999</v>
      </c>
      <c r="D119" s="615">
        <v>166.386</v>
      </c>
      <c r="E119" s="616">
        <f>E40</f>
        <v>173.96700000000001</v>
      </c>
      <c r="F119" s="616">
        <f>F40</f>
        <v>176.489</v>
      </c>
      <c r="G119" s="617">
        <f>G40</f>
        <v>176.24700000000001</v>
      </c>
      <c r="H119" s="618">
        <v>202.07084245327502</v>
      </c>
      <c r="I119" s="618">
        <v>173.96700000000001</v>
      </c>
      <c r="J119" s="618">
        <v>176.489</v>
      </c>
      <c r="K119" s="619">
        <v>176.24700000000001</v>
      </c>
      <c r="L119" s="423"/>
      <c r="M119" s="652"/>
      <c r="N119" s="620">
        <f t="shared" si="86"/>
        <v>202.07084245327502</v>
      </c>
      <c r="O119" s="615">
        <v>206.9282020506362</v>
      </c>
      <c r="P119" s="616">
        <v>212.03597437301698</v>
      </c>
      <c r="Q119" s="616">
        <v>217.46034606357821</v>
      </c>
      <c r="R119" s="615">
        <f t="shared" si="87"/>
        <v>-32.961202050636189</v>
      </c>
      <c r="S119" s="616">
        <f t="shared" si="88"/>
        <v>-35.54697437301698</v>
      </c>
      <c r="T119" s="616">
        <f t="shared" si="89"/>
        <v>-41.2133460635782</v>
      </c>
      <c r="U119" s="620">
        <f t="shared" si="63"/>
        <v>4.8573595973611816</v>
      </c>
      <c r="V119" s="220"/>
      <c r="W119" s="615">
        <f t="shared" si="90"/>
        <v>206.9282020506362</v>
      </c>
      <c r="X119" s="616">
        <v>173.96700000000001</v>
      </c>
      <c r="Y119" s="615">
        <f t="shared" si="91"/>
        <v>-32.961202050636189</v>
      </c>
      <c r="Z119" s="621">
        <f t="shared" si="93"/>
        <v>-3.4019058699970475E-2</v>
      </c>
      <c r="AB119" s="196"/>
    </row>
    <row r="120" spans="1:28" s="204" customFormat="1" x14ac:dyDescent="0.2">
      <c r="A120" s="622" t="s">
        <v>604</v>
      </c>
      <c r="B120" s="623"/>
      <c r="C120" s="615">
        <v>266.31157321913997</v>
      </c>
      <c r="D120" s="615">
        <v>269.98899999999998</v>
      </c>
      <c r="E120" s="616">
        <v>279.83100000000002</v>
      </c>
      <c r="F120" s="616">
        <v>292.38</v>
      </c>
      <c r="G120" s="617">
        <v>305.45</v>
      </c>
      <c r="H120" s="618">
        <v>269.10899999999998</v>
      </c>
      <c r="I120" s="618">
        <v>337.83100000000002</v>
      </c>
      <c r="J120" s="618">
        <v>371.38</v>
      </c>
      <c r="K120" s="619">
        <v>386.45</v>
      </c>
      <c r="L120" s="423"/>
      <c r="M120" s="652"/>
      <c r="N120" s="620">
        <f t="shared" si="86"/>
        <v>269.10899999999998</v>
      </c>
      <c r="O120" s="615">
        <f>E120</f>
        <v>279.83100000000002</v>
      </c>
      <c r="P120" s="616">
        <f>F120</f>
        <v>292.38</v>
      </c>
      <c r="Q120" s="616">
        <f>G120</f>
        <v>305.45</v>
      </c>
      <c r="R120" s="615">
        <f t="shared" si="87"/>
        <v>58</v>
      </c>
      <c r="S120" s="616">
        <f t="shared" si="88"/>
        <v>79</v>
      </c>
      <c r="T120" s="616">
        <f t="shared" si="89"/>
        <v>81</v>
      </c>
      <c r="U120" s="620">
        <f t="shared" si="63"/>
        <v>10.722000000000037</v>
      </c>
      <c r="V120" s="220"/>
      <c r="W120" s="615">
        <f t="shared" si="90"/>
        <v>279.83100000000002</v>
      </c>
      <c r="X120" s="616">
        <v>279.83100000000002</v>
      </c>
      <c r="Y120" s="615">
        <f t="shared" si="91"/>
        <v>0</v>
      </c>
      <c r="Z120" s="621">
        <f t="shared" si="93"/>
        <v>0</v>
      </c>
      <c r="AB120" s="196"/>
    </row>
    <row r="121" spans="1:28" s="204" customFormat="1" x14ac:dyDescent="0.2">
      <c r="A121" s="622" t="s">
        <v>605</v>
      </c>
      <c r="B121" s="623"/>
      <c r="C121" s="615">
        <v>58.272096000000005</v>
      </c>
      <c r="D121" s="615">
        <f>22.132202+36.653622</f>
        <v>58.785823999999998</v>
      </c>
      <c r="E121" s="616">
        <v>52</v>
      </c>
      <c r="F121" s="616">
        <v>29.3</v>
      </c>
      <c r="G121" s="617">
        <v>17.5</v>
      </c>
      <c r="H121" s="618">
        <v>58.785823999999998</v>
      </c>
      <c r="I121" s="618">
        <v>52</v>
      </c>
      <c r="J121" s="618">
        <v>29.3</v>
      </c>
      <c r="K121" s="619">
        <v>17.5</v>
      </c>
      <c r="M121" s="652"/>
      <c r="N121" s="620">
        <f t="shared" si="86"/>
        <v>58.785823999999998</v>
      </c>
      <c r="O121" s="615">
        <v>60.198912018679444</v>
      </c>
      <c r="P121" s="616">
        <v>61.684849332198482</v>
      </c>
      <c r="Q121" s="616">
        <v>63.262890753912494</v>
      </c>
      <c r="R121" s="615">
        <f t="shared" si="87"/>
        <v>-8.1989120186794437</v>
      </c>
      <c r="S121" s="616">
        <f t="shared" si="88"/>
        <v>-32.384849332198485</v>
      </c>
      <c r="T121" s="616">
        <f t="shared" si="89"/>
        <v>-45.762890753912494</v>
      </c>
      <c r="U121" s="620">
        <f t="shared" si="63"/>
        <v>1.4130880186794457</v>
      </c>
      <c r="V121" s="220"/>
      <c r="W121" s="615">
        <f t="shared" si="90"/>
        <v>60.198912018679444</v>
      </c>
      <c r="X121" s="616">
        <v>52</v>
      </c>
      <c r="Y121" s="615">
        <f t="shared" si="91"/>
        <v>-8.1989120186794437</v>
      </c>
      <c r="Z121" s="621">
        <f t="shared" si="93"/>
        <v>-8.4620478588997919E-3</v>
      </c>
      <c r="AB121" s="196"/>
    </row>
    <row r="122" spans="1:28" s="204" customFormat="1" x14ac:dyDescent="0.2">
      <c r="A122" s="622" t="s">
        <v>562</v>
      </c>
      <c r="B122" s="623"/>
      <c r="C122" s="615">
        <v>1.3187660000000001</v>
      </c>
      <c r="D122" s="615">
        <v>5.7</v>
      </c>
      <c r="E122" s="616">
        <v>9.4246680000000005</v>
      </c>
      <c r="F122" s="616">
        <v>9.6781860000000002</v>
      </c>
      <c r="G122" s="617">
        <v>9.8973800000000001</v>
      </c>
      <c r="H122" s="618">
        <v>10.782</v>
      </c>
      <c r="I122" s="618">
        <v>9.4246680000000005</v>
      </c>
      <c r="J122" s="618">
        <v>9.6781860000000002</v>
      </c>
      <c r="K122" s="619">
        <v>9.8973800000000001</v>
      </c>
      <c r="L122" s="423"/>
      <c r="M122" s="652"/>
      <c r="N122" s="620">
        <f t="shared" si="86"/>
        <v>10.782</v>
      </c>
      <c r="O122" s="615">
        <v>11.335801607480114</v>
      </c>
      <c r="P122" s="616">
        <v>11.924130295944193</v>
      </c>
      <c r="Q122" s="616">
        <v>12.388498528391212</v>
      </c>
      <c r="R122" s="615">
        <f t="shared" si="87"/>
        <v>-1.9111336074801137</v>
      </c>
      <c r="S122" s="616">
        <f t="shared" si="88"/>
        <v>-2.2459442959441933</v>
      </c>
      <c r="T122" s="616">
        <f t="shared" si="89"/>
        <v>-2.4911185283912118</v>
      </c>
      <c r="U122" s="620">
        <f t="shared" si="63"/>
        <v>0.5538016074801142</v>
      </c>
      <c r="V122" s="220"/>
      <c r="W122" s="615">
        <f>O122</f>
        <v>11.335801607480114</v>
      </c>
      <c r="X122" s="616">
        <v>9.4246680000000005</v>
      </c>
      <c r="Y122" s="615">
        <f>X122-W122</f>
        <v>-1.9111336074801137</v>
      </c>
      <c r="Z122" s="621">
        <f t="shared" si="93"/>
        <v>-1.9724695196635723E-3</v>
      </c>
      <c r="AB122" s="196"/>
    </row>
    <row r="123" spans="1:28" s="204" customFormat="1" x14ac:dyDescent="0.2">
      <c r="A123" s="622" t="s">
        <v>606</v>
      </c>
      <c r="B123" s="623"/>
      <c r="C123" s="631">
        <v>365.26259283000002</v>
      </c>
      <c r="D123" s="631">
        <v>406.61799999999999</v>
      </c>
      <c r="E123" s="813">
        <v>409.58927899999998</v>
      </c>
      <c r="F123" s="813">
        <v>413.37313899999998</v>
      </c>
      <c r="G123" s="814">
        <v>414.42313899999999</v>
      </c>
      <c r="H123" s="813">
        <v>406.61899999999997</v>
      </c>
      <c r="I123" s="813">
        <v>409.58927899999998</v>
      </c>
      <c r="J123" s="813">
        <v>413.37313899999998</v>
      </c>
      <c r="K123" s="814">
        <v>414.42313899999999</v>
      </c>
      <c r="L123" s="423"/>
      <c r="M123" s="830"/>
      <c r="N123" s="620">
        <f t="shared" si="86"/>
        <v>406.61899999999997</v>
      </c>
      <c r="O123" s="631">
        <f>E123</f>
        <v>409.58927899999998</v>
      </c>
      <c r="P123" s="633">
        <f>F123</f>
        <v>413.37313899999998</v>
      </c>
      <c r="Q123" s="633">
        <f>G123</f>
        <v>414.42313899999999</v>
      </c>
      <c r="R123" s="631">
        <f t="shared" si="87"/>
        <v>0</v>
      </c>
      <c r="S123" s="633">
        <f t="shared" si="88"/>
        <v>0</v>
      </c>
      <c r="T123" s="633">
        <f t="shared" si="89"/>
        <v>0</v>
      </c>
      <c r="U123" s="635">
        <f t="shared" si="63"/>
        <v>2.970279000000005</v>
      </c>
      <c r="V123" s="220"/>
      <c r="W123" s="615">
        <f>O123</f>
        <v>409.58927899999998</v>
      </c>
      <c r="X123" s="616">
        <v>409.58927899999998</v>
      </c>
      <c r="Y123" s="615">
        <f>X123-W123</f>
        <v>0</v>
      </c>
      <c r="Z123" s="621">
        <f t="shared" si="93"/>
        <v>0</v>
      </c>
      <c r="AB123" s="196"/>
    </row>
    <row r="124" spans="1:28" s="204" customFormat="1" x14ac:dyDescent="0.2">
      <c r="A124" s="622" t="s">
        <v>607</v>
      </c>
      <c r="B124" s="623"/>
      <c r="C124" s="631">
        <v>0</v>
      </c>
      <c r="D124" s="631">
        <f>1549.87-D115-D116-2.7</f>
        <v>97.84299999999989</v>
      </c>
      <c r="E124" s="633">
        <v>96.311411000000007</v>
      </c>
      <c r="F124" s="633">
        <v>97.311411000000007</v>
      </c>
      <c r="G124" s="634">
        <v>97.811411000000007</v>
      </c>
      <c r="H124" s="813">
        <v>2.9999999998864268E-3</v>
      </c>
      <c r="I124" s="813">
        <v>0</v>
      </c>
      <c r="J124" s="813">
        <v>0</v>
      </c>
      <c r="K124" s="814">
        <v>0</v>
      </c>
      <c r="M124" s="830"/>
      <c r="N124" s="620">
        <f t="shared" si="86"/>
        <v>2.9999999998864268E-3</v>
      </c>
      <c r="O124" s="631">
        <v>0</v>
      </c>
      <c r="P124" s="633">
        <v>0</v>
      </c>
      <c r="Q124" s="633">
        <v>0</v>
      </c>
      <c r="R124" s="631">
        <f t="shared" si="87"/>
        <v>0</v>
      </c>
      <c r="S124" s="633">
        <f t="shared" si="88"/>
        <v>0</v>
      </c>
      <c r="T124" s="633">
        <f t="shared" si="89"/>
        <v>0</v>
      </c>
      <c r="U124" s="635">
        <f t="shared" si="63"/>
        <v>-2.9999999998864268E-3</v>
      </c>
      <c r="V124" s="220"/>
      <c r="W124" s="615">
        <f>O124</f>
        <v>0</v>
      </c>
      <c r="X124" s="616">
        <v>0</v>
      </c>
      <c r="Y124" s="615">
        <f>X124-W124</f>
        <v>0</v>
      </c>
      <c r="Z124" s="621">
        <f t="shared" si="93"/>
        <v>0</v>
      </c>
      <c r="AB124" s="196"/>
    </row>
    <row r="125" spans="1:28" s="204" customFormat="1" x14ac:dyDescent="0.2">
      <c r="A125" s="622" t="s">
        <v>608</v>
      </c>
      <c r="B125" s="623"/>
      <c r="C125" s="620">
        <v>174.07876722085894</v>
      </c>
      <c r="D125" s="615">
        <f t="shared" ref="D125:G125" si="94">D108-SUM(D109:D124)</f>
        <v>151.12387599999602</v>
      </c>
      <c r="E125" s="616">
        <f t="shared" si="94"/>
        <v>165.83345100000224</v>
      </c>
      <c r="F125" s="616">
        <f t="shared" si="94"/>
        <v>171.4962680000026</v>
      </c>
      <c r="G125" s="617">
        <f t="shared" si="94"/>
        <v>169.56539000000703</v>
      </c>
      <c r="H125" s="618">
        <v>124.44687599999602</v>
      </c>
      <c r="I125" s="618">
        <v>165.83345100000224</v>
      </c>
      <c r="J125" s="618">
        <v>171.4962680000026</v>
      </c>
      <c r="K125" s="619">
        <v>169.56539000000703</v>
      </c>
      <c r="L125" s="423"/>
      <c r="M125" s="652"/>
      <c r="N125" s="620">
        <f t="shared" si="86"/>
        <v>124.44687599999602</v>
      </c>
      <c r="O125" s="615">
        <v>127.43831811089815</v>
      </c>
      <c r="P125" s="616">
        <v>130.5839788164327</v>
      </c>
      <c r="Q125" s="616">
        <v>133.92461966771856</v>
      </c>
      <c r="R125" s="615">
        <f t="shared" si="87"/>
        <v>38.39513288910409</v>
      </c>
      <c r="S125" s="616">
        <f t="shared" si="88"/>
        <v>40.912289183569897</v>
      </c>
      <c r="T125" s="616">
        <f t="shared" si="89"/>
        <v>35.640770332288469</v>
      </c>
      <c r="U125" s="620">
        <f t="shared" si="63"/>
        <v>2.9914421109021276</v>
      </c>
      <c r="V125" s="220"/>
      <c r="W125" s="615">
        <f>O125</f>
        <v>127.43831811089815</v>
      </c>
      <c r="X125" s="616">
        <v>165.83345100000224</v>
      </c>
      <c r="Y125" s="615">
        <f t="shared" si="91"/>
        <v>38.39513288910409</v>
      </c>
      <c r="Z125" s="621">
        <f t="shared" si="93"/>
        <v>3.9627386086861123E-2</v>
      </c>
      <c r="AB125" s="196"/>
    </row>
    <row r="126" spans="1:28" s="206" customFormat="1" x14ac:dyDescent="0.2">
      <c r="A126" s="479" t="s">
        <v>609</v>
      </c>
      <c r="B126" s="641" t="s">
        <v>610</v>
      </c>
      <c r="C126" s="605">
        <v>1179.4000000000001</v>
      </c>
      <c r="D126" s="651">
        <v>1129.2</v>
      </c>
      <c r="E126" s="637">
        <v>1124.79</v>
      </c>
      <c r="F126" s="637">
        <v>1094.864</v>
      </c>
      <c r="G126" s="640">
        <v>1111.7349999999999</v>
      </c>
      <c r="H126" s="609">
        <f>SUM(H127:H131)</f>
        <v>1212.3929330000001</v>
      </c>
      <c r="I126" s="609">
        <f t="shared" ref="I126:J126" si="95">SUM(I127:I131)</f>
        <v>1198.335008595521</v>
      </c>
      <c r="J126" s="609">
        <f t="shared" si="95"/>
        <v>1173.4202301902808</v>
      </c>
      <c r="K126" s="636">
        <f>SUM(K127:K131)</f>
        <v>1190.8370949657249</v>
      </c>
      <c r="L126" s="598"/>
      <c r="M126" s="654"/>
      <c r="N126" s="604">
        <f t="shared" si="86"/>
        <v>1212.3929330000001</v>
      </c>
      <c r="O126" s="605">
        <f>SUM(O127:O131)</f>
        <v>1201.5117952361572</v>
      </c>
      <c r="P126" s="637">
        <f t="shared" ref="P126:Q126" si="96">SUM(P127:P131)</f>
        <v>1159.4597106119206</v>
      </c>
      <c r="Q126" s="637">
        <f t="shared" si="96"/>
        <v>1166.3774863579115</v>
      </c>
      <c r="R126" s="605">
        <f>SUM(R127:R131)</f>
        <v>-3.1767866406361733</v>
      </c>
      <c r="S126" s="637">
        <f t="shared" ref="S126:T126" si="97">SUM(S127:S131)</f>
        <v>13.96051957836</v>
      </c>
      <c r="T126" s="637">
        <f t="shared" si="97"/>
        <v>24.459608607813216</v>
      </c>
      <c r="U126" s="604">
        <f t="shared" si="63"/>
        <v>-10.881137763842844</v>
      </c>
      <c r="V126" s="424"/>
      <c r="W126" s="605">
        <f>O126</f>
        <v>1201.5117952361572</v>
      </c>
      <c r="X126" s="637">
        <v>1203.8671182120179</v>
      </c>
      <c r="Y126" s="605">
        <f t="shared" si="91"/>
        <v>2.3553229758606449</v>
      </c>
      <c r="Z126" s="638">
        <f t="shared" si="93"/>
        <v>2.4309146993516848E-3</v>
      </c>
      <c r="AB126" s="196"/>
    </row>
    <row r="127" spans="1:28" s="204" customFormat="1" x14ac:dyDescent="0.2">
      <c r="A127" s="622" t="s">
        <v>583</v>
      </c>
      <c r="B127" s="623"/>
      <c r="C127" s="615">
        <v>24.594000000000001</v>
      </c>
      <c r="D127" s="615">
        <v>0</v>
      </c>
      <c r="E127" s="616">
        <v>0</v>
      </c>
      <c r="F127" s="616">
        <v>0</v>
      </c>
      <c r="G127" s="617">
        <v>0</v>
      </c>
      <c r="H127" s="616">
        <v>23.023</v>
      </c>
      <c r="I127" s="616">
        <v>23.343</v>
      </c>
      <c r="J127" s="616">
        <v>23.343</v>
      </c>
      <c r="K127" s="617">
        <v>23.343</v>
      </c>
      <c r="L127" s="598"/>
      <c r="M127" s="655"/>
      <c r="N127" s="620">
        <f t="shared" si="86"/>
        <v>23.023</v>
      </c>
      <c r="O127" s="615">
        <f>N127</f>
        <v>23.023</v>
      </c>
      <c r="P127" s="616">
        <f t="shared" ref="P127:Q128" si="98">O127</f>
        <v>23.023</v>
      </c>
      <c r="Q127" s="616">
        <f t="shared" si="98"/>
        <v>23.023</v>
      </c>
      <c r="R127" s="615">
        <f t="shared" ref="R127:T131" si="99">I127-O127</f>
        <v>0.32000000000000028</v>
      </c>
      <c r="S127" s="616">
        <f t="shared" si="99"/>
        <v>0.32000000000000028</v>
      </c>
      <c r="T127" s="616">
        <f t="shared" si="99"/>
        <v>0.32000000000000028</v>
      </c>
      <c r="U127" s="620">
        <f t="shared" si="63"/>
        <v>0</v>
      </c>
      <c r="V127" s="220"/>
      <c r="W127" s="615">
        <f t="shared" ref="W127:W130" si="100">O127</f>
        <v>23.023</v>
      </c>
      <c r="X127" s="616">
        <v>23.343</v>
      </c>
      <c r="Y127" s="615">
        <f t="shared" si="91"/>
        <v>0.32000000000000028</v>
      </c>
      <c r="Z127" s="621">
        <f t="shared" si="93"/>
        <v>3.302700783565764E-4</v>
      </c>
      <c r="AB127" s="196"/>
    </row>
    <row r="128" spans="1:28" s="204" customFormat="1" x14ac:dyDescent="0.2">
      <c r="A128" s="622" t="s">
        <v>584</v>
      </c>
      <c r="B128" s="623"/>
      <c r="C128" s="615">
        <v>-37.228999999999999</v>
      </c>
      <c r="D128" s="615">
        <v>0</v>
      </c>
      <c r="E128" s="616">
        <v>0</v>
      </c>
      <c r="F128" s="616">
        <v>0</v>
      </c>
      <c r="G128" s="617">
        <v>0</v>
      </c>
      <c r="H128" s="618">
        <v>-37.228999999999999</v>
      </c>
      <c r="I128" s="618">
        <v>-37.228999999999999</v>
      </c>
      <c r="J128" s="618">
        <v>-37.228999999999999</v>
      </c>
      <c r="K128" s="619">
        <v>-37.228999999999999</v>
      </c>
      <c r="L128" s="598"/>
      <c r="M128" s="655"/>
      <c r="N128" s="620">
        <f t="shared" si="86"/>
        <v>-37.228999999999999</v>
      </c>
      <c r="O128" s="615">
        <f>N128</f>
        <v>-37.228999999999999</v>
      </c>
      <c r="P128" s="616">
        <f t="shared" si="98"/>
        <v>-37.228999999999999</v>
      </c>
      <c r="Q128" s="616">
        <f t="shared" si="98"/>
        <v>-37.228999999999999</v>
      </c>
      <c r="R128" s="615">
        <f t="shared" si="99"/>
        <v>0</v>
      </c>
      <c r="S128" s="616">
        <f t="shared" si="99"/>
        <v>0</v>
      </c>
      <c r="T128" s="616">
        <f t="shared" si="99"/>
        <v>0</v>
      </c>
      <c r="U128" s="620">
        <f t="shared" si="63"/>
        <v>0</v>
      </c>
      <c r="V128" s="220"/>
      <c r="W128" s="615">
        <f t="shared" si="100"/>
        <v>-37.228999999999999</v>
      </c>
      <c r="X128" s="616">
        <v>-37.228999999999999</v>
      </c>
      <c r="Y128" s="615">
        <f t="shared" si="91"/>
        <v>0</v>
      </c>
      <c r="Z128" s="621">
        <f t="shared" si="93"/>
        <v>0</v>
      </c>
      <c r="AB128" s="196"/>
    </row>
    <row r="129" spans="1:28" s="204" customFormat="1" x14ac:dyDescent="0.2">
      <c r="A129" s="622" t="s">
        <v>562</v>
      </c>
      <c r="B129" s="623"/>
      <c r="C129" s="615">
        <v>0.48249300000000001</v>
      </c>
      <c r="D129" s="615">
        <v>0.72699999999999998</v>
      </c>
      <c r="E129" s="616">
        <v>0.54081400000000002</v>
      </c>
      <c r="F129" s="616">
        <v>2.2241089999999999</v>
      </c>
      <c r="G129" s="617">
        <v>2.1587329999999998</v>
      </c>
      <c r="H129" s="618">
        <v>0.72299999999999998</v>
      </c>
      <c r="I129" s="618">
        <v>0.54081400000000002</v>
      </c>
      <c r="J129" s="618">
        <v>2.2241089999999999</v>
      </c>
      <c r="K129" s="619">
        <v>2.1587329999999998</v>
      </c>
      <c r="L129" s="598"/>
      <c r="M129" s="615"/>
      <c r="N129" s="620">
        <f t="shared" si="86"/>
        <v>0.72299999999999998</v>
      </c>
      <c r="O129" s="615">
        <f t="shared" ref="O129:Q130" si="101">I129</f>
        <v>0.54081400000000002</v>
      </c>
      <c r="P129" s="616">
        <f t="shared" si="101"/>
        <v>2.2241089999999999</v>
      </c>
      <c r="Q129" s="616">
        <f t="shared" si="101"/>
        <v>2.1587329999999998</v>
      </c>
      <c r="R129" s="615">
        <f t="shared" si="99"/>
        <v>0</v>
      </c>
      <c r="S129" s="616">
        <f t="shared" si="99"/>
        <v>0</v>
      </c>
      <c r="T129" s="616">
        <f t="shared" si="99"/>
        <v>0</v>
      </c>
      <c r="U129" s="620">
        <f t="shared" si="63"/>
        <v>-0.18218599999999996</v>
      </c>
      <c r="V129" s="220"/>
      <c r="W129" s="615">
        <f t="shared" si="100"/>
        <v>0.54081400000000002</v>
      </c>
      <c r="X129" s="616">
        <v>0.54081400000000002</v>
      </c>
      <c r="Y129" s="615">
        <f t="shared" si="91"/>
        <v>0</v>
      </c>
      <c r="Z129" s="621">
        <f t="shared" si="93"/>
        <v>0</v>
      </c>
      <c r="AB129" s="196"/>
    </row>
    <row r="130" spans="1:28" s="204" customFormat="1" x14ac:dyDescent="0.2">
      <c r="A130" s="622" t="s">
        <v>564</v>
      </c>
      <c r="B130" s="623"/>
      <c r="C130" s="631">
        <v>0.124933</v>
      </c>
      <c r="D130" s="631">
        <v>0</v>
      </c>
      <c r="E130" s="633">
        <v>0</v>
      </c>
      <c r="F130" s="633">
        <v>0</v>
      </c>
      <c r="G130" s="634">
        <v>0</v>
      </c>
      <c r="H130" s="813">
        <v>-6.6999999999997617E-5</v>
      </c>
      <c r="I130" s="813">
        <v>0.124933</v>
      </c>
      <c r="J130" s="813">
        <v>0.124933</v>
      </c>
      <c r="K130" s="814">
        <v>0.124933</v>
      </c>
      <c r="L130" s="598"/>
      <c r="M130" s="615"/>
      <c r="N130" s="620">
        <f t="shared" si="86"/>
        <v>-6.6999999999997617E-5</v>
      </c>
      <c r="O130" s="615">
        <f t="shared" si="101"/>
        <v>0.124933</v>
      </c>
      <c r="P130" s="616">
        <f t="shared" si="101"/>
        <v>0.124933</v>
      </c>
      <c r="Q130" s="616">
        <f t="shared" si="101"/>
        <v>0.124933</v>
      </c>
      <c r="R130" s="615">
        <f t="shared" si="99"/>
        <v>0</v>
      </c>
      <c r="S130" s="616">
        <f t="shared" si="99"/>
        <v>0</v>
      </c>
      <c r="T130" s="616">
        <f t="shared" si="99"/>
        <v>0</v>
      </c>
      <c r="U130" s="620">
        <f t="shared" si="63"/>
        <v>0.125</v>
      </c>
      <c r="V130" s="220"/>
      <c r="W130" s="809">
        <f t="shared" si="100"/>
        <v>0.124933</v>
      </c>
      <c r="X130" s="618">
        <v>0.124933</v>
      </c>
      <c r="Y130" s="809">
        <f t="shared" si="91"/>
        <v>0</v>
      </c>
      <c r="Z130" s="815">
        <f t="shared" si="93"/>
        <v>0</v>
      </c>
      <c r="AB130" s="196"/>
    </row>
    <row r="131" spans="1:28" s="204" customFormat="1" x14ac:dyDescent="0.2">
      <c r="A131" s="622" t="s">
        <v>497</v>
      </c>
      <c r="B131" s="623"/>
      <c r="C131" s="620">
        <v>1191.427574</v>
      </c>
      <c r="D131" s="631">
        <f t="shared" ref="D131:F131" si="102">D126-SUM(D127:D129)</f>
        <v>1128.473</v>
      </c>
      <c r="E131" s="616">
        <f t="shared" si="102"/>
        <v>1124.249186</v>
      </c>
      <c r="F131" s="616">
        <f t="shared" si="102"/>
        <v>1092.639891</v>
      </c>
      <c r="G131" s="617">
        <f>G126-SUM(G127:G129)</f>
        <v>1109.5762669999999</v>
      </c>
      <c r="H131" s="618">
        <v>1225.876</v>
      </c>
      <c r="I131" s="618">
        <v>1211.555261595521</v>
      </c>
      <c r="J131" s="618">
        <v>1184.9571881902807</v>
      </c>
      <c r="K131" s="619">
        <v>1202.4394289657248</v>
      </c>
      <c r="L131" s="598"/>
      <c r="M131" s="655"/>
      <c r="N131" s="620">
        <f t="shared" si="86"/>
        <v>1225.876</v>
      </c>
      <c r="O131" s="615">
        <f>I131+3.49678664063626</f>
        <v>1215.0520482361571</v>
      </c>
      <c r="P131" s="616">
        <f>J131-13.6405195783601</f>
        <v>1171.3166686119207</v>
      </c>
      <c r="Q131" s="616">
        <f>K131-24.1396086078132</f>
        <v>1178.2998203579116</v>
      </c>
      <c r="R131" s="615">
        <f t="shared" si="99"/>
        <v>-3.4967866406361736</v>
      </c>
      <c r="S131" s="616">
        <f t="shared" si="99"/>
        <v>13.640519578359999</v>
      </c>
      <c r="T131" s="616">
        <f t="shared" si="99"/>
        <v>24.139608607813216</v>
      </c>
      <c r="U131" s="620">
        <f t="shared" si="63"/>
        <v>-10.823951763842842</v>
      </c>
      <c r="V131" s="220"/>
      <c r="W131" s="615">
        <f>O131</f>
        <v>1215.0520482361571</v>
      </c>
      <c r="X131" s="616">
        <v>1217.0873712120181</v>
      </c>
      <c r="Y131" s="615">
        <f t="shared" si="91"/>
        <v>2.0353229758609359</v>
      </c>
      <c r="Z131" s="621">
        <f t="shared" si="93"/>
        <v>2.1006446209954092E-3</v>
      </c>
      <c r="AB131" s="196"/>
    </row>
    <row r="132" spans="1:28" s="206" customFormat="1" x14ac:dyDescent="0.2">
      <c r="A132" s="479" t="s">
        <v>414</v>
      </c>
      <c r="B132" s="641" t="s">
        <v>611</v>
      </c>
      <c r="C132" s="605">
        <v>362.66</v>
      </c>
      <c r="D132" s="651">
        <v>351.7</v>
      </c>
      <c r="E132" s="637">
        <v>454.98899999999998</v>
      </c>
      <c r="F132" s="637">
        <v>456.66399999999999</v>
      </c>
      <c r="G132" s="640">
        <v>345.49599999999998</v>
      </c>
      <c r="H132" s="609">
        <f t="shared" ref="H132:K132" si="103">SUM(H133:H139)</f>
        <v>367.83976182634251</v>
      </c>
      <c r="I132" s="609">
        <f t="shared" si="103"/>
        <v>433.9682123697259</v>
      </c>
      <c r="J132" s="609">
        <f t="shared" si="103"/>
        <v>432.81661115220504</v>
      </c>
      <c r="K132" s="636">
        <f t="shared" si="103"/>
        <v>468.4968569692187</v>
      </c>
      <c r="L132" s="598"/>
      <c r="M132" s="605">
        <f>SUM(M133:M139)</f>
        <v>0</v>
      </c>
      <c r="N132" s="604">
        <f t="shared" si="86"/>
        <v>367.83976182634251</v>
      </c>
      <c r="O132" s="605">
        <f t="shared" ref="O132:T132" si="104">SUM(O133:O139)</f>
        <v>378.85830653185195</v>
      </c>
      <c r="P132" s="637">
        <f t="shared" si="104"/>
        <v>374.78038010796672</v>
      </c>
      <c r="Q132" s="637">
        <f t="shared" si="104"/>
        <v>424.64664879867297</v>
      </c>
      <c r="R132" s="605">
        <f t="shared" si="104"/>
        <v>55.109905837873939</v>
      </c>
      <c r="S132" s="637">
        <f t="shared" si="104"/>
        <v>58.03623104423832</v>
      </c>
      <c r="T132" s="637">
        <f t="shared" si="104"/>
        <v>43.850208170545756</v>
      </c>
      <c r="U132" s="604">
        <f t="shared" si="63"/>
        <v>11.018544705509441</v>
      </c>
      <c r="V132" s="424"/>
      <c r="W132" s="605">
        <f>SUM(W133:W139)</f>
        <v>378.85830653185195</v>
      </c>
      <c r="X132" s="637">
        <v>454.98899999999998</v>
      </c>
      <c r="Y132" s="605">
        <f t="shared" si="91"/>
        <v>76.130693468148024</v>
      </c>
      <c r="Z132" s="638">
        <f t="shared" si="93"/>
        <v>7.8574031553330384E-2</v>
      </c>
      <c r="AB132" s="196"/>
    </row>
    <row r="133" spans="1:28" s="204" customFormat="1" x14ac:dyDescent="0.2">
      <c r="A133" s="622" t="s">
        <v>117</v>
      </c>
      <c r="B133" s="641"/>
      <c r="C133" s="615">
        <v>47.987253529999997</v>
      </c>
      <c r="D133" s="615">
        <v>55.567</v>
      </c>
      <c r="E133" s="616">
        <v>105.669511</v>
      </c>
      <c r="F133" s="616">
        <v>112.695922</v>
      </c>
      <c r="G133" s="617">
        <v>4.9869149999999998</v>
      </c>
      <c r="H133" s="618">
        <v>58.741761826342554</v>
      </c>
      <c r="I133" s="618">
        <v>84.648723369725857</v>
      </c>
      <c r="J133" s="618">
        <v>88.84853315220505</v>
      </c>
      <c r="K133" s="619">
        <v>127.98777196921876</v>
      </c>
      <c r="L133" s="598"/>
      <c r="M133" s="615"/>
      <c r="N133" s="620">
        <f t="shared" si="86"/>
        <v>58.741761826342554</v>
      </c>
      <c r="O133" s="615">
        <f>I133</f>
        <v>84.648723369725857</v>
      </c>
      <c r="P133" s="616">
        <f>J133</f>
        <v>88.84853315220505</v>
      </c>
      <c r="Q133" s="616">
        <f>K133</f>
        <v>127.98777196921876</v>
      </c>
      <c r="R133" s="615">
        <f t="shared" ref="R133:T139" si="105">I133-O133</f>
        <v>0</v>
      </c>
      <c r="S133" s="616">
        <f t="shared" si="105"/>
        <v>0</v>
      </c>
      <c r="T133" s="616">
        <f t="shared" si="105"/>
        <v>0</v>
      </c>
      <c r="U133" s="620">
        <f t="shared" si="63"/>
        <v>25.906961543383304</v>
      </c>
      <c r="V133" s="220"/>
      <c r="W133" s="615">
        <f>O133</f>
        <v>84.648723369725857</v>
      </c>
      <c r="X133" s="616">
        <v>105.669511</v>
      </c>
      <c r="Y133" s="615">
        <f t="shared" si="91"/>
        <v>21.020787630274143</v>
      </c>
      <c r="Z133" s="621">
        <f t="shared" si="93"/>
        <v>2.169542868052371E-2</v>
      </c>
      <c r="AB133" s="196"/>
    </row>
    <row r="134" spans="1:28" s="204" customFormat="1" x14ac:dyDescent="0.2">
      <c r="A134" s="622" t="s">
        <v>612</v>
      </c>
      <c r="B134" s="623"/>
      <c r="C134" s="615">
        <v>9.3292269999999995</v>
      </c>
      <c r="D134" s="615">
        <v>6.9</v>
      </c>
      <c r="E134" s="616">
        <v>31</v>
      </c>
      <c r="F134" s="616">
        <v>31</v>
      </c>
      <c r="G134" s="617">
        <v>31</v>
      </c>
      <c r="H134" s="618">
        <v>6.9</v>
      </c>
      <c r="I134" s="618">
        <v>31</v>
      </c>
      <c r="J134" s="618">
        <v>31</v>
      </c>
      <c r="K134" s="619">
        <v>31</v>
      </c>
      <c r="L134" s="598"/>
      <c r="M134" s="615"/>
      <c r="N134" s="620">
        <f t="shared" si="86"/>
        <v>6.9</v>
      </c>
      <c r="O134" s="615">
        <v>7.1843780363364029</v>
      </c>
      <c r="P134" s="616">
        <v>7.483735643630844</v>
      </c>
      <c r="Q134" s="616">
        <v>7.7850353192754609</v>
      </c>
      <c r="R134" s="615">
        <f t="shared" si="105"/>
        <v>23.815621963663595</v>
      </c>
      <c r="S134" s="616">
        <f t="shared" si="105"/>
        <v>23.516264356369156</v>
      </c>
      <c r="T134" s="616">
        <f t="shared" si="105"/>
        <v>23.214964680724538</v>
      </c>
      <c r="U134" s="620">
        <f t="shared" si="63"/>
        <v>0.28437803633640257</v>
      </c>
      <c r="V134" s="220"/>
      <c r="W134" s="615">
        <f t="shared" ref="W134:W138" si="106">O134</f>
        <v>7.1843780363364029</v>
      </c>
      <c r="X134" s="616">
        <v>31</v>
      </c>
      <c r="Y134" s="615">
        <f t="shared" si="91"/>
        <v>23.815621963663595</v>
      </c>
      <c r="Z134" s="621">
        <f t="shared" si="93"/>
        <v>2.4579960412655533E-2</v>
      </c>
      <c r="AB134" s="196"/>
    </row>
    <row r="135" spans="1:28" s="204" customFormat="1" x14ac:dyDescent="0.2">
      <c r="A135" s="831" t="s">
        <v>613</v>
      </c>
      <c r="B135" s="623"/>
      <c r="C135" s="615">
        <v>0</v>
      </c>
      <c r="D135" s="615">
        <v>0</v>
      </c>
      <c r="E135" s="616">
        <v>40</v>
      </c>
      <c r="F135" s="616">
        <v>40</v>
      </c>
      <c r="G135" s="617">
        <v>40</v>
      </c>
      <c r="H135" s="618">
        <v>0</v>
      </c>
      <c r="I135" s="618">
        <v>40</v>
      </c>
      <c r="J135" s="618">
        <v>40</v>
      </c>
      <c r="K135" s="619">
        <v>40</v>
      </c>
      <c r="L135" s="598"/>
      <c r="M135" s="615"/>
      <c r="N135" s="620">
        <f t="shared" si="86"/>
        <v>0</v>
      </c>
      <c r="O135" s="615">
        <v>0</v>
      </c>
      <c r="P135" s="616">
        <v>0</v>
      </c>
      <c r="Q135" s="616">
        <v>0</v>
      </c>
      <c r="R135" s="615">
        <f t="shared" si="105"/>
        <v>40</v>
      </c>
      <c r="S135" s="616">
        <f t="shared" si="105"/>
        <v>40</v>
      </c>
      <c r="T135" s="616">
        <f t="shared" si="105"/>
        <v>40</v>
      </c>
      <c r="U135" s="620">
        <f t="shared" si="63"/>
        <v>0</v>
      </c>
      <c r="V135" s="220"/>
      <c r="W135" s="615">
        <f t="shared" si="106"/>
        <v>0</v>
      </c>
      <c r="X135" s="616">
        <v>40</v>
      </c>
      <c r="Y135" s="615">
        <f t="shared" si="91"/>
        <v>40</v>
      </c>
      <c r="Z135" s="621">
        <f t="shared" si="93"/>
        <v>4.1283759794572016E-2</v>
      </c>
      <c r="AB135" s="196"/>
    </row>
    <row r="136" spans="1:28" s="204" customFormat="1" x14ac:dyDescent="0.2">
      <c r="A136" s="831" t="s">
        <v>614</v>
      </c>
      <c r="B136" s="623"/>
      <c r="C136" s="615">
        <v>36.775779999999997</v>
      </c>
      <c r="D136" s="615">
        <v>24.55</v>
      </c>
      <c r="E136" s="616">
        <v>19.5</v>
      </c>
      <c r="F136" s="616">
        <v>19.5</v>
      </c>
      <c r="G136" s="617">
        <v>19.5</v>
      </c>
      <c r="H136" s="618">
        <v>24.55</v>
      </c>
      <c r="I136" s="618">
        <v>19.5</v>
      </c>
      <c r="J136" s="618">
        <v>19.5</v>
      </c>
      <c r="K136" s="619">
        <v>19.5</v>
      </c>
      <c r="L136" s="598"/>
      <c r="M136" s="615"/>
      <c r="N136" s="620">
        <f t="shared" si="86"/>
        <v>24.55</v>
      </c>
      <c r="O136" s="615">
        <v>25.561808810443289</v>
      </c>
      <c r="P136" s="616">
        <v>26.626914500164812</v>
      </c>
      <c r="Q136" s="616">
        <v>27.698930012784427</v>
      </c>
      <c r="R136" s="615">
        <f t="shared" si="105"/>
        <v>-6.0618088104432886</v>
      </c>
      <c r="S136" s="616">
        <f t="shared" si="105"/>
        <v>-7.126914500164812</v>
      </c>
      <c r="T136" s="616">
        <f t="shared" si="105"/>
        <v>-8.1989300127844267</v>
      </c>
      <c r="U136" s="620">
        <f t="shared" si="63"/>
        <v>1.0118088104432879</v>
      </c>
      <c r="V136" s="220"/>
      <c r="W136" s="615">
        <f t="shared" si="106"/>
        <v>25.561808810443289</v>
      </c>
      <c r="X136" s="616">
        <v>19.5</v>
      </c>
      <c r="Y136" s="615">
        <f t="shared" si="91"/>
        <v>-6.0618088104432886</v>
      </c>
      <c r="Z136" s="621">
        <f t="shared" si="93"/>
        <v>-6.2563564712740261E-3</v>
      </c>
      <c r="AB136" s="196"/>
    </row>
    <row r="137" spans="1:28" s="204" customFormat="1" x14ac:dyDescent="0.2">
      <c r="A137" s="622" t="s">
        <v>59</v>
      </c>
      <c r="B137" s="623"/>
      <c r="C137" s="615">
        <v>169.77699999999999</v>
      </c>
      <c r="D137" s="615">
        <v>158.30000000000001</v>
      </c>
      <c r="E137" s="616">
        <v>164.1</v>
      </c>
      <c r="F137" s="616">
        <v>165.2</v>
      </c>
      <c r="G137" s="617">
        <v>167.3</v>
      </c>
      <c r="H137" s="618">
        <v>203.76900000000001</v>
      </c>
      <c r="I137" s="618">
        <v>164.1</v>
      </c>
      <c r="J137" s="618">
        <v>165.2</v>
      </c>
      <c r="K137" s="619">
        <v>167.3</v>
      </c>
      <c r="L137" s="598"/>
      <c r="M137" s="615"/>
      <c r="N137" s="620">
        <f t="shared" si="86"/>
        <v>203.76900000000001</v>
      </c>
      <c r="O137" s="615">
        <v>184.53953183034682</v>
      </c>
      <c r="P137" s="616">
        <v>171.69208005605256</v>
      </c>
      <c r="Q137" s="616">
        <v>177.8197485477202</v>
      </c>
      <c r="R137" s="615">
        <f t="shared" si="105"/>
        <v>-20.439531830346823</v>
      </c>
      <c r="S137" s="616">
        <f t="shared" si="105"/>
        <v>-6.492080056052572</v>
      </c>
      <c r="T137" s="616">
        <f t="shared" si="105"/>
        <v>-10.519748547720184</v>
      </c>
      <c r="U137" s="620">
        <f t="shared" si="63"/>
        <v>-19.229468169653188</v>
      </c>
      <c r="V137" s="220"/>
      <c r="W137" s="615">
        <f t="shared" si="106"/>
        <v>184.53953183034682</v>
      </c>
      <c r="X137" s="616">
        <v>164.1</v>
      </c>
      <c r="Y137" s="615">
        <f t="shared" si="91"/>
        <v>-20.439531830346823</v>
      </c>
      <c r="Z137" s="621">
        <f t="shared" si="93"/>
        <v>-2.1095518059938676E-2</v>
      </c>
      <c r="AB137" s="196"/>
    </row>
    <row r="138" spans="1:28" s="204" customFormat="1" x14ac:dyDescent="0.2">
      <c r="A138" s="622" t="s">
        <v>615</v>
      </c>
      <c r="B138" s="623"/>
      <c r="C138" s="615">
        <v>0</v>
      </c>
      <c r="D138" s="615">
        <v>3.0550000000000002</v>
      </c>
      <c r="E138" s="616">
        <v>0</v>
      </c>
      <c r="F138" s="616">
        <v>0</v>
      </c>
      <c r="G138" s="617">
        <v>0</v>
      </c>
      <c r="H138" s="618">
        <v>0</v>
      </c>
      <c r="I138" s="618">
        <v>0</v>
      </c>
      <c r="J138" s="618">
        <v>0</v>
      </c>
      <c r="K138" s="619">
        <v>0</v>
      </c>
      <c r="L138" s="598"/>
      <c r="M138" s="615"/>
      <c r="N138" s="620">
        <f t="shared" si="86"/>
        <v>0</v>
      </c>
      <c r="O138" s="615">
        <v>0</v>
      </c>
      <c r="P138" s="616">
        <v>0</v>
      </c>
      <c r="Q138" s="616">
        <v>0</v>
      </c>
      <c r="R138" s="615">
        <f t="shared" si="105"/>
        <v>0</v>
      </c>
      <c r="S138" s="616">
        <f t="shared" si="105"/>
        <v>0</v>
      </c>
      <c r="T138" s="616">
        <f t="shared" si="105"/>
        <v>0</v>
      </c>
      <c r="U138" s="620">
        <f t="shared" si="63"/>
        <v>0</v>
      </c>
      <c r="V138" s="220"/>
      <c r="W138" s="615">
        <f t="shared" si="106"/>
        <v>0</v>
      </c>
      <c r="X138" s="616">
        <v>0</v>
      </c>
      <c r="Y138" s="615">
        <f t="shared" si="91"/>
        <v>0</v>
      </c>
      <c r="Z138" s="621">
        <f t="shared" si="93"/>
        <v>0</v>
      </c>
      <c r="AB138" s="196"/>
    </row>
    <row r="139" spans="1:28" s="204" customFormat="1" x14ac:dyDescent="0.2">
      <c r="A139" s="622" t="s">
        <v>497</v>
      </c>
      <c r="B139" s="623"/>
      <c r="C139" s="620">
        <v>98.790739470000062</v>
      </c>
      <c r="D139" s="615">
        <f>D132-SUM(D133:D138)</f>
        <v>103.32799999999997</v>
      </c>
      <c r="E139" s="616">
        <f t="shared" ref="E139:G139" si="107">E132-SUM(E133:E138)</f>
        <v>94.71948900000001</v>
      </c>
      <c r="F139" s="616">
        <f t="shared" si="107"/>
        <v>88.268078000000003</v>
      </c>
      <c r="G139" s="617">
        <f t="shared" si="107"/>
        <v>82.709084999999959</v>
      </c>
      <c r="H139" s="618">
        <v>73.878999999999976</v>
      </c>
      <c r="I139" s="618">
        <v>94.71948900000001</v>
      </c>
      <c r="J139" s="618">
        <v>88.268078000000003</v>
      </c>
      <c r="K139" s="619">
        <v>82.709084999999959</v>
      </c>
      <c r="L139" s="598"/>
      <c r="M139" s="615"/>
      <c r="N139" s="620">
        <f t="shared" si="86"/>
        <v>73.878999999999976</v>
      </c>
      <c r="O139" s="615">
        <v>76.923864484999555</v>
      </c>
      <c r="P139" s="616">
        <v>80.129116755913458</v>
      </c>
      <c r="Q139" s="616">
        <v>83.355162949674124</v>
      </c>
      <c r="R139" s="615">
        <f t="shared" si="105"/>
        <v>17.795624515000455</v>
      </c>
      <c r="S139" s="616">
        <f t="shared" si="105"/>
        <v>8.1389612440865449</v>
      </c>
      <c r="T139" s="616">
        <f t="shared" si="105"/>
        <v>-0.6460779496741651</v>
      </c>
      <c r="U139" s="620">
        <f t="shared" si="63"/>
        <v>3.0448644849995787</v>
      </c>
      <c r="V139" s="220"/>
      <c r="W139" s="615">
        <f>O139</f>
        <v>76.923864484999555</v>
      </c>
      <c r="X139" s="616">
        <v>94.71948900000001</v>
      </c>
      <c r="Y139" s="615">
        <f t="shared" si="91"/>
        <v>17.795624515000455</v>
      </c>
      <c r="Z139" s="621">
        <f t="shared" si="93"/>
        <v>1.83667571967919E-2</v>
      </c>
      <c r="AB139" s="196"/>
    </row>
    <row r="140" spans="1:28" s="206" customFormat="1" x14ac:dyDescent="0.2">
      <c r="A140" s="479" t="s">
        <v>616</v>
      </c>
      <c r="B140" s="641" t="s">
        <v>617</v>
      </c>
      <c r="C140" s="605">
        <v>2699</v>
      </c>
      <c r="D140" s="651">
        <v>2854.7</v>
      </c>
      <c r="E140" s="637">
        <v>2311.6970000000001</v>
      </c>
      <c r="F140" s="637">
        <v>2565.991</v>
      </c>
      <c r="G140" s="640">
        <v>2926.8330000000001</v>
      </c>
      <c r="H140" s="609">
        <f>SUM(H141:H159)</f>
        <v>3104.9717222560193</v>
      </c>
      <c r="I140" s="609">
        <f>SUM(I141:I159)</f>
        <v>3229.5610914581384</v>
      </c>
      <c r="J140" s="609">
        <f>SUM(J141:J159)</f>
        <v>3137.8238490376134</v>
      </c>
      <c r="K140" s="636">
        <f>SUM(K141:K159)</f>
        <v>3214.0054345204262</v>
      </c>
      <c r="L140" s="598"/>
      <c r="M140" s="605">
        <f>SUM(M141:M159)</f>
        <v>-112.697</v>
      </c>
      <c r="N140" s="604">
        <f t="shared" si="86"/>
        <v>2992.2747222560192</v>
      </c>
      <c r="O140" s="605">
        <f t="shared" ref="O140:T140" si="108">SUM(O141:O159)</f>
        <v>3454.320317689816</v>
      </c>
      <c r="P140" s="637">
        <f t="shared" si="108"/>
        <v>3564.0140834136364</v>
      </c>
      <c r="Q140" s="637">
        <f t="shared" si="108"/>
        <v>3742.2959998895458</v>
      </c>
      <c r="R140" s="605">
        <f t="shared" si="108"/>
        <v>-224.75922623167668</v>
      </c>
      <c r="S140" s="637">
        <f t="shared" si="108"/>
        <v>-426.19023437602311</v>
      </c>
      <c r="T140" s="637">
        <f t="shared" si="108"/>
        <v>-528.29056536911889</v>
      </c>
      <c r="U140" s="604">
        <f t="shared" si="63"/>
        <v>462.04559543379673</v>
      </c>
      <c r="V140" s="424"/>
      <c r="W140" s="605">
        <f>SUM(W141:W159)</f>
        <v>3454.320317689816</v>
      </c>
      <c r="X140" s="637">
        <v>2264.1967067011674</v>
      </c>
      <c r="Y140" s="605">
        <f t="shared" si="91"/>
        <v>-1190.1236109886486</v>
      </c>
      <c r="Z140" s="638">
        <f t="shared" si="93"/>
        <v>-1.228319432047601</v>
      </c>
      <c r="AB140" s="196"/>
    </row>
    <row r="141" spans="1:28" s="204" customFormat="1" x14ac:dyDescent="0.2">
      <c r="A141" s="622" t="s">
        <v>153</v>
      </c>
      <c r="B141" s="641"/>
      <c r="C141" s="615">
        <v>440.38303437859992</v>
      </c>
      <c r="D141" s="615">
        <v>476.06899999999996</v>
      </c>
      <c r="E141" s="616">
        <f>22.196084+0.460795</f>
        <v>22.656879</v>
      </c>
      <c r="F141" s="616">
        <f>299.238822+0.950269359999999</f>
        <v>300.18909136000002</v>
      </c>
      <c r="G141" s="617">
        <f>297.422843+0.88610355</f>
        <v>298.30894654999997</v>
      </c>
      <c r="H141" s="618">
        <v>616.74780944366785</v>
      </c>
      <c r="I141" s="618">
        <v>838.4618094436679</v>
      </c>
      <c r="J141" s="618">
        <v>778.10480944366793</v>
      </c>
      <c r="K141" s="619">
        <v>818.03980944366799</v>
      </c>
      <c r="L141" s="598"/>
      <c r="M141" s="615"/>
      <c r="N141" s="620">
        <f t="shared" ref="N141:N172" si="109">H141+M141</f>
        <v>616.74780944366785</v>
      </c>
      <c r="O141" s="615">
        <f t="shared" ref="O141:Q142" si="110">I141</f>
        <v>838.4618094436679</v>
      </c>
      <c r="P141" s="616">
        <f t="shared" si="110"/>
        <v>778.10480944366793</v>
      </c>
      <c r="Q141" s="616">
        <f t="shared" si="110"/>
        <v>818.03980944366799</v>
      </c>
      <c r="R141" s="615">
        <f t="shared" ref="R141:R159" si="111">I141-O141</f>
        <v>0</v>
      </c>
      <c r="S141" s="616">
        <f t="shared" ref="S141:S159" si="112">J141-P141</f>
        <v>0</v>
      </c>
      <c r="T141" s="616">
        <f t="shared" ref="T141:T159" si="113">K141-Q141</f>
        <v>0</v>
      </c>
      <c r="U141" s="620">
        <f t="shared" si="63"/>
        <v>221.71400000000006</v>
      </c>
      <c r="V141" s="220"/>
      <c r="W141" s="615">
        <f>O141</f>
        <v>838.4618094436679</v>
      </c>
      <c r="X141" s="616">
        <v>22.656879</v>
      </c>
      <c r="Y141" s="615">
        <f t="shared" si="91"/>
        <v>-815.8049304436679</v>
      </c>
      <c r="Z141" s="621">
        <f t="shared" si="93"/>
        <v>-0.84198736969159793</v>
      </c>
      <c r="AB141" s="196"/>
    </row>
    <row r="142" spans="1:28" s="204" customFormat="1" x14ac:dyDescent="0.2">
      <c r="A142" s="622" t="s">
        <v>117</v>
      </c>
      <c r="B142" s="641"/>
      <c r="C142" s="615">
        <v>78.553672372799994</v>
      </c>
      <c r="D142" s="615">
        <v>77.791000000000011</v>
      </c>
      <c r="E142" s="616">
        <f>5.012556+0.04544388</f>
        <v>5.0579998799999997</v>
      </c>
      <c r="F142" s="616">
        <f>47.400549+0.2362827</f>
        <v>47.636831699999995</v>
      </c>
      <c r="G142" s="617">
        <f>52.71516+0.46183876</f>
        <v>53.176998759999996</v>
      </c>
      <c r="H142" s="618">
        <v>114.4683457048518</v>
      </c>
      <c r="I142" s="618">
        <v>155.61844694720344</v>
      </c>
      <c r="J142" s="618">
        <v>144.41619241801442</v>
      </c>
      <c r="K142" s="619">
        <v>146.82812532758854</v>
      </c>
      <c r="L142" s="598"/>
      <c r="M142" s="615"/>
      <c r="N142" s="620">
        <f t="shared" si="109"/>
        <v>114.4683457048518</v>
      </c>
      <c r="O142" s="615">
        <f t="shared" si="110"/>
        <v>155.61844694720344</v>
      </c>
      <c r="P142" s="616">
        <f t="shared" si="110"/>
        <v>144.41619241801442</v>
      </c>
      <c r="Q142" s="616">
        <f t="shared" si="110"/>
        <v>146.82812532758854</v>
      </c>
      <c r="R142" s="615">
        <f t="shared" si="111"/>
        <v>0</v>
      </c>
      <c r="S142" s="616">
        <f t="shared" si="112"/>
        <v>0</v>
      </c>
      <c r="T142" s="616">
        <f t="shared" si="113"/>
        <v>0</v>
      </c>
      <c r="U142" s="620">
        <f t="shared" ref="U142:U192" si="114">O142-N142</f>
        <v>41.150101242351639</v>
      </c>
      <c r="V142" s="220"/>
      <c r="W142" s="615">
        <f>O142</f>
        <v>155.61844694720344</v>
      </c>
      <c r="X142" s="616">
        <v>5.0579998799999997</v>
      </c>
      <c r="Y142" s="615">
        <f t="shared" si="91"/>
        <v>-150.56044706720343</v>
      </c>
      <c r="Z142" s="621">
        <f t="shared" si="93"/>
        <v>-0.155392533282145</v>
      </c>
      <c r="AB142" s="196"/>
    </row>
    <row r="143" spans="1:28" s="204" customFormat="1" x14ac:dyDescent="0.2">
      <c r="A143" s="622" t="s">
        <v>618</v>
      </c>
      <c r="B143" s="623"/>
      <c r="C143" s="615">
        <v>103.08822800000002</v>
      </c>
      <c r="D143" s="631">
        <v>150.76131599999999</v>
      </c>
      <c r="E143" s="616">
        <v>144.81663</v>
      </c>
      <c r="F143" s="616">
        <v>144.81663</v>
      </c>
      <c r="G143" s="617">
        <v>144.81663</v>
      </c>
      <c r="H143" s="618">
        <v>133.83031599999998</v>
      </c>
      <c r="I143" s="618">
        <v>144.81663</v>
      </c>
      <c r="J143" s="618">
        <v>144.81663</v>
      </c>
      <c r="K143" s="619">
        <v>144.81663</v>
      </c>
      <c r="L143" s="598"/>
      <c r="M143" s="615"/>
      <c r="N143" s="620">
        <f t="shared" si="109"/>
        <v>133.83031599999998</v>
      </c>
      <c r="O143" s="615">
        <v>142.84913846262572</v>
      </c>
      <c r="P143" s="616">
        <v>151.72383765447918</v>
      </c>
      <c r="Q143" s="616">
        <v>160.73929640375167</v>
      </c>
      <c r="R143" s="615">
        <f t="shared" si="111"/>
        <v>1.9674915373742863</v>
      </c>
      <c r="S143" s="616">
        <f t="shared" si="112"/>
        <v>-6.9072076544791798</v>
      </c>
      <c r="T143" s="616">
        <f t="shared" si="113"/>
        <v>-15.922666403751663</v>
      </c>
      <c r="U143" s="620">
        <f t="shared" si="114"/>
        <v>9.0188224626257352</v>
      </c>
      <c r="V143" s="220"/>
      <c r="W143" s="615">
        <f t="shared" ref="W143:W158" si="115">O143</f>
        <v>142.84913846262572</v>
      </c>
      <c r="X143" s="616">
        <v>144.81663</v>
      </c>
      <c r="Y143" s="615">
        <f t="shared" si="91"/>
        <v>1.9674915373742863</v>
      </c>
      <c r="Z143" s="621">
        <f t="shared" si="93"/>
        <v>2.0306362006703308E-3</v>
      </c>
      <c r="AB143" s="196"/>
    </row>
    <row r="144" spans="1:28" s="204" customFormat="1" x14ac:dyDescent="0.2">
      <c r="A144" s="622" t="s">
        <v>619</v>
      </c>
      <c r="B144" s="623"/>
      <c r="C144" s="615">
        <v>0</v>
      </c>
      <c r="D144" s="631">
        <v>46.4</v>
      </c>
      <c r="E144" s="616">
        <v>0</v>
      </c>
      <c r="F144" s="616">
        <v>0</v>
      </c>
      <c r="G144" s="617">
        <v>0</v>
      </c>
      <c r="H144" s="618">
        <v>46.4</v>
      </c>
      <c r="I144" s="618">
        <v>0</v>
      </c>
      <c r="J144" s="618">
        <v>0</v>
      </c>
      <c r="K144" s="619">
        <v>0</v>
      </c>
      <c r="L144" s="598"/>
      <c r="M144" s="615"/>
      <c r="N144" s="620">
        <f t="shared" si="109"/>
        <v>46.4</v>
      </c>
      <c r="O144" s="615">
        <v>49.526895121923147</v>
      </c>
      <c r="P144" s="616">
        <v>52.603821597251809</v>
      </c>
      <c r="Q144" s="616">
        <v>55.729550493881206</v>
      </c>
      <c r="R144" s="615">
        <f t="shared" si="111"/>
        <v>-49.526895121923147</v>
      </c>
      <c r="S144" s="616">
        <f t="shared" si="112"/>
        <v>-52.603821597251809</v>
      </c>
      <c r="T144" s="616">
        <f t="shared" si="113"/>
        <v>-55.729550493881206</v>
      </c>
      <c r="U144" s="620">
        <f t="shared" si="114"/>
        <v>3.1268951219231482</v>
      </c>
      <c r="V144" s="220"/>
      <c r="W144" s="615">
        <f t="shared" si="115"/>
        <v>49.526895121923147</v>
      </c>
      <c r="X144" s="616">
        <v>0</v>
      </c>
      <c r="Y144" s="615">
        <f t="shared" si="91"/>
        <v>-49.526895121923147</v>
      </c>
      <c r="Z144" s="621">
        <f t="shared" si="93"/>
        <v>-5.1116411039610885E-2</v>
      </c>
      <c r="AB144" s="196"/>
    </row>
    <row r="145" spans="1:28" s="204" customFormat="1" x14ac:dyDescent="0.2">
      <c r="A145" s="622" t="s">
        <v>620</v>
      </c>
      <c r="B145" s="623" t="s">
        <v>621</v>
      </c>
      <c r="C145" s="615">
        <v>119.944227</v>
      </c>
      <c r="D145" s="631">
        <v>31.513999999999999</v>
      </c>
      <c r="E145" s="108">
        <v>0</v>
      </c>
      <c r="F145" s="108">
        <v>0</v>
      </c>
      <c r="G145" s="832">
        <v>0</v>
      </c>
      <c r="H145" s="618">
        <v>31.513999999999999</v>
      </c>
      <c r="I145" s="618">
        <v>0</v>
      </c>
      <c r="J145" s="618">
        <v>0</v>
      </c>
      <c r="K145" s="619">
        <v>0</v>
      </c>
      <c r="L145" s="598"/>
      <c r="M145" s="615"/>
      <c r="N145" s="620">
        <f t="shared" si="109"/>
        <v>31.513999999999999</v>
      </c>
      <c r="O145" s="615">
        <f>I145</f>
        <v>0</v>
      </c>
      <c r="P145" s="616">
        <v>0</v>
      </c>
      <c r="Q145" s="616">
        <v>0</v>
      </c>
      <c r="R145" s="615">
        <f t="shared" si="111"/>
        <v>0</v>
      </c>
      <c r="S145" s="616">
        <f t="shared" si="112"/>
        <v>0</v>
      </c>
      <c r="T145" s="616">
        <f t="shared" si="113"/>
        <v>0</v>
      </c>
      <c r="U145" s="620">
        <f t="shared" si="114"/>
        <v>-31.513999999999999</v>
      </c>
      <c r="V145" s="220"/>
      <c r="W145" s="615">
        <f t="shared" si="115"/>
        <v>0</v>
      </c>
      <c r="X145" s="616">
        <v>0</v>
      </c>
      <c r="Y145" s="615">
        <f t="shared" si="91"/>
        <v>0</v>
      </c>
      <c r="Z145" s="621">
        <f t="shared" si="93"/>
        <v>0</v>
      </c>
      <c r="AB145" s="196"/>
    </row>
    <row r="146" spans="1:28" s="204" customFormat="1" x14ac:dyDescent="0.2">
      <c r="A146" s="622" t="s">
        <v>587</v>
      </c>
      <c r="B146" s="623"/>
      <c r="C146" s="615">
        <v>173.420391</v>
      </c>
      <c r="D146" s="631">
        <f>246.29+11.646+13.36*0.1+9.265*0.1+1.2</f>
        <v>261.39849999999996</v>
      </c>
      <c r="E146" s="616">
        <v>368</v>
      </c>
      <c r="F146" s="616">
        <v>284</v>
      </c>
      <c r="G146" s="617">
        <v>259</v>
      </c>
      <c r="H146" s="618">
        <v>261.39849999999996</v>
      </c>
      <c r="I146" s="618">
        <v>368</v>
      </c>
      <c r="J146" s="618">
        <v>284</v>
      </c>
      <c r="K146" s="619">
        <v>259</v>
      </c>
      <c r="L146" s="598"/>
      <c r="M146" s="615"/>
      <c r="N146" s="620">
        <f t="shared" si="109"/>
        <v>261.39849999999996</v>
      </c>
      <c r="O146" s="615">
        <v>268.37365310644446</v>
      </c>
      <c r="P146" s="616">
        <v>276.11810287163019</v>
      </c>
      <c r="Q146" s="616">
        <v>283.0252325438712</v>
      </c>
      <c r="R146" s="615">
        <f t="shared" si="111"/>
        <v>99.626346893555535</v>
      </c>
      <c r="S146" s="616">
        <f t="shared" si="112"/>
        <v>7.8818971283698147</v>
      </c>
      <c r="T146" s="616">
        <f t="shared" si="113"/>
        <v>-24.025232543871198</v>
      </c>
      <c r="U146" s="620">
        <f t="shared" si="114"/>
        <v>6.9751531064445089</v>
      </c>
      <c r="V146" s="220"/>
      <c r="W146" s="615">
        <f t="shared" si="115"/>
        <v>268.37365310644446</v>
      </c>
      <c r="X146" s="616">
        <v>368</v>
      </c>
      <c r="Y146" s="615">
        <f t="shared" si="91"/>
        <v>99.626346893555535</v>
      </c>
      <c r="Z146" s="621">
        <f t="shared" si="93"/>
        <v>0.10282375435910632</v>
      </c>
      <c r="AB146" s="196"/>
    </row>
    <row r="147" spans="1:28" s="204" customFormat="1" x14ac:dyDescent="0.2">
      <c r="A147" s="622" t="s">
        <v>622</v>
      </c>
      <c r="B147" s="623"/>
      <c r="C147" s="615">
        <v>13.123139</v>
      </c>
      <c r="D147" s="631">
        <v>37.479883000000001</v>
      </c>
      <c r="E147" s="616">
        <v>100</v>
      </c>
      <c r="F147" s="616">
        <v>71</v>
      </c>
      <c r="G147" s="617">
        <v>71</v>
      </c>
      <c r="H147" s="618">
        <v>37.479883000000001</v>
      </c>
      <c r="I147" s="618">
        <v>100</v>
      </c>
      <c r="J147" s="618">
        <v>71</v>
      </c>
      <c r="K147" s="619">
        <v>71</v>
      </c>
      <c r="L147" s="598"/>
      <c r="M147" s="615"/>
      <c r="N147" s="620">
        <f t="shared" si="109"/>
        <v>37.479883000000001</v>
      </c>
      <c r="O147" s="615">
        <v>38.28173168801451</v>
      </c>
      <c r="P147" s="616">
        <v>39.296456041134157</v>
      </c>
      <c r="Q147" s="616">
        <v>40.167922608571246</v>
      </c>
      <c r="R147" s="615">
        <f t="shared" si="111"/>
        <v>61.71826831198549</v>
      </c>
      <c r="S147" s="616">
        <f t="shared" si="112"/>
        <v>31.703543958865843</v>
      </c>
      <c r="T147" s="616">
        <f t="shared" si="113"/>
        <v>30.832077391428754</v>
      </c>
      <c r="U147" s="620">
        <f t="shared" si="114"/>
        <v>0.80184868801450904</v>
      </c>
      <c r="V147" s="220"/>
      <c r="W147" s="615">
        <f t="shared" si="115"/>
        <v>38.28173168801451</v>
      </c>
      <c r="X147" s="616">
        <v>100</v>
      </c>
      <c r="Y147" s="615">
        <f t="shared" si="91"/>
        <v>61.71826831198549</v>
      </c>
      <c r="Z147" s="621">
        <f t="shared" si="93"/>
        <v>6.3699054098223865E-2</v>
      </c>
      <c r="AB147" s="196"/>
    </row>
    <row r="148" spans="1:28" s="204" customFormat="1" x14ac:dyDescent="0.2">
      <c r="A148" s="622" t="s">
        <v>623</v>
      </c>
      <c r="B148" s="623"/>
      <c r="C148" s="615">
        <v>0</v>
      </c>
      <c r="D148" s="833">
        <v>0</v>
      </c>
      <c r="E148" s="618">
        <f>26.114+67.951982</f>
        <v>94.065982000000005</v>
      </c>
      <c r="F148" s="618">
        <f>18.703+120.748364</f>
        <v>139.45136399999998</v>
      </c>
      <c r="G148" s="619">
        <f>18.703+120.748364</f>
        <v>139.45136399999998</v>
      </c>
      <c r="H148" s="618">
        <v>0</v>
      </c>
      <c r="I148" s="618">
        <v>94.065982000000005</v>
      </c>
      <c r="J148" s="618">
        <v>139.45136399999998</v>
      </c>
      <c r="K148" s="619">
        <v>139.45136399999998</v>
      </c>
      <c r="L148" s="598"/>
      <c r="M148" s="615"/>
      <c r="N148" s="620">
        <f t="shared" si="109"/>
        <v>0</v>
      </c>
      <c r="O148" s="615">
        <f>I148</f>
        <v>94.065982000000005</v>
      </c>
      <c r="P148" s="616">
        <f>J148</f>
        <v>139.45136399999998</v>
      </c>
      <c r="Q148" s="616">
        <f>K148</f>
        <v>139.45136399999998</v>
      </c>
      <c r="R148" s="615">
        <f t="shared" si="111"/>
        <v>0</v>
      </c>
      <c r="S148" s="616">
        <f t="shared" si="112"/>
        <v>0</v>
      </c>
      <c r="T148" s="616">
        <f t="shared" si="113"/>
        <v>0</v>
      </c>
      <c r="U148" s="620">
        <f t="shared" si="114"/>
        <v>94.065982000000005</v>
      </c>
      <c r="V148" s="220"/>
      <c r="W148" s="615">
        <f t="shared" si="115"/>
        <v>94.065982000000005</v>
      </c>
      <c r="X148" s="616">
        <v>94.065982000000005</v>
      </c>
      <c r="Y148" s="615">
        <f t="shared" si="91"/>
        <v>0</v>
      </c>
      <c r="Z148" s="621">
        <f t="shared" si="93"/>
        <v>0</v>
      </c>
      <c r="AB148" s="196"/>
    </row>
    <row r="149" spans="1:28" s="204" customFormat="1" x14ac:dyDescent="0.2">
      <c r="A149" s="622" t="s">
        <v>562</v>
      </c>
      <c r="B149" s="623"/>
      <c r="C149" s="615">
        <v>57.773237997300001</v>
      </c>
      <c r="D149" s="615">
        <v>82.72</v>
      </c>
      <c r="E149" s="616">
        <v>101.922541</v>
      </c>
      <c r="F149" s="616">
        <v>48.610658000000001</v>
      </c>
      <c r="G149" s="617">
        <v>42.145873000000002</v>
      </c>
      <c r="H149" s="618">
        <v>78.310999999999993</v>
      </c>
      <c r="I149" s="618">
        <v>101.922541</v>
      </c>
      <c r="J149" s="618">
        <v>48.610658000000001</v>
      </c>
      <c r="K149" s="619">
        <v>42.145873000000002</v>
      </c>
      <c r="L149" s="598"/>
      <c r="M149" s="615"/>
      <c r="N149" s="620">
        <f t="shared" si="109"/>
        <v>78.310999999999993</v>
      </c>
      <c r="O149" s="615">
        <v>82.333329594080425</v>
      </c>
      <c r="P149" s="616">
        <v>86.606433649201051</v>
      </c>
      <c r="Q149" s="616">
        <v>89.979197575296254</v>
      </c>
      <c r="R149" s="615">
        <f t="shared" si="111"/>
        <v>19.589211405919571</v>
      </c>
      <c r="S149" s="616">
        <f t="shared" si="112"/>
        <v>-37.99577564920105</v>
      </c>
      <c r="T149" s="616">
        <f t="shared" si="113"/>
        <v>-47.833324575296253</v>
      </c>
      <c r="U149" s="620">
        <f t="shared" si="114"/>
        <v>4.022329594080432</v>
      </c>
      <c r="V149" s="220"/>
      <c r="W149" s="615">
        <f t="shared" si="115"/>
        <v>82.333329594080425</v>
      </c>
      <c r="X149" s="616">
        <v>101.922541</v>
      </c>
      <c r="Y149" s="615">
        <f t="shared" si="91"/>
        <v>19.589211405919571</v>
      </c>
      <c r="Z149" s="621">
        <f t="shared" si="93"/>
        <v>2.0217907456176847E-2</v>
      </c>
      <c r="AB149" s="196"/>
    </row>
    <row r="150" spans="1:28" s="204" customFormat="1" x14ac:dyDescent="0.2">
      <c r="A150" s="622" t="s">
        <v>585</v>
      </c>
      <c r="B150" s="623"/>
      <c r="C150" s="615">
        <v>259.48599999999999</v>
      </c>
      <c r="D150" s="631">
        <f t="shared" ref="D150:G151" si="116">D54</f>
        <v>259.80900000000003</v>
      </c>
      <c r="E150" s="616">
        <f t="shared" si="116"/>
        <v>257.07932099999999</v>
      </c>
      <c r="F150" s="616">
        <f t="shared" si="116"/>
        <v>311.421762</v>
      </c>
      <c r="G150" s="617">
        <f t="shared" si="116"/>
        <v>316.09965899999997</v>
      </c>
      <c r="H150" s="618">
        <v>180.00000000000003</v>
      </c>
      <c r="I150" s="618">
        <v>192.13019659366742</v>
      </c>
      <c r="J150" s="618">
        <v>204.06654929968377</v>
      </c>
      <c r="K150" s="619">
        <v>216.19222174350469</v>
      </c>
      <c r="L150" s="598"/>
      <c r="M150" s="615"/>
      <c r="N150" s="620">
        <f t="shared" si="109"/>
        <v>180.00000000000003</v>
      </c>
      <c r="O150" s="615">
        <v>192.13019659366742</v>
      </c>
      <c r="P150" s="616">
        <v>204.06654929968377</v>
      </c>
      <c r="Q150" s="616">
        <v>216.19222174350469</v>
      </c>
      <c r="R150" s="615">
        <f t="shared" si="111"/>
        <v>0</v>
      </c>
      <c r="S150" s="616">
        <f t="shared" si="112"/>
        <v>0</v>
      </c>
      <c r="T150" s="616">
        <f t="shared" si="113"/>
        <v>0</v>
      </c>
      <c r="U150" s="620">
        <f t="shared" si="114"/>
        <v>12.130196593667392</v>
      </c>
      <c r="V150" s="220"/>
      <c r="W150" s="809">
        <f t="shared" si="115"/>
        <v>192.13019659366742</v>
      </c>
      <c r="X150" s="618">
        <v>192.13019659366742</v>
      </c>
      <c r="Y150" s="809">
        <f t="shared" si="91"/>
        <v>0</v>
      </c>
      <c r="Z150" s="815">
        <f t="shared" ref="Z150:Z181" si="117">Y150/$X$193*100</f>
        <v>0</v>
      </c>
      <c r="AB150" s="196"/>
    </row>
    <row r="151" spans="1:28" s="204" customFormat="1" x14ac:dyDescent="0.2">
      <c r="A151" s="622" t="s">
        <v>571</v>
      </c>
      <c r="B151" s="623"/>
      <c r="C151" s="615">
        <v>70.345580999999996</v>
      </c>
      <c r="D151" s="631">
        <f t="shared" si="116"/>
        <v>75.424000000000007</v>
      </c>
      <c r="E151" s="616">
        <f t="shared" si="116"/>
        <v>68.576526999999999</v>
      </c>
      <c r="F151" s="616">
        <f t="shared" si="116"/>
        <v>76.022440000000003</v>
      </c>
      <c r="G151" s="617">
        <f t="shared" si="116"/>
        <v>83.457265000000007</v>
      </c>
      <c r="H151" s="618">
        <v>75.424000000000007</v>
      </c>
      <c r="I151" s="618">
        <v>68.576526999999999</v>
      </c>
      <c r="J151" s="618">
        <v>76.022440000000003</v>
      </c>
      <c r="K151" s="619">
        <v>83.457265000000007</v>
      </c>
      <c r="L151" s="598"/>
      <c r="M151" s="615"/>
      <c r="N151" s="620">
        <f t="shared" si="109"/>
        <v>75.424000000000007</v>
      </c>
      <c r="O151" s="615">
        <v>80.506821932670945</v>
      </c>
      <c r="P151" s="616">
        <v>85.508418968774151</v>
      </c>
      <c r="Q151" s="616">
        <v>90.589345182122756</v>
      </c>
      <c r="R151" s="615">
        <f t="shared" si="111"/>
        <v>-11.930294932670947</v>
      </c>
      <c r="S151" s="616">
        <f t="shared" si="112"/>
        <v>-9.4859789687741483</v>
      </c>
      <c r="T151" s="616">
        <f t="shared" si="113"/>
        <v>-7.1320801821227491</v>
      </c>
      <c r="U151" s="620">
        <f t="shared" si="114"/>
        <v>5.0828219326709387</v>
      </c>
      <c r="V151" s="220"/>
      <c r="W151" s="809">
        <f t="shared" si="115"/>
        <v>80.506821932670945</v>
      </c>
      <c r="X151" s="618">
        <v>68.576526999999999</v>
      </c>
      <c r="Y151" s="809">
        <f t="shared" si="91"/>
        <v>-11.930294932670947</v>
      </c>
      <c r="Z151" s="815">
        <f t="shared" si="117"/>
        <v>-1.2313185756969677E-2</v>
      </c>
      <c r="AB151" s="196"/>
    </row>
    <row r="152" spans="1:28" s="204" customFormat="1" x14ac:dyDescent="0.2">
      <c r="A152" s="622" t="s">
        <v>564</v>
      </c>
      <c r="B152" s="623"/>
      <c r="C152" s="631">
        <v>16.159255999999999</v>
      </c>
      <c r="D152" s="631">
        <v>0</v>
      </c>
      <c r="E152" s="633">
        <v>0</v>
      </c>
      <c r="F152" s="633">
        <v>0</v>
      </c>
      <c r="G152" s="634">
        <v>0</v>
      </c>
      <c r="H152" s="813">
        <v>5.2142559999999989</v>
      </c>
      <c r="I152" s="813">
        <v>13.092255999999999</v>
      </c>
      <c r="J152" s="813">
        <v>13.092255999999999</v>
      </c>
      <c r="K152" s="814">
        <v>13.092255999999999</v>
      </c>
      <c r="L152" s="598"/>
      <c r="M152" s="615"/>
      <c r="N152" s="620">
        <f t="shared" si="109"/>
        <v>5.2142559999999989</v>
      </c>
      <c r="O152" s="615">
        <v>5.5656446131650528</v>
      </c>
      <c r="P152" s="616">
        <v>5.9114179393620638</v>
      </c>
      <c r="Q152" s="616">
        <v>6.2626754965522187</v>
      </c>
      <c r="R152" s="615">
        <f t="shared" si="111"/>
        <v>7.5266113868349462</v>
      </c>
      <c r="S152" s="616">
        <f t="shared" si="112"/>
        <v>7.1808380606379352</v>
      </c>
      <c r="T152" s="616">
        <f t="shared" si="113"/>
        <v>6.8295805034477803</v>
      </c>
      <c r="U152" s="620">
        <f t="shared" si="114"/>
        <v>0.35138861316505388</v>
      </c>
      <c r="V152" s="220"/>
      <c r="W152" s="809">
        <f>O152</f>
        <v>5.5656446131650528</v>
      </c>
      <c r="X152" s="618">
        <v>13.092255999999999</v>
      </c>
      <c r="Y152" s="809">
        <f>X152-W152</f>
        <v>7.5266113868349462</v>
      </c>
      <c r="Z152" s="815">
        <f t="shared" si="117"/>
        <v>7.7681704140296105E-3</v>
      </c>
      <c r="AB152" s="196"/>
    </row>
    <row r="153" spans="1:28" s="204" customFormat="1" x14ac:dyDescent="0.2">
      <c r="A153" s="622" t="s">
        <v>565</v>
      </c>
      <c r="B153" s="623"/>
      <c r="C153" s="631">
        <v>4.3565751074999994</v>
      </c>
      <c r="D153" s="631">
        <v>0.30451600000000001</v>
      </c>
      <c r="E153" s="633">
        <v>0</v>
      </c>
      <c r="F153" s="633">
        <v>0</v>
      </c>
      <c r="G153" s="634">
        <v>0</v>
      </c>
      <c r="H153" s="813">
        <v>4.3565751074999994</v>
      </c>
      <c r="I153" s="813">
        <v>4.3565751074999994</v>
      </c>
      <c r="J153" s="813">
        <v>4.3565751074999994</v>
      </c>
      <c r="K153" s="814">
        <v>4.3565751074999994</v>
      </c>
      <c r="L153" s="598"/>
      <c r="M153" s="615"/>
      <c r="N153" s="620">
        <f t="shared" si="109"/>
        <v>4.3565751074999994</v>
      </c>
      <c r="O153" s="615">
        <v>4.6501646215502923</v>
      </c>
      <c r="P153" s="616">
        <v>4.9390624941801322</v>
      </c>
      <c r="Q153" s="616">
        <v>5.232542509349293</v>
      </c>
      <c r="R153" s="615">
        <f t="shared" si="111"/>
        <v>-0.29358951405029288</v>
      </c>
      <c r="S153" s="616">
        <f t="shared" si="112"/>
        <v>-0.58248738668013278</v>
      </c>
      <c r="T153" s="616">
        <f t="shared" si="113"/>
        <v>-0.87596740184929356</v>
      </c>
      <c r="U153" s="620">
        <f t="shared" si="114"/>
        <v>0.29358951405029288</v>
      </c>
      <c r="V153" s="220"/>
      <c r="W153" s="809">
        <f t="shared" si="115"/>
        <v>4.6501646215502923</v>
      </c>
      <c r="X153" s="618">
        <v>4.3565751074999994</v>
      </c>
      <c r="Y153" s="809">
        <f t="shared" si="91"/>
        <v>-0.29358951405029288</v>
      </c>
      <c r="Z153" s="815">
        <f t="shared" si="117"/>
        <v>-3.0301197440643542E-4</v>
      </c>
      <c r="AB153" s="196"/>
    </row>
    <row r="154" spans="1:28" s="204" customFormat="1" x14ac:dyDescent="0.2">
      <c r="A154" s="622" t="s">
        <v>574</v>
      </c>
      <c r="B154" s="623"/>
      <c r="C154" s="631">
        <v>0.10552300000000001</v>
      </c>
      <c r="D154" s="631">
        <v>26.745999999999999</v>
      </c>
      <c r="E154" s="633">
        <v>27.037237000000001</v>
      </c>
      <c r="F154" s="633">
        <v>28.125993000000001</v>
      </c>
      <c r="G154" s="634">
        <v>29.277733000000001</v>
      </c>
      <c r="H154" s="813">
        <v>23.047999999999998</v>
      </c>
      <c r="I154" s="813">
        <v>27.037237000000001</v>
      </c>
      <c r="J154" s="813">
        <v>28.125993000000001</v>
      </c>
      <c r="K154" s="814">
        <v>29.277733000000001</v>
      </c>
      <c r="L154" s="598"/>
      <c r="M154" s="615"/>
      <c r="N154" s="620">
        <f t="shared" si="109"/>
        <v>23.047999999999998</v>
      </c>
      <c r="O154" s="615">
        <v>24.601204283838033</v>
      </c>
      <c r="P154" s="616">
        <v>26.129587934772839</v>
      </c>
      <c r="Q154" s="616">
        <v>27.682212926357199</v>
      </c>
      <c r="R154" s="615">
        <f t="shared" si="111"/>
        <v>2.4360327161619679</v>
      </c>
      <c r="S154" s="616">
        <f t="shared" si="112"/>
        <v>1.9964050652271617</v>
      </c>
      <c r="T154" s="616">
        <f t="shared" si="113"/>
        <v>1.5955200736428026</v>
      </c>
      <c r="U154" s="620">
        <f t="shared" si="114"/>
        <v>1.5532042838380349</v>
      </c>
      <c r="V154" s="220"/>
      <c r="W154" s="809">
        <f t="shared" si="115"/>
        <v>24.601204283838033</v>
      </c>
      <c r="X154" s="618">
        <v>27.037237000000001</v>
      </c>
      <c r="Y154" s="809">
        <f t="shared" si="91"/>
        <v>2.4360327161619679</v>
      </c>
      <c r="Z154" s="815">
        <f t="shared" si="117"/>
        <v>2.5142147376437376E-3</v>
      </c>
      <c r="AB154" s="196"/>
    </row>
    <row r="155" spans="1:28" s="204" customFormat="1" x14ac:dyDescent="0.2">
      <c r="A155" s="622" t="s">
        <v>77</v>
      </c>
      <c r="B155" s="623"/>
      <c r="C155" s="615">
        <v>0</v>
      </c>
      <c r="D155" s="631">
        <v>49.472048000000001</v>
      </c>
      <c r="E155" s="616">
        <v>0</v>
      </c>
      <c r="F155" s="616">
        <v>0</v>
      </c>
      <c r="G155" s="617">
        <v>0</v>
      </c>
      <c r="H155" s="618">
        <v>0</v>
      </c>
      <c r="I155" s="618">
        <v>0</v>
      </c>
      <c r="J155" s="618">
        <v>0</v>
      </c>
      <c r="K155" s="619">
        <v>0</v>
      </c>
      <c r="L155" s="598"/>
      <c r="M155" s="615"/>
      <c r="N155" s="620">
        <f t="shared" si="109"/>
        <v>0</v>
      </c>
      <c r="O155" s="615">
        <v>0</v>
      </c>
      <c r="P155" s="616">
        <v>0</v>
      </c>
      <c r="Q155" s="616">
        <v>0</v>
      </c>
      <c r="R155" s="615">
        <f t="shared" si="111"/>
        <v>0</v>
      </c>
      <c r="S155" s="616">
        <f t="shared" si="112"/>
        <v>0</v>
      </c>
      <c r="T155" s="616">
        <f t="shared" si="113"/>
        <v>0</v>
      </c>
      <c r="U155" s="620">
        <f t="shared" si="114"/>
        <v>0</v>
      </c>
      <c r="V155" s="220"/>
      <c r="W155" s="809">
        <f t="shared" si="115"/>
        <v>0</v>
      </c>
      <c r="X155" s="618">
        <v>0</v>
      </c>
      <c r="Y155" s="809">
        <f t="shared" si="91"/>
        <v>0</v>
      </c>
      <c r="Z155" s="815">
        <f t="shared" si="117"/>
        <v>0</v>
      </c>
      <c r="AB155" s="196"/>
    </row>
    <row r="156" spans="1:28" s="204" customFormat="1" x14ac:dyDescent="0.2">
      <c r="A156" s="622" t="s">
        <v>79</v>
      </c>
      <c r="B156" s="623"/>
      <c r="C156" s="615">
        <v>0</v>
      </c>
      <c r="D156" s="631">
        <v>0</v>
      </c>
      <c r="E156" s="616">
        <v>150</v>
      </c>
      <c r="F156" s="616">
        <v>0</v>
      </c>
      <c r="G156" s="617">
        <v>0</v>
      </c>
      <c r="H156" s="618">
        <v>0</v>
      </c>
      <c r="I156" s="618">
        <v>0</v>
      </c>
      <c r="J156" s="618">
        <v>0</v>
      </c>
      <c r="K156" s="619">
        <v>0</v>
      </c>
      <c r="L156" s="598"/>
      <c r="M156" s="615"/>
      <c r="N156" s="620">
        <f t="shared" si="109"/>
        <v>0</v>
      </c>
      <c r="O156" s="615">
        <v>0</v>
      </c>
      <c r="P156" s="616">
        <v>0</v>
      </c>
      <c r="Q156" s="616">
        <v>0</v>
      </c>
      <c r="R156" s="615">
        <f t="shared" si="111"/>
        <v>0</v>
      </c>
      <c r="S156" s="616">
        <f t="shared" si="112"/>
        <v>0</v>
      </c>
      <c r="T156" s="616">
        <f t="shared" si="113"/>
        <v>0</v>
      </c>
      <c r="U156" s="620">
        <f t="shared" si="114"/>
        <v>0</v>
      </c>
      <c r="V156" s="220"/>
      <c r="W156" s="809">
        <f t="shared" si="115"/>
        <v>0</v>
      </c>
      <c r="X156" s="618">
        <v>150</v>
      </c>
      <c r="Y156" s="809">
        <f t="shared" si="91"/>
        <v>150</v>
      </c>
      <c r="Z156" s="815">
        <f t="shared" si="117"/>
        <v>0.15481409922964504</v>
      </c>
      <c r="AB156" s="196"/>
    </row>
    <row r="157" spans="1:28" s="204" customFormat="1" x14ac:dyDescent="0.2">
      <c r="A157" s="622" t="s">
        <v>80</v>
      </c>
      <c r="B157" s="623"/>
      <c r="C157" s="615">
        <v>0</v>
      </c>
      <c r="D157" s="631">
        <v>0</v>
      </c>
      <c r="E157" s="616">
        <v>0</v>
      </c>
      <c r="F157" s="616">
        <v>180</v>
      </c>
      <c r="G157" s="617">
        <v>500</v>
      </c>
      <c r="H157" s="618">
        <v>0</v>
      </c>
      <c r="I157" s="618">
        <v>0</v>
      </c>
      <c r="J157" s="618">
        <v>0</v>
      </c>
      <c r="K157" s="619">
        <v>0</v>
      </c>
      <c r="L157" s="598"/>
      <c r="M157" s="615"/>
      <c r="N157" s="620">
        <f t="shared" si="109"/>
        <v>0</v>
      </c>
      <c r="O157" s="615">
        <v>0</v>
      </c>
      <c r="P157" s="616">
        <v>0</v>
      </c>
      <c r="Q157" s="616">
        <v>0</v>
      </c>
      <c r="R157" s="615">
        <f t="shared" si="111"/>
        <v>0</v>
      </c>
      <c r="S157" s="616">
        <f t="shared" si="112"/>
        <v>0</v>
      </c>
      <c r="T157" s="616">
        <f t="shared" si="113"/>
        <v>0</v>
      </c>
      <c r="U157" s="620">
        <f t="shared" si="114"/>
        <v>0</v>
      </c>
      <c r="V157" s="220"/>
      <c r="W157" s="809">
        <f t="shared" si="115"/>
        <v>0</v>
      </c>
      <c r="X157" s="618">
        <v>0</v>
      </c>
      <c r="Y157" s="809">
        <f t="shared" si="91"/>
        <v>0</v>
      </c>
      <c r="Z157" s="815">
        <f t="shared" si="117"/>
        <v>0</v>
      </c>
      <c r="AB157" s="196"/>
    </row>
    <row r="158" spans="1:28" s="204" customFormat="1" x14ac:dyDescent="0.2">
      <c r="A158" s="622" t="s">
        <v>593</v>
      </c>
      <c r="B158" s="623"/>
      <c r="C158" s="615">
        <v>0</v>
      </c>
      <c r="D158" s="833">
        <v>0</v>
      </c>
      <c r="E158" s="423">
        <f>217.765936-E102</f>
        <v>129.94864000000001</v>
      </c>
      <c r="F158" s="423">
        <f>259.669452-F102</f>
        <v>142.43179199999997</v>
      </c>
      <c r="G158" s="544">
        <f>184.116746-G102</f>
        <v>145.353295</v>
      </c>
      <c r="H158" s="618">
        <v>0</v>
      </c>
      <c r="I158" s="618">
        <v>0</v>
      </c>
      <c r="J158" s="618">
        <v>0</v>
      </c>
      <c r="K158" s="619">
        <v>0</v>
      </c>
      <c r="L158" s="598"/>
      <c r="M158" s="615"/>
      <c r="N158" s="620">
        <f t="shared" si="109"/>
        <v>0</v>
      </c>
      <c r="O158" s="615">
        <v>0</v>
      </c>
      <c r="P158" s="616">
        <v>0</v>
      </c>
      <c r="Q158" s="616">
        <v>0</v>
      </c>
      <c r="R158" s="615">
        <f t="shared" si="111"/>
        <v>0</v>
      </c>
      <c r="S158" s="616">
        <f t="shared" si="112"/>
        <v>0</v>
      </c>
      <c r="T158" s="616">
        <f t="shared" si="113"/>
        <v>0</v>
      </c>
      <c r="U158" s="620">
        <f t="shared" si="114"/>
        <v>0</v>
      </c>
      <c r="V158" s="220"/>
      <c r="W158" s="809">
        <f t="shared" si="115"/>
        <v>0</v>
      </c>
      <c r="X158" s="618">
        <v>129.94864000000001</v>
      </c>
      <c r="Y158" s="809">
        <f t="shared" si="91"/>
        <v>129.94864000000001</v>
      </c>
      <c r="Z158" s="815">
        <f t="shared" si="117"/>
        <v>0.13411921098478283</v>
      </c>
      <c r="AB158" s="196"/>
    </row>
    <row r="159" spans="1:28" s="204" customFormat="1" x14ac:dyDescent="0.2">
      <c r="A159" s="622" t="s">
        <v>497</v>
      </c>
      <c r="B159" s="623"/>
      <c r="C159" s="620">
        <v>1362.2611351437999</v>
      </c>
      <c r="D159" s="615">
        <f>D140-SUM(D141:D158)</f>
        <v>1278.8107369999998</v>
      </c>
      <c r="E159" s="616">
        <f>E140-SUM(E141:E158)</f>
        <v>842.53524312000013</v>
      </c>
      <c r="F159" s="616">
        <f>F140-SUM(F141:F158)</f>
        <v>792.28443793999986</v>
      </c>
      <c r="G159" s="617">
        <f>G140-SUM(G141:G158)</f>
        <v>844.7452356900003</v>
      </c>
      <c r="H159" s="618">
        <v>1496.7790369999998</v>
      </c>
      <c r="I159" s="618">
        <v>1121.4828903661003</v>
      </c>
      <c r="J159" s="618">
        <v>1201.7603817687468</v>
      </c>
      <c r="K159" s="619">
        <v>1246.3475818981653</v>
      </c>
      <c r="L159" s="598"/>
      <c r="M159" s="615">
        <v>-112.697</v>
      </c>
      <c r="N159" s="620">
        <f t="shared" si="109"/>
        <v>1384.0820369999997</v>
      </c>
      <c r="O159" s="615">
        <v>1477.3552992809643</v>
      </c>
      <c r="P159" s="616">
        <v>1569.1380291014843</v>
      </c>
      <c r="Q159" s="616">
        <v>1662.3765036350312</v>
      </c>
      <c r="R159" s="615">
        <f t="shared" si="111"/>
        <v>-355.87240891486408</v>
      </c>
      <c r="S159" s="616">
        <f t="shared" si="112"/>
        <v>-367.37764733273752</v>
      </c>
      <c r="T159" s="616">
        <f t="shared" si="113"/>
        <v>-416.02892173686587</v>
      </c>
      <c r="U159" s="620">
        <f t="shared" si="114"/>
        <v>93.273262280964673</v>
      </c>
      <c r="V159" s="220"/>
      <c r="W159" s="615">
        <f>O159</f>
        <v>1477.3552992809643</v>
      </c>
      <c r="X159" s="616">
        <v>842.53524312000013</v>
      </c>
      <c r="Y159" s="615">
        <f t="shared" si="91"/>
        <v>-634.82005616096421</v>
      </c>
      <c r="Z159" s="621">
        <f t="shared" si="117"/>
        <v>-0.65519396778314898</v>
      </c>
      <c r="AA159" s="201"/>
      <c r="AB159" s="196"/>
    </row>
    <row r="160" spans="1:28" s="206" customFormat="1" x14ac:dyDescent="0.2">
      <c r="A160" s="479" t="s">
        <v>424</v>
      </c>
      <c r="B160" s="641" t="s">
        <v>624</v>
      </c>
      <c r="C160" s="605">
        <v>173.1</v>
      </c>
      <c r="D160" s="651">
        <v>505.7</v>
      </c>
      <c r="E160" s="656">
        <v>194.08</v>
      </c>
      <c r="F160" s="656">
        <v>200.91399999999999</v>
      </c>
      <c r="G160" s="657">
        <v>155.44999999999999</v>
      </c>
      <c r="H160" s="658">
        <f>SUM(H161:H171)</f>
        <v>594.62480272471043</v>
      </c>
      <c r="I160" s="658">
        <f>SUM(I161:I171)</f>
        <v>604.53602864382833</v>
      </c>
      <c r="J160" s="658">
        <f>SUM(J161:J171)</f>
        <v>379.11704502248591</v>
      </c>
      <c r="K160" s="659">
        <f>SUM(K161:K171)</f>
        <v>319.53539702047237</v>
      </c>
      <c r="L160" s="598"/>
      <c r="M160" s="605">
        <f>SUM(M161:M171)</f>
        <v>-296.77730000000003</v>
      </c>
      <c r="N160" s="604">
        <f t="shared" si="109"/>
        <v>297.84750272471041</v>
      </c>
      <c r="O160" s="605">
        <f t="shared" ref="O160:T160" si="118">SUM(O161:O171)</f>
        <v>285.38261243315725</v>
      </c>
      <c r="P160" s="637">
        <f t="shared" si="118"/>
        <v>330.04752570777191</v>
      </c>
      <c r="Q160" s="637">
        <f t="shared" si="118"/>
        <v>283.54109030953134</v>
      </c>
      <c r="R160" s="605">
        <f t="shared" si="118"/>
        <v>319.15341621067108</v>
      </c>
      <c r="S160" s="637">
        <f t="shared" si="118"/>
        <v>49.069519314714015</v>
      </c>
      <c r="T160" s="637">
        <f t="shared" si="118"/>
        <v>35.994306710941004</v>
      </c>
      <c r="U160" s="604">
        <f t="shared" si="114"/>
        <v>-12.464890291553161</v>
      </c>
      <c r="V160" s="424"/>
      <c r="W160" s="605">
        <f>SUM(W161:W171)</f>
        <v>285.38261243315725</v>
      </c>
      <c r="X160" s="637">
        <v>217.40300000000002</v>
      </c>
      <c r="Y160" s="605">
        <f t="shared" si="91"/>
        <v>-67.979612433157229</v>
      </c>
      <c r="Z160" s="638">
        <f t="shared" si="117"/>
        <v>-7.0161349765464107E-2</v>
      </c>
      <c r="AB160" s="196"/>
    </row>
    <row r="161" spans="1:28" s="204" customFormat="1" x14ac:dyDescent="0.2">
      <c r="A161" s="622" t="s">
        <v>117</v>
      </c>
      <c r="B161" s="641"/>
      <c r="C161" s="809">
        <v>25.353318269999999</v>
      </c>
      <c r="D161" s="615">
        <v>14.908000000000001</v>
      </c>
      <c r="E161" s="616">
        <v>47.469028000000002</v>
      </c>
      <c r="F161" s="616">
        <v>61.245569000000003</v>
      </c>
      <c r="G161" s="617">
        <v>63.135705999999999</v>
      </c>
      <c r="H161" s="618">
        <v>35.975802724710434</v>
      </c>
      <c r="I161" s="618">
        <v>124.37805664382836</v>
      </c>
      <c r="J161" s="618">
        <v>166.12561402248593</v>
      </c>
      <c r="K161" s="619">
        <v>153.89810302047238</v>
      </c>
      <c r="L161" s="598"/>
      <c r="M161" s="615"/>
      <c r="N161" s="620">
        <f t="shared" si="109"/>
        <v>35.975802724710434</v>
      </c>
      <c r="O161" s="615">
        <f>I161</f>
        <v>124.37805664382836</v>
      </c>
      <c r="P161" s="616">
        <f>J161</f>
        <v>166.12561402248593</v>
      </c>
      <c r="Q161" s="616">
        <f>K161</f>
        <v>153.89810302047238</v>
      </c>
      <c r="R161" s="615">
        <f t="shared" ref="R161:R171" si="119">I161-O161</f>
        <v>0</v>
      </c>
      <c r="S161" s="616">
        <f t="shared" ref="S161:S171" si="120">J161-P161</f>
        <v>0</v>
      </c>
      <c r="T161" s="616">
        <f t="shared" ref="T161:T171" si="121">K161-Q161</f>
        <v>0</v>
      </c>
      <c r="U161" s="620">
        <f t="shared" si="114"/>
        <v>88.402253919117925</v>
      </c>
      <c r="V161" s="220"/>
      <c r="W161" s="615">
        <f>O161</f>
        <v>124.37805664382836</v>
      </c>
      <c r="X161" s="616">
        <v>47.469028000000002</v>
      </c>
      <c r="Y161" s="615">
        <f t="shared" si="91"/>
        <v>-76.90902864382835</v>
      </c>
      <c r="Z161" s="621">
        <f t="shared" si="117"/>
        <v>-7.9377346614141697E-2</v>
      </c>
      <c r="AB161" s="196"/>
    </row>
    <row r="162" spans="1:28" s="204" customFormat="1" x14ac:dyDescent="0.2">
      <c r="A162" s="622" t="s">
        <v>491</v>
      </c>
      <c r="B162" s="623"/>
      <c r="C162" s="809">
        <v>17.535</v>
      </c>
      <c r="D162" s="615">
        <v>0</v>
      </c>
      <c r="E162" s="616">
        <v>0</v>
      </c>
      <c r="F162" s="616">
        <v>0</v>
      </c>
      <c r="G162" s="617">
        <v>0</v>
      </c>
      <c r="H162" s="618">
        <v>17.535</v>
      </c>
      <c r="I162" s="618">
        <v>17.535</v>
      </c>
      <c r="J162" s="618">
        <v>17.535</v>
      </c>
      <c r="K162" s="619">
        <v>17.535</v>
      </c>
      <c r="L162" s="598"/>
      <c r="M162" s="615"/>
      <c r="N162" s="620">
        <f t="shared" si="109"/>
        <v>17.535</v>
      </c>
      <c r="O162" s="615">
        <f>N162</f>
        <v>17.535</v>
      </c>
      <c r="P162" s="616">
        <f t="shared" ref="P162:Q162" si="122">O162</f>
        <v>17.535</v>
      </c>
      <c r="Q162" s="616">
        <f t="shared" si="122"/>
        <v>17.535</v>
      </c>
      <c r="R162" s="615">
        <f t="shared" si="119"/>
        <v>0</v>
      </c>
      <c r="S162" s="616">
        <f t="shared" si="120"/>
        <v>0</v>
      </c>
      <c r="T162" s="616">
        <f t="shared" si="121"/>
        <v>0</v>
      </c>
      <c r="U162" s="620">
        <f t="shared" si="114"/>
        <v>0</v>
      </c>
      <c r="V162" s="220"/>
      <c r="W162" s="615">
        <f t="shared" ref="W162:W170" si="123">O162</f>
        <v>17.535</v>
      </c>
      <c r="X162" s="616">
        <v>17.535</v>
      </c>
      <c r="Y162" s="615">
        <f t="shared" si="91"/>
        <v>0</v>
      </c>
      <c r="Z162" s="621">
        <f t="shared" si="117"/>
        <v>0</v>
      </c>
      <c r="AB162" s="196"/>
    </row>
    <row r="163" spans="1:28" s="204" customFormat="1" x14ac:dyDescent="0.2">
      <c r="A163" s="622" t="s">
        <v>591</v>
      </c>
      <c r="B163" s="623"/>
      <c r="C163" s="809">
        <v>5.7880000000000003</v>
      </c>
      <c r="D163" s="631">
        <v>0</v>
      </c>
      <c r="E163" s="616">
        <v>0</v>
      </c>
      <c r="F163" s="220">
        <v>0</v>
      </c>
      <c r="G163" s="617">
        <v>0</v>
      </c>
      <c r="H163" s="618">
        <v>5.7880000000000003</v>
      </c>
      <c r="I163" s="618">
        <v>5.7880000000000003</v>
      </c>
      <c r="J163" s="618">
        <v>5.7880000000000003</v>
      </c>
      <c r="K163" s="619">
        <v>5.7880000000000003</v>
      </c>
      <c r="L163" s="598"/>
      <c r="M163" s="615">
        <v>0</v>
      </c>
      <c r="N163" s="620">
        <f t="shared" si="109"/>
        <v>5.7880000000000003</v>
      </c>
      <c r="O163" s="615">
        <f>I163</f>
        <v>5.7880000000000003</v>
      </c>
      <c r="P163" s="616">
        <f>J163</f>
        <v>5.7880000000000003</v>
      </c>
      <c r="Q163" s="616">
        <f>K163</f>
        <v>5.7880000000000003</v>
      </c>
      <c r="R163" s="615">
        <f t="shared" si="119"/>
        <v>0</v>
      </c>
      <c r="S163" s="616">
        <f t="shared" si="120"/>
        <v>0</v>
      </c>
      <c r="T163" s="616">
        <f t="shared" si="121"/>
        <v>0</v>
      </c>
      <c r="U163" s="620">
        <f t="shared" si="114"/>
        <v>0</v>
      </c>
      <c r="V163" s="220"/>
      <c r="W163" s="615">
        <f t="shared" si="123"/>
        <v>5.7880000000000003</v>
      </c>
      <c r="X163" s="616">
        <v>5.7880000000000003</v>
      </c>
      <c r="Y163" s="615">
        <f t="shared" si="91"/>
        <v>0</v>
      </c>
      <c r="Z163" s="621">
        <f t="shared" si="117"/>
        <v>0</v>
      </c>
      <c r="AB163" s="196"/>
    </row>
    <row r="164" spans="1:28" s="204" customFormat="1" x14ac:dyDescent="0.2">
      <c r="A164" s="622" t="s">
        <v>625</v>
      </c>
      <c r="B164" s="623"/>
      <c r="C164" s="809">
        <v>-2.8759999999999999</v>
      </c>
      <c r="D164" s="631">
        <v>13.4</v>
      </c>
      <c r="E164" s="616">
        <v>0</v>
      </c>
      <c r="F164" s="220">
        <v>0</v>
      </c>
      <c r="G164" s="617">
        <v>0</v>
      </c>
      <c r="H164" s="618">
        <v>13.4</v>
      </c>
      <c r="I164" s="618">
        <v>0</v>
      </c>
      <c r="J164" s="618">
        <v>0</v>
      </c>
      <c r="K164" s="619">
        <v>0</v>
      </c>
      <c r="L164" s="598"/>
      <c r="M164" s="615"/>
      <c r="N164" s="620">
        <f t="shared" si="109"/>
        <v>13.4</v>
      </c>
      <c r="O164" s="615">
        <v>0</v>
      </c>
      <c r="P164" s="616">
        <v>0</v>
      </c>
      <c r="Q164" s="616">
        <v>0</v>
      </c>
      <c r="R164" s="615">
        <f t="shared" si="119"/>
        <v>0</v>
      </c>
      <c r="S164" s="616">
        <f t="shared" si="120"/>
        <v>0</v>
      </c>
      <c r="T164" s="616">
        <f t="shared" si="121"/>
        <v>0</v>
      </c>
      <c r="U164" s="620">
        <f t="shared" si="114"/>
        <v>-13.4</v>
      </c>
      <c r="V164" s="220"/>
      <c r="W164" s="615">
        <f t="shared" si="123"/>
        <v>0</v>
      </c>
      <c r="X164" s="616">
        <v>0</v>
      </c>
      <c r="Y164" s="615">
        <f t="shared" si="91"/>
        <v>0</v>
      </c>
      <c r="Z164" s="621">
        <f t="shared" si="117"/>
        <v>0</v>
      </c>
      <c r="AB164" s="196"/>
    </row>
    <row r="165" spans="1:28" s="204" customFormat="1" x14ac:dyDescent="0.2">
      <c r="A165" s="622" t="s">
        <v>626</v>
      </c>
      <c r="B165" s="623" t="s">
        <v>627</v>
      </c>
      <c r="C165" s="809">
        <v>27.2</v>
      </c>
      <c r="D165" s="631">
        <v>63.04</v>
      </c>
      <c r="E165" s="616">
        <v>0</v>
      </c>
      <c r="F165" s="220">
        <v>0</v>
      </c>
      <c r="G165" s="617">
        <v>0</v>
      </c>
      <c r="H165" s="618">
        <v>63.04</v>
      </c>
      <c r="I165" s="618">
        <v>0</v>
      </c>
      <c r="J165" s="618">
        <v>0</v>
      </c>
      <c r="K165" s="619">
        <v>0</v>
      </c>
      <c r="L165" s="598"/>
      <c r="M165" s="615"/>
      <c r="N165" s="620">
        <f t="shared" si="109"/>
        <v>63.04</v>
      </c>
      <c r="O165" s="615">
        <f>I165</f>
        <v>0</v>
      </c>
      <c r="P165" s="616">
        <f>J165</f>
        <v>0</v>
      </c>
      <c r="Q165" s="616">
        <f>K165</f>
        <v>0</v>
      </c>
      <c r="R165" s="615">
        <f t="shared" si="119"/>
        <v>0</v>
      </c>
      <c r="S165" s="616">
        <f t="shared" si="120"/>
        <v>0</v>
      </c>
      <c r="T165" s="616">
        <f t="shared" si="121"/>
        <v>0</v>
      </c>
      <c r="U165" s="620">
        <f t="shared" si="114"/>
        <v>-63.04</v>
      </c>
      <c r="V165" s="220"/>
      <c r="W165" s="615">
        <f t="shared" si="123"/>
        <v>0</v>
      </c>
      <c r="X165" s="616">
        <v>0</v>
      </c>
      <c r="Y165" s="615">
        <f t="shared" si="91"/>
        <v>0</v>
      </c>
      <c r="Z165" s="621">
        <f t="shared" si="117"/>
        <v>0</v>
      </c>
      <c r="AB165" s="196"/>
    </row>
    <row r="166" spans="1:28" s="204" customFormat="1" x14ac:dyDescent="0.2">
      <c r="A166" s="622" t="s">
        <v>628</v>
      </c>
      <c r="B166" s="623"/>
      <c r="C166" s="809">
        <v>21.05</v>
      </c>
      <c r="D166" s="631">
        <v>0</v>
      </c>
      <c r="E166" s="616">
        <v>21</v>
      </c>
      <c r="F166" s="220">
        <v>0</v>
      </c>
      <c r="G166" s="617">
        <v>0</v>
      </c>
      <c r="H166" s="618">
        <v>0</v>
      </c>
      <c r="I166" s="618">
        <v>21</v>
      </c>
      <c r="J166" s="618">
        <v>0</v>
      </c>
      <c r="K166" s="619">
        <v>0</v>
      </c>
      <c r="L166" s="598"/>
      <c r="M166" s="615"/>
      <c r="N166" s="620">
        <f t="shared" si="109"/>
        <v>0</v>
      </c>
      <c r="O166" s="615">
        <v>0</v>
      </c>
      <c r="P166" s="616">
        <v>0</v>
      </c>
      <c r="Q166" s="616">
        <v>0</v>
      </c>
      <c r="R166" s="615">
        <f t="shared" si="119"/>
        <v>21</v>
      </c>
      <c r="S166" s="616">
        <f t="shared" si="120"/>
        <v>0</v>
      </c>
      <c r="T166" s="616">
        <f t="shared" si="121"/>
        <v>0</v>
      </c>
      <c r="U166" s="620">
        <f t="shared" si="114"/>
        <v>0</v>
      </c>
      <c r="V166" s="220"/>
      <c r="W166" s="615">
        <f t="shared" si="123"/>
        <v>0</v>
      </c>
      <c r="X166" s="616">
        <v>21</v>
      </c>
      <c r="Y166" s="615">
        <f t="shared" si="91"/>
        <v>21</v>
      </c>
      <c r="Z166" s="621">
        <f t="shared" si="117"/>
        <v>2.1673973892150304E-2</v>
      </c>
      <c r="AB166" s="196"/>
    </row>
    <row r="167" spans="1:28" s="204" customFormat="1" x14ac:dyDescent="0.2">
      <c r="A167" s="622" t="s">
        <v>52</v>
      </c>
      <c r="B167" s="623"/>
      <c r="C167" s="809">
        <v>0</v>
      </c>
      <c r="D167" s="631">
        <v>0</v>
      </c>
      <c r="E167" s="616">
        <v>44.781308000000003</v>
      </c>
      <c r="F167" s="220">
        <v>45.033427000000003</v>
      </c>
      <c r="G167" s="617">
        <f>130-F167-E167-D170</f>
        <v>8.0469929999999934</v>
      </c>
      <c r="H167" s="618">
        <v>32.138272000000001</v>
      </c>
      <c r="I167" s="618">
        <v>44.781308000000003</v>
      </c>
      <c r="J167" s="618">
        <v>45.033427000000003</v>
      </c>
      <c r="K167" s="619">
        <v>8.0469929999999934</v>
      </c>
      <c r="L167" s="598"/>
      <c r="M167" s="615"/>
      <c r="N167" s="620">
        <f t="shared" si="109"/>
        <v>32.138272000000001</v>
      </c>
      <c r="O167" s="615">
        <f t="shared" ref="O167:Q168" si="124">I167</f>
        <v>44.781308000000003</v>
      </c>
      <c r="P167" s="616">
        <f t="shared" si="124"/>
        <v>45.033427000000003</v>
      </c>
      <c r="Q167" s="616">
        <f t="shared" si="124"/>
        <v>8.0469929999999934</v>
      </c>
      <c r="R167" s="615">
        <f t="shared" si="119"/>
        <v>0</v>
      </c>
      <c r="S167" s="616">
        <f t="shared" si="120"/>
        <v>0</v>
      </c>
      <c r="T167" s="616">
        <f t="shared" si="121"/>
        <v>0</v>
      </c>
      <c r="U167" s="620">
        <f t="shared" si="114"/>
        <v>12.643036000000002</v>
      </c>
      <c r="V167" s="220"/>
      <c r="W167" s="615">
        <f t="shared" si="123"/>
        <v>44.781308000000003</v>
      </c>
      <c r="X167" s="616">
        <v>44.781308000000003</v>
      </c>
      <c r="Y167" s="615">
        <f t="shared" si="91"/>
        <v>0</v>
      </c>
      <c r="Z167" s="621">
        <f t="shared" si="117"/>
        <v>0</v>
      </c>
      <c r="AB167" s="196"/>
    </row>
    <row r="168" spans="1:28" s="204" customFormat="1" x14ac:dyDescent="0.2">
      <c r="A168" s="622" t="s">
        <v>629</v>
      </c>
      <c r="B168" s="623"/>
      <c r="C168" s="809">
        <v>35.25</v>
      </c>
      <c r="D168" s="631">
        <v>23.242000000000001</v>
      </c>
      <c r="E168" s="616">
        <v>0</v>
      </c>
      <c r="F168" s="220">
        <v>0</v>
      </c>
      <c r="G168" s="617">
        <v>0</v>
      </c>
      <c r="H168" s="618">
        <v>89.756</v>
      </c>
      <c r="I168" s="618">
        <v>50</v>
      </c>
      <c r="J168" s="618">
        <v>50</v>
      </c>
      <c r="K168" s="619">
        <v>50</v>
      </c>
      <c r="L168" s="598"/>
      <c r="M168" s="615"/>
      <c r="N168" s="620">
        <f t="shared" si="109"/>
        <v>89.756</v>
      </c>
      <c r="O168" s="615">
        <f t="shared" si="124"/>
        <v>50</v>
      </c>
      <c r="P168" s="616">
        <f t="shared" si="124"/>
        <v>50</v>
      </c>
      <c r="Q168" s="616">
        <f t="shared" si="124"/>
        <v>50</v>
      </c>
      <c r="R168" s="615">
        <f t="shared" si="119"/>
        <v>0</v>
      </c>
      <c r="S168" s="616">
        <f t="shared" si="120"/>
        <v>0</v>
      </c>
      <c r="T168" s="616">
        <f t="shared" si="121"/>
        <v>0</v>
      </c>
      <c r="U168" s="620">
        <f t="shared" si="114"/>
        <v>-39.756</v>
      </c>
      <c r="V168" s="220"/>
      <c r="W168" s="615">
        <f t="shared" si="123"/>
        <v>50</v>
      </c>
      <c r="X168" s="616">
        <v>0</v>
      </c>
      <c r="Y168" s="615">
        <f t="shared" si="91"/>
        <v>-50</v>
      </c>
      <c r="Z168" s="621">
        <f t="shared" si="117"/>
        <v>-5.1604699743215014E-2</v>
      </c>
      <c r="AB168" s="196"/>
    </row>
    <row r="169" spans="1:28" s="204" customFormat="1" x14ac:dyDescent="0.2">
      <c r="A169" s="622" t="s">
        <v>630</v>
      </c>
      <c r="B169" s="623"/>
      <c r="C169" s="809">
        <v>0</v>
      </c>
      <c r="D169" s="631">
        <v>296.8</v>
      </c>
      <c r="E169" s="616">
        <v>0</v>
      </c>
      <c r="F169" s="220">
        <v>0</v>
      </c>
      <c r="G169" s="617">
        <v>0</v>
      </c>
      <c r="H169" s="618">
        <v>296.8</v>
      </c>
      <c r="I169" s="618">
        <v>260.22399999999999</v>
      </c>
      <c r="J169" s="618">
        <v>0</v>
      </c>
      <c r="K169" s="619">
        <v>0</v>
      </c>
      <c r="L169" s="598"/>
      <c r="M169" s="615">
        <v>-296.77730000000003</v>
      </c>
      <c r="N169" s="620">
        <f t="shared" si="109"/>
        <v>2.2699999999986176E-2</v>
      </c>
      <c r="O169" s="615">
        <v>0</v>
      </c>
      <c r="P169" s="616">
        <v>0</v>
      </c>
      <c r="Q169" s="616">
        <v>0</v>
      </c>
      <c r="R169" s="615">
        <f t="shared" si="119"/>
        <v>260.22399999999999</v>
      </c>
      <c r="S169" s="616">
        <f t="shared" si="120"/>
        <v>0</v>
      </c>
      <c r="T169" s="616">
        <f t="shared" si="121"/>
        <v>0</v>
      </c>
      <c r="U169" s="620">
        <f t="shared" si="114"/>
        <v>-2.2699999999986176E-2</v>
      </c>
      <c r="V169" s="220"/>
      <c r="W169" s="615">
        <f t="shared" si="123"/>
        <v>0</v>
      </c>
      <c r="X169" s="616">
        <v>0</v>
      </c>
      <c r="Y169" s="615">
        <f t="shared" si="91"/>
        <v>0</v>
      </c>
      <c r="Z169" s="621">
        <f t="shared" si="117"/>
        <v>0</v>
      </c>
      <c r="AB169" s="196"/>
    </row>
    <row r="170" spans="1:28" s="204" customFormat="1" x14ac:dyDescent="0.2">
      <c r="A170" s="622" t="s">
        <v>77</v>
      </c>
      <c r="B170" s="623"/>
      <c r="C170" s="809">
        <v>0</v>
      </c>
      <c r="D170" s="631">
        <v>32.138272000000001</v>
      </c>
      <c r="E170" s="616">
        <v>0</v>
      </c>
      <c r="F170" s="616">
        <v>0</v>
      </c>
      <c r="G170" s="617">
        <v>0</v>
      </c>
      <c r="H170" s="618">
        <v>0</v>
      </c>
      <c r="I170" s="618">
        <v>0</v>
      </c>
      <c r="J170" s="618">
        <v>0</v>
      </c>
      <c r="K170" s="619">
        <v>0</v>
      </c>
      <c r="L170" s="598"/>
      <c r="M170" s="615"/>
      <c r="N170" s="620">
        <f t="shared" si="109"/>
        <v>0</v>
      </c>
      <c r="O170" s="615">
        <v>0</v>
      </c>
      <c r="P170" s="616">
        <v>0</v>
      </c>
      <c r="Q170" s="616">
        <v>0</v>
      </c>
      <c r="R170" s="615">
        <f t="shared" si="119"/>
        <v>0</v>
      </c>
      <c r="S170" s="616">
        <f t="shared" si="120"/>
        <v>0</v>
      </c>
      <c r="T170" s="616">
        <f t="shared" si="121"/>
        <v>0</v>
      </c>
      <c r="U170" s="620">
        <f t="shared" si="114"/>
        <v>0</v>
      </c>
      <c r="V170" s="220"/>
      <c r="W170" s="809">
        <f t="shared" si="123"/>
        <v>0</v>
      </c>
      <c r="X170" s="618">
        <v>0</v>
      </c>
      <c r="Y170" s="809">
        <f t="shared" si="91"/>
        <v>0</v>
      </c>
      <c r="Z170" s="815">
        <f t="shared" si="117"/>
        <v>0</v>
      </c>
      <c r="AB170" s="196"/>
    </row>
    <row r="171" spans="1:28" s="204" customFormat="1" x14ac:dyDescent="0.2">
      <c r="A171" s="622" t="s">
        <v>497</v>
      </c>
      <c r="B171" s="623"/>
      <c r="C171" s="810">
        <v>43.799681730000003</v>
      </c>
      <c r="D171" s="615">
        <f>D160-SUM(D161:D170)</f>
        <v>62.171727999999973</v>
      </c>
      <c r="E171" s="616">
        <f>E160-SUM(E161:E170)</f>
        <v>80.829664000000008</v>
      </c>
      <c r="F171" s="616">
        <f>F160-SUM(F161:F170)</f>
        <v>94.635003999999981</v>
      </c>
      <c r="G171" s="617">
        <f>G160-SUM(G161:G170)</f>
        <v>84.267301000000003</v>
      </c>
      <c r="H171" s="618">
        <v>40.191727999999969</v>
      </c>
      <c r="I171" s="618">
        <v>80.829664000000008</v>
      </c>
      <c r="J171" s="618">
        <v>94.635003999999981</v>
      </c>
      <c r="K171" s="619">
        <v>84.267301000000003</v>
      </c>
      <c r="L171" s="598"/>
      <c r="M171" s="615"/>
      <c r="N171" s="620">
        <f t="shared" si="109"/>
        <v>40.191727999999969</v>
      </c>
      <c r="O171" s="615">
        <v>42.900247789328894</v>
      </c>
      <c r="P171" s="616">
        <v>45.565484685285966</v>
      </c>
      <c r="Q171" s="616">
        <v>48.272994289059</v>
      </c>
      <c r="R171" s="615">
        <f t="shared" si="119"/>
        <v>37.929416210671114</v>
      </c>
      <c r="S171" s="616">
        <f t="shared" si="120"/>
        <v>49.069519314714015</v>
      </c>
      <c r="T171" s="616">
        <f t="shared" si="121"/>
        <v>35.994306710941004</v>
      </c>
      <c r="U171" s="620">
        <f t="shared" si="114"/>
        <v>2.7085197893289248</v>
      </c>
      <c r="V171" s="220"/>
      <c r="W171" s="615">
        <f>O171</f>
        <v>42.900247789328894</v>
      </c>
      <c r="X171" s="616">
        <v>80.829664000000008</v>
      </c>
      <c r="Y171" s="615">
        <f t="shared" si="91"/>
        <v>37.929416210671114</v>
      </c>
      <c r="Z171" s="621">
        <f t="shared" si="117"/>
        <v>3.9146722699742301E-2</v>
      </c>
      <c r="AB171" s="196"/>
    </row>
    <row r="172" spans="1:28" s="206" customFormat="1" x14ac:dyDescent="0.2">
      <c r="A172" s="479" t="s">
        <v>631</v>
      </c>
      <c r="B172" s="641" t="s">
        <v>632</v>
      </c>
      <c r="C172" s="605">
        <v>1368.1</v>
      </c>
      <c r="D172" s="605">
        <v>1518.5</v>
      </c>
      <c r="E172" s="609">
        <f>2254.274-265.748</f>
        <v>1988.5259999999998</v>
      </c>
      <c r="F172" s="609">
        <f>3049.331-528.492</f>
        <v>2520.8389999999999</v>
      </c>
      <c r="G172" s="636">
        <f>3266.524-582.02</f>
        <v>2684.5039999999999</v>
      </c>
      <c r="H172" s="609">
        <f>SUM(H173:H189)</f>
        <v>1829.9614270306174</v>
      </c>
      <c r="I172" s="609">
        <f>SUM(I173:I189)</f>
        <v>1897.0749833793193</v>
      </c>
      <c r="J172" s="609">
        <f>SUM(J173:J189)</f>
        <v>2037.9677564059268</v>
      </c>
      <c r="K172" s="636">
        <f>SUM(K173:K189)</f>
        <v>2120.136824592325</v>
      </c>
      <c r="L172" s="598"/>
      <c r="M172" s="605">
        <f>SUM(M173:M189)</f>
        <v>0</v>
      </c>
      <c r="N172" s="604">
        <f t="shared" si="109"/>
        <v>1829.9614270306174</v>
      </c>
      <c r="O172" s="605">
        <f t="shared" ref="O172:T172" si="125">SUM(O173:O189)</f>
        <v>1894.9393268471827</v>
      </c>
      <c r="P172" s="637">
        <f t="shared" si="125"/>
        <v>1984.5503177639434</v>
      </c>
      <c r="Q172" s="637">
        <f t="shared" si="125"/>
        <v>1989.5018780275223</v>
      </c>
      <c r="R172" s="605">
        <f t="shared" si="125"/>
        <v>2.1356565321361387</v>
      </c>
      <c r="S172" s="637">
        <f t="shared" si="125"/>
        <v>53.417438641983281</v>
      </c>
      <c r="T172" s="637">
        <f t="shared" si="125"/>
        <v>130.63494656480239</v>
      </c>
      <c r="U172" s="604">
        <f t="shared" si="114"/>
        <v>64.977899816565241</v>
      </c>
      <c r="V172" s="424"/>
      <c r="W172" s="605">
        <f>SUM(W173:W189)</f>
        <v>1894.9393268471827</v>
      </c>
      <c r="X172" s="637">
        <v>1990.6048071899997</v>
      </c>
      <c r="Y172" s="605">
        <f>SUM(Y173:Y189)</f>
        <v>95.665480342816778</v>
      </c>
      <c r="Z172" s="638">
        <f t="shared" si="117"/>
        <v>9.8735767777629962E-2</v>
      </c>
      <c r="AB172" s="196"/>
    </row>
    <row r="173" spans="1:28" s="204" customFormat="1" x14ac:dyDescent="0.2">
      <c r="A173" s="622" t="s">
        <v>153</v>
      </c>
      <c r="B173" s="641"/>
      <c r="C173" s="615">
        <v>8.4014729999999996E-2</v>
      </c>
      <c r="D173" s="615">
        <v>0.62800000000000011</v>
      </c>
      <c r="E173" s="616">
        <f>84.515774</f>
        <v>84.515773999999993</v>
      </c>
      <c r="F173" s="616">
        <v>383.60351900000001</v>
      </c>
      <c r="G173" s="617">
        <v>415.87423999999999</v>
      </c>
      <c r="H173" s="618">
        <v>29.293317942632676</v>
      </c>
      <c r="I173" s="618">
        <v>0</v>
      </c>
      <c r="J173" s="618">
        <v>0</v>
      </c>
      <c r="K173" s="619">
        <v>0</v>
      </c>
      <c r="L173" s="598"/>
      <c r="M173" s="615"/>
      <c r="N173" s="620">
        <f t="shared" ref="N173:N190" si="126">H173+M173</f>
        <v>29.293317942632676</v>
      </c>
      <c r="O173" s="615">
        <f t="shared" ref="O173:Q176" si="127">I173</f>
        <v>0</v>
      </c>
      <c r="P173" s="616">
        <f t="shared" si="127"/>
        <v>0</v>
      </c>
      <c r="Q173" s="616">
        <f t="shared" si="127"/>
        <v>0</v>
      </c>
      <c r="R173" s="615">
        <f t="shared" ref="R173:R189" si="128">I173-O173</f>
        <v>0</v>
      </c>
      <c r="S173" s="616">
        <f t="shared" ref="S173:S189" si="129">J173-P173</f>
        <v>0</v>
      </c>
      <c r="T173" s="616">
        <f t="shared" ref="T173:T189" si="130">K173-Q173</f>
        <v>0</v>
      </c>
      <c r="U173" s="620">
        <f t="shared" si="114"/>
        <v>-29.293317942632676</v>
      </c>
      <c r="V173" s="220"/>
      <c r="W173" s="615">
        <f>O173</f>
        <v>0</v>
      </c>
      <c r="X173" s="616">
        <v>84.515773999999993</v>
      </c>
      <c r="Y173" s="615">
        <f t="shared" si="91"/>
        <v>84.515773999999993</v>
      </c>
      <c r="Z173" s="621">
        <f t="shared" si="117"/>
        <v>8.7228222816708362E-2</v>
      </c>
      <c r="AB173" s="196"/>
    </row>
    <row r="174" spans="1:28" s="204" customFormat="1" x14ac:dyDescent="0.2">
      <c r="A174" s="622" t="s">
        <v>117</v>
      </c>
      <c r="B174" s="641"/>
      <c r="C174" s="615">
        <v>1.482613E-2</v>
      </c>
      <c r="D174" s="615">
        <v>0.159</v>
      </c>
      <c r="E174" s="616">
        <f>21.037369+0.948</f>
        <v>21.985369000000002</v>
      </c>
      <c r="F174" s="616">
        <f>107.930337+1.286298</f>
        <v>109.216635</v>
      </c>
      <c r="G174" s="617">
        <v>116.856117</v>
      </c>
      <c r="H174" s="618">
        <v>15.621248897984801</v>
      </c>
      <c r="I174" s="618">
        <v>5.0632488979847992</v>
      </c>
      <c r="J174" s="618">
        <v>3.0152488979848044</v>
      </c>
      <c r="K174" s="619">
        <v>2.8662488979848035</v>
      </c>
      <c r="L174" s="598"/>
      <c r="M174" s="615"/>
      <c r="N174" s="620">
        <f t="shared" si="126"/>
        <v>15.621248897984801</v>
      </c>
      <c r="O174" s="615">
        <f t="shared" si="127"/>
        <v>5.0632488979847992</v>
      </c>
      <c r="P174" s="616">
        <f t="shared" si="127"/>
        <v>3.0152488979848044</v>
      </c>
      <c r="Q174" s="616">
        <f t="shared" si="127"/>
        <v>2.8662488979848035</v>
      </c>
      <c r="R174" s="615">
        <f t="shared" si="128"/>
        <v>0</v>
      </c>
      <c r="S174" s="616">
        <f t="shared" si="129"/>
        <v>0</v>
      </c>
      <c r="T174" s="616">
        <f t="shared" si="130"/>
        <v>0</v>
      </c>
      <c r="U174" s="620">
        <f t="shared" si="114"/>
        <v>-10.558000000000002</v>
      </c>
      <c r="V174" s="220"/>
      <c r="W174" s="615">
        <f>O174</f>
        <v>5.0632488979847992</v>
      </c>
      <c r="X174" s="616">
        <v>21.985369000000002</v>
      </c>
      <c r="Y174" s="615">
        <f t="shared" si="91"/>
        <v>16.922120102015203</v>
      </c>
      <c r="Z174" s="621">
        <f t="shared" si="117"/>
        <v>1.7465218537662353E-2</v>
      </c>
      <c r="AB174" s="196"/>
    </row>
    <row r="175" spans="1:28" s="204" customFormat="1" x14ac:dyDescent="0.2">
      <c r="A175" s="622" t="s">
        <v>633</v>
      </c>
      <c r="B175" s="623"/>
      <c r="C175" s="615">
        <v>601.95915600000001</v>
      </c>
      <c r="D175" s="615">
        <f>732.8+32.213</f>
        <v>765.01299999999992</v>
      </c>
      <c r="E175" s="616">
        <v>839.66800000000001</v>
      </c>
      <c r="F175" s="616">
        <v>871.01700000000005</v>
      </c>
      <c r="G175" s="617">
        <v>871.59900000000005</v>
      </c>
      <c r="H175" s="618">
        <v>738.59499999999991</v>
      </c>
      <c r="I175" s="618">
        <v>839.66800000000001</v>
      </c>
      <c r="J175" s="618">
        <v>871.01700000000005</v>
      </c>
      <c r="K175" s="619">
        <v>871.59900000000005</v>
      </c>
      <c r="L175" s="598"/>
      <c r="M175" s="660"/>
      <c r="N175" s="620">
        <f t="shared" si="126"/>
        <v>738.59499999999991</v>
      </c>
      <c r="O175" s="615">
        <f t="shared" si="127"/>
        <v>839.66800000000001</v>
      </c>
      <c r="P175" s="616">
        <f t="shared" si="127"/>
        <v>871.01700000000005</v>
      </c>
      <c r="Q175" s="616">
        <f t="shared" si="127"/>
        <v>871.59900000000005</v>
      </c>
      <c r="R175" s="615">
        <f t="shared" si="128"/>
        <v>0</v>
      </c>
      <c r="S175" s="616">
        <f t="shared" si="129"/>
        <v>0</v>
      </c>
      <c r="T175" s="616">
        <f t="shared" si="130"/>
        <v>0</v>
      </c>
      <c r="U175" s="620">
        <f t="shared" si="114"/>
        <v>101.07300000000009</v>
      </c>
      <c r="V175" s="220"/>
      <c r="W175" s="615">
        <f t="shared" ref="W175:W184" si="131">O175</f>
        <v>839.66800000000001</v>
      </c>
      <c r="X175" s="616">
        <v>839.66800000000001</v>
      </c>
      <c r="Y175" s="615">
        <f t="shared" si="91"/>
        <v>0</v>
      </c>
      <c r="Z175" s="621">
        <f t="shared" si="117"/>
        <v>0</v>
      </c>
      <c r="AB175" s="196"/>
    </row>
    <row r="176" spans="1:28" s="204" customFormat="1" x14ac:dyDescent="0.2">
      <c r="A176" s="622" t="s">
        <v>634</v>
      </c>
      <c r="B176" s="623"/>
      <c r="C176" s="615">
        <v>63.428736020000002</v>
      </c>
      <c r="D176" s="615">
        <v>66.745000000000005</v>
      </c>
      <c r="E176" s="616">
        <v>71.960999999999999</v>
      </c>
      <c r="F176" s="616">
        <v>77.534999999999997</v>
      </c>
      <c r="G176" s="617">
        <v>83.378</v>
      </c>
      <c r="H176" s="618">
        <v>68.308999999999997</v>
      </c>
      <c r="I176" s="618">
        <v>71.960999999999999</v>
      </c>
      <c r="J176" s="618">
        <v>77.534999999999997</v>
      </c>
      <c r="K176" s="619">
        <v>83.378</v>
      </c>
      <c r="L176" s="598"/>
      <c r="M176" s="655"/>
      <c r="N176" s="620">
        <f t="shared" si="126"/>
        <v>68.308999999999997</v>
      </c>
      <c r="O176" s="615">
        <f t="shared" si="127"/>
        <v>71.960999999999999</v>
      </c>
      <c r="P176" s="616">
        <f t="shared" si="127"/>
        <v>77.534999999999997</v>
      </c>
      <c r="Q176" s="616">
        <f t="shared" si="127"/>
        <v>83.378</v>
      </c>
      <c r="R176" s="615">
        <f t="shared" si="128"/>
        <v>0</v>
      </c>
      <c r="S176" s="616">
        <f t="shared" si="129"/>
        <v>0</v>
      </c>
      <c r="T176" s="616">
        <f t="shared" si="130"/>
        <v>0</v>
      </c>
      <c r="U176" s="620">
        <f t="shared" si="114"/>
        <v>3.652000000000001</v>
      </c>
      <c r="V176" s="220"/>
      <c r="W176" s="615">
        <f t="shared" si="131"/>
        <v>71.960999999999999</v>
      </c>
      <c r="X176" s="616">
        <v>71.960999999999999</v>
      </c>
      <c r="Y176" s="615">
        <f t="shared" si="91"/>
        <v>0</v>
      </c>
      <c r="Z176" s="621">
        <f t="shared" si="117"/>
        <v>0</v>
      </c>
      <c r="AB176" s="196"/>
    </row>
    <row r="177" spans="1:28" s="204" customFormat="1" x14ac:dyDescent="0.2">
      <c r="A177" s="622" t="s">
        <v>635</v>
      </c>
      <c r="B177" s="623"/>
      <c r="C177" s="615">
        <v>90.670999999999992</v>
      </c>
      <c r="D177" s="615">
        <v>90.834000000000003</v>
      </c>
      <c r="E177" s="616">
        <v>67.528000000000006</v>
      </c>
      <c r="F177" s="616">
        <v>78.477999999999994</v>
      </c>
      <c r="G177" s="617">
        <v>73.766000000000005</v>
      </c>
      <c r="H177" s="618">
        <v>98.472999999999999</v>
      </c>
      <c r="I177" s="618">
        <v>67.528000000000006</v>
      </c>
      <c r="J177" s="618">
        <v>78.477999999999994</v>
      </c>
      <c r="K177" s="619">
        <v>73.766000000000005</v>
      </c>
      <c r="L177" s="598"/>
      <c r="M177" s="655"/>
      <c r="N177" s="620">
        <f t="shared" si="126"/>
        <v>98.472999999999999</v>
      </c>
      <c r="O177" s="615">
        <v>100.84008456214582</v>
      </c>
      <c r="P177" s="616">
        <v>103.32920005152231</v>
      </c>
      <c r="Q177" s="616">
        <v>105.97260048970352</v>
      </c>
      <c r="R177" s="615">
        <f t="shared" si="128"/>
        <v>-33.312084562145813</v>
      </c>
      <c r="S177" s="616">
        <f t="shared" si="129"/>
        <v>-24.851200051522312</v>
      </c>
      <c r="T177" s="616">
        <f t="shared" si="130"/>
        <v>-32.206600489703519</v>
      </c>
      <c r="U177" s="620">
        <f t="shared" si="114"/>
        <v>2.3670845621458199</v>
      </c>
      <c r="V177" s="220"/>
      <c r="W177" s="615">
        <f t="shared" si="131"/>
        <v>100.84008456214582</v>
      </c>
      <c r="X177" s="616">
        <v>67.528000000000006</v>
      </c>
      <c r="Y177" s="615">
        <f t="shared" si="91"/>
        <v>-33.312084562145813</v>
      </c>
      <c r="Z177" s="621">
        <f t="shared" si="117"/>
        <v>-3.438120243300246E-2</v>
      </c>
      <c r="AB177" s="196"/>
    </row>
    <row r="178" spans="1:28" s="204" customFormat="1" x14ac:dyDescent="0.2">
      <c r="A178" s="622" t="s">
        <v>636</v>
      </c>
      <c r="B178" s="623"/>
      <c r="C178" s="615">
        <v>14.160375000000002</v>
      </c>
      <c r="D178" s="615">
        <v>13.821999999999999</v>
      </c>
      <c r="E178" s="616">
        <v>27.856000000000002</v>
      </c>
      <c r="F178" s="616">
        <v>134.309</v>
      </c>
      <c r="G178" s="617">
        <v>258.34800000000001</v>
      </c>
      <c r="H178" s="618">
        <v>19.079999999999998</v>
      </c>
      <c r="I178" s="618">
        <v>27.856000000000002</v>
      </c>
      <c r="J178" s="618">
        <v>134.309</v>
      </c>
      <c r="K178" s="619">
        <v>258.34800000000001</v>
      </c>
      <c r="L178" s="598"/>
      <c r="M178" s="655"/>
      <c r="N178" s="620">
        <f t="shared" si="126"/>
        <v>19.079999999999998</v>
      </c>
      <c r="O178" s="615">
        <v>20.365800838928742</v>
      </c>
      <c r="P178" s="616">
        <v>21.631054225766476</v>
      </c>
      <c r="Q178" s="616">
        <v>22.916375504811494</v>
      </c>
      <c r="R178" s="615">
        <f t="shared" si="128"/>
        <v>7.4901991610712599</v>
      </c>
      <c r="S178" s="616">
        <f t="shared" si="129"/>
        <v>112.67794577423352</v>
      </c>
      <c r="T178" s="616">
        <f t="shared" si="130"/>
        <v>235.43162449518852</v>
      </c>
      <c r="U178" s="620">
        <f t="shared" si="114"/>
        <v>1.2858008389287434</v>
      </c>
      <c r="V178" s="220"/>
      <c r="W178" s="615">
        <f t="shared" si="131"/>
        <v>20.365800838928742</v>
      </c>
      <c r="X178" s="616">
        <v>27.856000000000002</v>
      </c>
      <c r="Y178" s="615">
        <f t="shared" si="91"/>
        <v>7.4901991610712599</v>
      </c>
      <c r="Z178" s="621">
        <f t="shared" si="117"/>
        <v>7.7305895744792675E-3</v>
      </c>
      <c r="AB178" s="196"/>
    </row>
    <row r="179" spans="1:28" s="204" customFormat="1" x14ac:dyDescent="0.2">
      <c r="A179" s="622" t="s">
        <v>637</v>
      </c>
      <c r="B179" s="623"/>
      <c r="C179" s="615">
        <v>9.2236687699999997</v>
      </c>
      <c r="D179" s="615">
        <v>9.3000000000000007</v>
      </c>
      <c r="E179" s="616">
        <v>9.3000000000000007</v>
      </c>
      <c r="F179" s="616">
        <v>38.85</v>
      </c>
      <c r="G179" s="617">
        <v>11.1</v>
      </c>
      <c r="H179" s="618">
        <v>9.3000000000000007</v>
      </c>
      <c r="I179" s="618">
        <v>9.3000000000000007</v>
      </c>
      <c r="J179" s="618">
        <v>38.85</v>
      </c>
      <c r="K179" s="619">
        <v>11.1</v>
      </c>
      <c r="L179" s="598"/>
      <c r="M179" s="655"/>
      <c r="N179" s="620">
        <f t="shared" si="126"/>
        <v>9.3000000000000007</v>
      </c>
      <c r="O179" s="615">
        <f>I179</f>
        <v>9.3000000000000007</v>
      </c>
      <c r="P179" s="616">
        <f>J179</f>
        <v>38.85</v>
      </c>
      <c r="Q179" s="616">
        <f>K179</f>
        <v>11.1</v>
      </c>
      <c r="R179" s="615">
        <f t="shared" si="128"/>
        <v>0</v>
      </c>
      <c r="S179" s="616">
        <f t="shared" si="129"/>
        <v>0</v>
      </c>
      <c r="T179" s="616">
        <f t="shared" si="130"/>
        <v>0</v>
      </c>
      <c r="U179" s="620">
        <f t="shared" si="114"/>
        <v>0</v>
      </c>
      <c r="V179" s="220"/>
      <c r="W179" s="615">
        <f t="shared" si="131"/>
        <v>9.3000000000000007</v>
      </c>
      <c r="X179" s="616">
        <v>9.3000000000000007</v>
      </c>
      <c r="Y179" s="615">
        <f t="shared" si="91"/>
        <v>0</v>
      </c>
      <c r="Z179" s="621">
        <f t="shared" si="117"/>
        <v>0</v>
      </c>
      <c r="AB179" s="196"/>
    </row>
    <row r="180" spans="1:28" s="204" customFormat="1" x14ac:dyDescent="0.2">
      <c r="A180" s="622" t="s">
        <v>74</v>
      </c>
      <c r="B180" s="623"/>
      <c r="C180" s="615">
        <v>0</v>
      </c>
      <c r="D180" s="615">
        <v>14.129</v>
      </c>
      <c r="E180" s="616">
        <v>265.740791</v>
      </c>
      <c r="F180" s="616">
        <v>528.50248899999997</v>
      </c>
      <c r="G180" s="617">
        <v>582.063266</v>
      </c>
      <c r="H180" s="618">
        <v>0</v>
      </c>
      <c r="I180" s="618">
        <v>0</v>
      </c>
      <c r="J180" s="618">
        <v>0</v>
      </c>
      <c r="K180" s="619">
        <v>0</v>
      </c>
      <c r="L180" s="598"/>
      <c r="M180" s="655"/>
      <c r="N180" s="620">
        <f t="shared" si="126"/>
        <v>0</v>
      </c>
      <c r="O180" s="615">
        <v>0</v>
      </c>
      <c r="P180" s="616">
        <v>0</v>
      </c>
      <c r="Q180" s="616">
        <v>0</v>
      </c>
      <c r="R180" s="615">
        <f t="shared" si="128"/>
        <v>0</v>
      </c>
      <c r="S180" s="616">
        <f t="shared" si="129"/>
        <v>0</v>
      </c>
      <c r="T180" s="616">
        <f t="shared" si="130"/>
        <v>0</v>
      </c>
      <c r="U180" s="620">
        <f t="shared" si="114"/>
        <v>0</v>
      </c>
      <c r="V180" s="220"/>
      <c r="W180" s="615">
        <f t="shared" si="131"/>
        <v>0</v>
      </c>
      <c r="X180" s="616">
        <v>265.740791</v>
      </c>
      <c r="Y180" s="615">
        <f t="shared" si="91"/>
        <v>265.740791</v>
      </c>
      <c r="Z180" s="621">
        <f t="shared" si="117"/>
        <v>0.27426947458158912</v>
      </c>
      <c r="AB180" s="196"/>
    </row>
    <row r="181" spans="1:28" s="204" customFormat="1" x14ac:dyDescent="0.2">
      <c r="A181" s="622" t="s">
        <v>638</v>
      </c>
      <c r="B181" s="623"/>
      <c r="C181" s="615">
        <v>0</v>
      </c>
      <c r="D181" s="615">
        <v>4.4400000000000004</v>
      </c>
      <c r="E181" s="616">
        <v>0</v>
      </c>
      <c r="F181" s="616">
        <v>0</v>
      </c>
      <c r="G181" s="617">
        <v>0</v>
      </c>
      <c r="H181" s="618">
        <v>0</v>
      </c>
      <c r="I181" s="618">
        <v>0</v>
      </c>
      <c r="J181" s="618">
        <v>0</v>
      </c>
      <c r="K181" s="619">
        <v>0</v>
      </c>
      <c r="L181" s="598"/>
      <c r="M181" s="655"/>
      <c r="N181" s="620">
        <f t="shared" si="126"/>
        <v>0</v>
      </c>
      <c r="O181" s="615">
        <v>0</v>
      </c>
      <c r="P181" s="616">
        <v>0</v>
      </c>
      <c r="Q181" s="616">
        <v>0</v>
      </c>
      <c r="R181" s="615">
        <f t="shared" si="128"/>
        <v>0</v>
      </c>
      <c r="S181" s="616">
        <f t="shared" si="129"/>
        <v>0</v>
      </c>
      <c r="T181" s="616">
        <f t="shared" si="130"/>
        <v>0</v>
      </c>
      <c r="U181" s="620">
        <f t="shared" si="114"/>
        <v>0</v>
      </c>
      <c r="V181" s="220"/>
      <c r="W181" s="615">
        <f t="shared" si="131"/>
        <v>0</v>
      </c>
      <c r="X181" s="616">
        <v>0</v>
      </c>
      <c r="Y181" s="615">
        <f t="shared" si="91"/>
        <v>0</v>
      </c>
      <c r="Z181" s="621">
        <f t="shared" si="117"/>
        <v>0</v>
      </c>
      <c r="AB181" s="196"/>
    </row>
    <row r="182" spans="1:28" s="204" customFormat="1" x14ac:dyDescent="0.2">
      <c r="A182" s="622" t="s">
        <v>639</v>
      </c>
      <c r="B182" s="623"/>
      <c r="C182" s="615">
        <v>0</v>
      </c>
      <c r="D182" s="615">
        <v>0</v>
      </c>
      <c r="E182" s="616">
        <v>50</v>
      </c>
      <c r="F182" s="616">
        <v>0</v>
      </c>
      <c r="G182" s="617">
        <v>0</v>
      </c>
      <c r="H182" s="618">
        <v>0</v>
      </c>
      <c r="I182" s="618">
        <v>0</v>
      </c>
      <c r="J182" s="618">
        <v>0</v>
      </c>
      <c r="K182" s="619">
        <v>0</v>
      </c>
      <c r="L182" s="598"/>
      <c r="M182" s="655"/>
      <c r="N182" s="620">
        <f t="shared" si="126"/>
        <v>0</v>
      </c>
      <c r="O182" s="615">
        <v>0</v>
      </c>
      <c r="P182" s="616">
        <v>0</v>
      </c>
      <c r="Q182" s="616">
        <v>0</v>
      </c>
      <c r="R182" s="615">
        <f t="shared" si="128"/>
        <v>0</v>
      </c>
      <c r="S182" s="616">
        <f t="shared" si="129"/>
        <v>0</v>
      </c>
      <c r="T182" s="616">
        <f t="shared" si="130"/>
        <v>0</v>
      </c>
      <c r="U182" s="620">
        <f t="shared" si="114"/>
        <v>0</v>
      </c>
      <c r="V182" s="220"/>
      <c r="W182" s="615">
        <f t="shared" si="131"/>
        <v>0</v>
      </c>
      <c r="X182" s="616">
        <v>50</v>
      </c>
      <c r="Y182" s="615">
        <f t="shared" si="91"/>
        <v>50</v>
      </c>
      <c r="Z182" s="621">
        <f t="shared" ref="Z182:Z187" si="132">Y182/$X$193*100</f>
        <v>5.1604699743215014E-2</v>
      </c>
      <c r="AB182" s="196"/>
    </row>
    <row r="183" spans="1:28" s="204" customFormat="1" x14ac:dyDescent="0.2">
      <c r="A183" s="622" t="s">
        <v>582</v>
      </c>
      <c r="B183" s="623"/>
      <c r="C183" s="615">
        <v>0</v>
      </c>
      <c r="D183" s="615">
        <v>-14.129</v>
      </c>
      <c r="E183" s="616">
        <v>-265.74099999999999</v>
      </c>
      <c r="F183" s="616">
        <v>-528.50199999999995</v>
      </c>
      <c r="G183" s="617">
        <v>-582.063266</v>
      </c>
      <c r="H183" s="618">
        <v>0</v>
      </c>
      <c r="I183" s="618">
        <v>0</v>
      </c>
      <c r="J183" s="618">
        <v>0</v>
      </c>
      <c r="K183" s="619">
        <v>0</v>
      </c>
      <c r="L183" s="598"/>
      <c r="M183" s="655"/>
      <c r="N183" s="620">
        <f t="shared" si="126"/>
        <v>0</v>
      </c>
      <c r="O183" s="615">
        <v>0</v>
      </c>
      <c r="P183" s="616">
        <v>0</v>
      </c>
      <c r="Q183" s="616">
        <v>0</v>
      </c>
      <c r="R183" s="615">
        <f t="shared" si="128"/>
        <v>0</v>
      </c>
      <c r="S183" s="616">
        <f t="shared" si="129"/>
        <v>0</v>
      </c>
      <c r="T183" s="616">
        <f t="shared" si="130"/>
        <v>0</v>
      </c>
      <c r="U183" s="620">
        <f t="shared" si="114"/>
        <v>0</v>
      </c>
      <c r="V183" s="220"/>
      <c r="W183" s="615">
        <f t="shared" si="131"/>
        <v>0</v>
      </c>
      <c r="X183" s="616">
        <v>-265.74099999999999</v>
      </c>
      <c r="Y183" s="615">
        <f t="shared" si="91"/>
        <v>-265.74099999999999</v>
      </c>
      <c r="Z183" s="621">
        <f t="shared" si="132"/>
        <v>-0.27426969028923398</v>
      </c>
      <c r="AB183" s="196"/>
    </row>
    <row r="184" spans="1:28" s="204" customFormat="1" x14ac:dyDescent="0.2">
      <c r="A184" s="622" t="s">
        <v>640</v>
      </c>
      <c r="B184" s="623"/>
      <c r="C184" s="615">
        <v>22.987356420000001</v>
      </c>
      <c r="D184" s="615">
        <v>0</v>
      </c>
      <c r="E184" s="616">
        <v>0.111</v>
      </c>
      <c r="F184" s="616">
        <v>0.111</v>
      </c>
      <c r="G184" s="617">
        <v>0.111</v>
      </c>
      <c r="H184" s="618">
        <v>23.882999999999999</v>
      </c>
      <c r="I184" s="618">
        <v>0.111</v>
      </c>
      <c r="J184" s="618">
        <v>0.111</v>
      </c>
      <c r="K184" s="619">
        <v>0.111</v>
      </c>
      <c r="L184" s="598"/>
      <c r="M184" s="655"/>
      <c r="N184" s="620">
        <f t="shared" si="126"/>
        <v>23.882999999999999</v>
      </c>
      <c r="O184" s="615">
        <v>0</v>
      </c>
      <c r="P184" s="616">
        <v>0</v>
      </c>
      <c r="Q184" s="616">
        <v>0</v>
      </c>
      <c r="R184" s="615">
        <f t="shared" si="128"/>
        <v>0.111</v>
      </c>
      <c r="S184" s="616">
        <f t="shared" si="129"/>
        <v>0.111</v>
      </c>
      <c r="T184" s="616">
        <f t="shared" si="130"/>
        <v>0.111</v>
      </c>
      <c r="U184" s="620">
        <f t="shared" si="114"/>
        <v>-23.882999999999999</v>
      </c>
      <c r="V184" s="220"/>
      <c r="W184" s="615">
        <f t="shared" si="131"/>
        <v>0</v>
      </c>
      <c r="X184" s="616">
        <v>0.111</v>
      </c>
      <c r="Y184" s="615">
        <f t="shared" si="91"/>
        <v>0.111</v>
      </c>
      <c r="Z184" s="621">
        <f t="shared" si="132"/>
        <v>1.1456243342993735E-4</v>
      </c>
      <c r="AB184" s="196"/>
    </row>
    <row r="185" spans="1:28" s="204" customFormat="1" x14ac:dyDescent="0.2">
      <c r="A185" s="622" t="s">
        <v>562</v>
      </c>
      <c r="B185" s="623"/>
      <c r="C185" s="615">
        <v>18.674858649000001</v>
      </c>
      <c r="D185" s="615">
        <f>5.938</f>
        <v>5.9379999999999997</v>
      </c>
      <c r="E185" s="616">
        <f>4.837946+19.125957</f>
        <v>23.963902999999998</v>
      </c>
      <c r="F185" s="616">
        <v>22.744088999999999</v>
      </c>
      <c r="G185" s="617">
        <v>22.901196000000002</v>
      </c>
      <c r="H185" s="618">
        <v>17.689</v>
      </c>
      <c r="I185" s="618">
        <v>23.963902999999998</v>
      </c>
      <c r="J185" s="618">
        <v>22.744088999999999</v>
      </c>
      <c r="K185" s="619">
        <v>22.901196000000002</v>
      </c>
      <c r="L185" s="598"/>
      <c r="M185" s="615"/>
      <c r="N185" s="620">
        <f t="shared" si="126"/>
        <v>17.689</v>
      </c>
      <c r="O185" s="615">
        <v>18.597569526499324</v>
      </c>
      <c r="P185" s="616">
        <v>19.562784344737231</v>
      </c>
      <c r="Q185" s="616">
        <v>20.324629054786879</v>
      </c>
      <c r="R185" s="615">
        <f t="shared" si="128"/>
        <v>5.3663334735006742</v>
      </c>
      <c r="S185" s="616">
        <f t="shared" si="129"/>
        <v>3.1813046552627675</v>
      </c>
      <c r="T185" s="616">
        <f t="shared" si="130"/>
        <v>2.5765669452131235</v>
      </c>
      <c r="U185" s="620">
        <f t="shared" si="114"/>
        <v>0.9085695264993241</v>
      </c>
      <c r="V185" s="220"/>
      <c r="W185" s="615">
        <f>O185</f>
        <v>18.597569526499324</v>
      </c>
      <c r="X185" s="616">
        <v>23.963902999999998</v>
      </c>
      <c r="Y185" s="615">
        <f t="shared" si="91"/>
        <v>5.3663334735006742</v>
      </c>
      <c r="Z185" s="621">
        <f t="shared" si="132"/>
        <v>5.5385605524393283E-3</v>
      </c>
      <c r="AB185" s="196"/>
    </row>
    <row r="186" spans="1:28" s="204" customFormat="1" x14ac:dyDescent="0.2">
      <c r="A186" s="622" t="s">
        <v>564</v>
      </c>
      <c r="B186" s="623"/>
      <c r="C186" s="631">
        <v>3.7262000000000003E-2</v>
      </c>
      <c r="D186" s="631">
        <v>0</v>
      </c>
      <c r="E186" s="633">
        <v>0</v>
      </c>
      <c r="F186" s="633">
        <v>0</v>
      </c>
      <c r="G186" s="634">
        <v>0</v>
      </c>
      <c r="H186" s="813">
        <v>3.7262000000000003E-2</v>
      </c>
      <c r="I186" s="813">
        <v>3.7262000000000003E-2</v>
      </c>
      <c r="J186" s="813">
        <v>3.7262000000000003E-2</v>
      </c>
      <c r="K186" s="814">
        <v>3.7262000000000003E-2</v>
      </c>
      <c r="L186" s="598"/>
      <c r="M186" s="615"/>
      <c r="N186" s="620">
        <f t="shared" si="126"/>
        <v>3.7262000000000003E-2</v>
      </c>
      <c r="O186" s="615">
        <f>E186</f>
        <v>0</v>
      </c>
      <c r="P186" s="616">
        <v>0</v>
      </c>
      <c r="Q186" s="616">
        <v>0</v>
      </c>
      <c r="R186" s="615">
        <f t="shared" si="128"/>
        <v>3.7262000000000003E-2</v>
      </c>
      <c r="S186" s="616">
        <f t="shared" si="129"/>
        <v>3.7262000000000003E-2</v>
      </c>
      <c r="T186" s="616">
        <f t="shared" si="130"/>
        <v>3.7262000000000003E-2</v>
      </c>
      <c r="U186" s="620">
        <f t="shared" si="114"/>
        <v>-3.7262000000000003E-2</v>
      </c>
      <c r="V186" s="220"/>
      <c r="W186" s="809">
        <f>O186</f>
        <v>0</v>
      </c>
      <c r="X186" s="618">
        <v>3.7262000000000003E-2</v>
      </c>
      <c r="Y186" s="809">
        <f>X186-W186</f>
        <v>3.7262000000000003E-2</v>
      </c>
      <c r="Z186" s="815">
        <f t="shared" si="132"/>
        <v>3.8457886436633563E-5</v>
      </c>
      <c r="AB186" s="196"/>
    </row>
    <row r="187" spans="1:28" s="204" customFormat="1" x14ac:dyDescent="0.2">
      <c r="A187" s="622" t="s">
        <v>565</v>
      </c>
      <c r="B187" s="623"/>
      <c r="C187" s="631">
        <v>2.0415451899999999</v>
      </c>
      <c r="D187" s="631">
        <v>0.74694700000000003</v>
      </c>
      <c r="E187" s="633">
        <v>0</v>
      </c>
      <c r="F187" s="633">
        <v>0</v>
      </c>
      <c r="G187" s="634">
        <v>0</v>
      </c>
      <c r="H187" s="813">
        <v>2.0415451899999999</v>
      </c>
      <c r="I187" s="813">
        <v>2.0415451899999999</v>
      </c>
      <c r="J187" s="813">
        <v>2.0415451899999999</v>
      </c>
      <c r="K187" s="814">
        <v>2.0415451899999999</v>
      </c>
      <c r="L187" s="598"/>
      <c r="M187" s="615"/>
      <c r="N187" s="620">
        <f t="shared" si="126"/>
        <v>2.0415451899999999</v>
      </c>
      <c r="O187" s="615">
        <v>2.0906196581503766</v>
      </c>
      <c r="P187" s="616">
        <v>2.1422240751447919</v>
      </c>
      <c r="Q187" s="616">
        <v>2.1970271323260775</v>
      </c>
      <c r="R187" s="615">
        <f t="shared" si="128"/>
        <v>-4.9074468150376749E-2</v>
      </c>
      <c r="S187" s="616">
        <f t="shared" si="129"/>
        <v>-0.10067888514479195</v>
      </c>
      <c r="T187" s="616">
        <f t="shared" si="130"/>
        <v>-0.15548194232607759</v>
      </c>
      <c r="U187" s="620">
        <f t="shared" si="114"/>
        <v>4.9074468150376749E-2</v>
      </c>
      <c r="V187" s="220"/>
      <c r="W187" s="809">
        <f t="shared" ref="W187" si="133">O187</f>
        <v>2.0906196581503766</v>
      </c>
      <c r="X187" s="618">
        <v>2.0415451899999999</v>
      </c>
      <c r="Y187" s="809">
        <f t="shared" ref="Y187:Y188" si="134">X187-W187</f>
        <v>-4.9074468150376749E-2</v>
      </c>
      <c r="Z187" s="815">
        <f t="shared" si="132"/>
        <v>-5.0649463879163206E-5</v>
      </c>
      <c r="AB187" s="196"/>
    </row>
    <row r="188" spans="1:28" s="204" customFormat="1" x14ac:dyDescent="0.2">
      <c r="A188" s="622" t="s">
        <v>574</v>
      </c>
      <c r="B188" s="623"/>
      <c r="C188" s="631">
        <v>8.3079210000000003</v>
      </c>
      <c r="D188" s="631">
        <v>0</v>
      </c>
      <c r="E188" s="633">
        <v>1.466324</v>
      </c>
      <c r="F188" s="633">
        <v>2.5518700000000001</v>
      </c>
      <c r="G188" s="634">
        <v>2.83996</v>
      </c>
      <c r="H188" s="813">
        <v>2.7829999999999999</v>
      </c>
      <c r="I188" s="813">
        <v>1.466324</v>
      </c>
      <c r="J188" s="813">
        <v>2.5518700000000001</v>
      </c>
      <c r="K188" s="814">
        <v>2.83996</v>
      </c>
      <c r="L188" s="598"/>
      <c r="M188" s="615"/>
      <c r="N188" s="620">
        <f t="shared" si="126"/>
        <v>2.7829999999999999</v>
      </c>
      <c r="O188" s="615">
        <v>2.8498974880063752</v>
      </c>
      <c r="P188" s="616">
        <v>2.9202437596436237</v>
      </c>
      <c r="Q188" s="616">
        <v>2.9949503636818711</v>
      </c>
      <c r="R188" s="615">
        <f t="shared" si="128"/>
        <v>-1.3835734880063753</v>
      </c>
      <c r="S188" s="616">
        <f t="shared" si="129"/>
        <v>-0.36837375964362362</v>
      </c>
      <c r="T188" s="616">
        <f t="shared" si="130"/>
        <v>-0.15499036368187102</v>
      </c>
      <c r="U188" s="620">
        <f t="shared" si="114"/>
        <v>6.6897488006375294E-2</v>
      </c>
      <c r="V188" s="220"/>
      <c r="W188" s="809">
        <f>O188</f>
        <v>2.8498974880063752</v>
      </c>
      <c r="X188" s="618">
        <v>1.466324</v>
      </c>
      <c r="Y188" s="809">
        <f t="shared" si="134"/>
        <v>-1.3835734880063753</v>
      </c>
      <c r="Z188" s="815">
        <f t="shared" ref="Z188:Z193" si="135">Y188/$X$193*100</f>
        <v>-1.4279778884248339E-3</v>
      </c>
      <c r="AB188" s="196"/>
    </row>
    <row r="189" spans="1:28" x14ac:dyDescent="0.2">
      <c r="A189" s="429" t="s">
        <v>497</v>
      </c>
      <c r="B189" s="504"/>
      <c r="C189" s="642">
        <v>536.50928009099994</v>
      </c>
      <c r="D189" s="643">
        <f>D172-SUM(D173:D188)</f>
        <v>560.87405300000012</v>
      </c>
      <c r="E189" s="644">
        <f>E172-SUM(E173:E188)</f>
        <v>790.17083899999989</v>
      </c>
      <c r="F189" s="644">
        <f>F172-SUM(F173:F188)</f>
        <v>802.42239799999993</v>
      </c>
      <c r="G189" s="645">
        <f>G172-SUM(G173:G188)</f>
        <v>827.73048700000004</v>
      </c>
      <c r="H189" s="646">
        <v>804.8560530000002</v>
      </c>
      <c r="I189" s="646">
        <v>848.07870029133448</v>
      </c>
      <c r="J189" s="646">
        <v>807.27774131794195</v>
      </c>
      <c r="K189" s="647">
        <v>791.14861250434001</v>
      </c>
      <c r="L189" s="598"/>
      <c r="M189" s="643"/>
      <c r="N189" s="642">
        <f t="shared" si="126"/>
        <v>804.8560530000002</v>
      </c>
      <c r="O189" s="643">
        <v>824.20310587546771</v>
      </c>
      <c r="P189" s="644">
        <v>844.54756240914423</v>
      </c>
      <c r="Q189" s="644">
        <v>866.15304658422781</v>
      </c>
      <c r="R189" s="643">
        <f t="shared" si="128"/>
        <v>23.875594415866772</v>
      </c>
      <c r="S189" s="644">
        <f t="shared" si="129"/>
        <v>-37.269821091202289</v>
      </c>
      <c r="T189" s="644">
        <f t="shared" si="130"/>
        <v>-75.004434079887801</v>
      </c>
      <c r="U189" s="642">
        <f t="shared" si="114"/>
        <v>19.347052875467512</v>
      </c>
      <c r="V189" s="220"/>
      <c r="W189" s="643">
        <f>O189</f>
        <v>824.20310587546771</v>
      </c>
      <c r="X189" s="644">
        <v>790.17083899999989</v>
      </c>
      <c r="Y189" s="643">
        <f>X189-W189</f>
        <v>-34.032266875467826</v>
      </c>
      <c r="Z189" s="648">
        <f t="shared" si="135"/>
        <v>-3.5124498273789592E-2</v>
      </c>
      <c r="AA189" s="196"/>
      <c r="AB189" s="199"/>
    </row>
    <row r="190" spans="1:28" x14ac:dyDescent="0.2">
      <c r="A190" s="592" t="s">
        <v>641</v>
      </c>
      <c r="B190" s="593" t="s">
        <v>642</v>
      </c>
      <c r="C190" s="594">
        <f t="shared" ref="C190:K190" si="136">C4-C76</f>
        <v>-659.26000000000204</v>
      </c>
      <c r="D190" s="595">
        <f t="shared" si="136"/>
        <v>-542.80000000000291</v>
      </c>
      <c r="E190" s="596">
        <f t="shared" si="136"/>
        <v>-96.89100000000326</v>
      </c>
      <c r="F190" s="596">
        <f t="shared" si="136"/>
        <v>-9.9999999656574801E-4</v>
      </c>
      <c r="G190" s="597">
        <f t="shared" si="136"/>
        <v>218.54499999999825</v>
      </c>
      <c r="H190" s="596">
        <f t="shared" si="136"/>
        <v>-830.10101539197785</v>
      </c>
      <c r="I190" s="596">
        <f t="shared" si="136"/>
        <v>-673.47613903263846</v>
      </c>
      <c r="J190" s="596">
        <f t="shared" si="136"/>
        <v>-581.17770492569252</v>
      </c>
      <c r="K190" s="597">
        <f t="shared" si="136"/>
        <v>-194.04474466858665</v>
      </c>
      <c r="L190" s="598"/>
      <c r="M190" s="595">
        <f>M4-M76</f>
        <v>111.15500000000006</v>
      </c>
      <c r="N190" s="594">
        <f t="shared" si="126"/>
        <v>-718.94601539197777</v>
      </c>
      <c r="O190" s="595">
        <f t="shared" ref="O190:T190" si="137">O4-O76</f>
        <v>-253.78947925125976</v>
      </c>
      <c r="P190" s="596">
        <f t="shared" si="137"/>
        <v>145.83271653729025</v>
      </c>
      <c r="Q190" s="596">
        <f t="shared" si="137"/>
        <v>406.6851700869156</v>
      </c>
      <c r="R190" s="595">
        <f t="shared" si="137"/>
        <v>-419.6864187813826</v>
      </c>
      <c r="S190" s="596">
        <f t="shared" si="137"/>
        <v>-727.00976046295762</v>
      </c>
      <c r="T190" s="596">
        <f t="shared" si="137"/>
        <v>-600.73017675550636</v>
      </c>
      <c r="U190" s="594">
        <f t="shared" si="114"/>
        <v>465.156536140718</v>
      </c>
      <c r="V190" s="220"/>
      <c r="W190" s="595">
        <f>W4-W76</f>
        <v>-253.78947925125976</v>
      </c>
      <c r="X190" s="596">
        <f>X4-X76</f>
        <v>-96.8907923700026</v>
      </c>
      <c r="Y190" s="595">
        <f t="shared" si="91"/>
        <v>156.89868688125716</v>
      </c>
      <c r="Z190" s="601">
        <f t="shared" si="135"/>
        <v>0.1619341925322397</v>
      </c>
      <c r="AB190" s="199"/>
    </row>
    <row r="191" spans="1:28" x14ac:dyDescent="0.2">
      <c r="A191" s="661" t="s">
        <v>39</v>
      </c>
      <c r="B191" s="662"/>
      <c r="C191" s="663">
        <f t="shared" ref="C191:K191" si="138">C190/C193*100</f>
        <v>-0.77696312238339715</v>
      </c>
      <c r="D191" s="664">
        <f t="shared" si="138"/>
        <v>-0.60002033967253443</v>
      </c>
      <c r="E191" s="665">
        <f t="shared" si="138"/>
        <v>-0.10000061925640029</v>
      </c>
      <c r="F191" s="665">
        <f t="shared" si="138"/>
        <v>-9.6909929640071472E-7</v>
      </c>
      <c r="G191" s="666">
        <f t="shared" si="138"/>
        <v>0.19999926788801092</v>
      </c>
      <c r="H191" s="665">
        <f t="shared" si="138"/>
        <v>-0.91906030830530994</v>
      </c>
      <c r="I191" s="665">
        <f t="shared" si="138"/>
        <v>-0.69619112472082978</v>
      </c>
      <c r="J191" s="665">
        <f t="shared" si="138"/>
        <v>-0.56411018069720364</v>
      </c>
      <c r="K191" s="666">
        <f t="shared" si="138"/>
        <v>-0.17785920837563068</v>
      </c>
      <c r="L191" s="667"/>
      <c r="M191" s="664">
        <f>M190/M193*100</f>
        <v>0.12291580821309532</v>
      </c>
      <c r="N191" s="663">
        <f>N190/N193*100</f>
        <v>-0.7950144441859508</v>
      </c>
      <c r="O191" s="664">
        <f>O190/O193*100</f>
        <v>-0.26292339453158015</v>
      </c>
      <c r="P191" s="665">
        <f t="shared" ref="P191:Q191" si="139">P190/P193*100</f>
        <v>0.14224414142945518</v>
      </c>
      <c r="Q191" s="665">
        <f t="shared" si="139"/>
        <v>0.37442903149489931</v>
      </c>
      <c r="R191" s="664">
        <f>O191-E191</f>
        <v>-0.16292277527517984</v>
      </c>
      <c r="S191" s="665">
        <f>P191-F191</f>
        <v>0.14224511052875158</v>
      </c>
      <c r="T191" s="665">
        <f>Q191-G191</f>
        <v>0.17442976360688839</v>
      </c>
      <c r="U191" s="663">
        <f t="shared" si="114"/>
        <v>0.53209104965437071</v>
      </c>
      <c r="V191" s="220"/>
      <c r="W191" s="664">
        <f t="shared" ref="W191:X191" si="140">W190/W193*100</f>
        <v>-0.26292339453158015</v>
      </c>
      <c r="X191" s="665">
        <f t="shared" si="140"/>
        <v>-0.10000040496272344</v>
      </c>
      <c r="Y191" s="664">
        <f t="shared" si="91"/>
        <v>0.1629229895688567</v>
      </c>
      <c r="Z191" s="666">
        <f t="shared" si="135"/>
        <v>1.6815183915935605E-4</v>
      </c>
    </row>
    <row r="192" spans="1:28" x14ac:dyDescent="0.2">
      <c r="A192" s="668" t="s">
        <v>643</v>
      </c>
      <c r="B192" s="669"/>
      <c r="C192" s="670">
        <f t="shared" ref="C192:K192" si="141">C190+C126</f>
        <v>520.13999999999805</v>
      </c>
      <c r="D192" s="671">
        <f t="shared" si="141"/>
        <v>586.39999999999714</v>
      </c>
      <c r="E192" s="672">
        <f t="shared" si="141"/>
        <v>1027.8989999999967</v>
      </c>
      <c r="F192" s="672">
        <f t="shared" si="141"/>
        <v>1094.8630000000035</v>
      </c>
      <c r="G192" s="673">
        <f t="shared" si="141"/>
        <v>1330.2799999999982</v>
      </c>
      <c r="H192" s="674">
        <f t="shared" si="141"/>
        <v>382.29191760802223</v>
      </c>
      <c r="I192" s="674">
        <f t="shared" si="141"/>
        <v>524.85886956288255</v>
      </c>
      <c r="J192" s="674">
        <f t="shared" si="141"/>
        <v>592.24252526458827</v>
      </c>
      <c r="K192" s="675">
        <f t="shared" si="141"/>
        <v>996.79235029713823</v>
      </c>
      <c r="L192" s="134"/>
      <c r="M192" s="671">
        <f>M190+M126</f>
        <v>111.15500000000006</v>
      </c>
      <c r="N192" s="594">
        <f>H192+M192</f>
        <v>493.44691760802232</v>
      </c>
      <c r="O192" s="671">
        <f t="shared" ref="O192:T192" si="142">O190+O126</f>
        <v>947.72231598489748</v>
      </c>
      <c r="P192" s="672">
        <f t="shared" si="142"/>
        <v>1305.2924271492109</v>
      </c>
      <c r="Q192" s="672">
        <f t="shared" si="142"/>
        <v>1573.0626564448271</v>
      </c>
      <c r="R192" s="671">
        <f t="shared" si="142"/>
        <v>-422.86320542201878</v>
      </c>
      <c r="S192" s="672">
        <f t="shared" si="142"/>
        <v>-713.04924088459757</v>
      </c>
      <c r="T192" s="672">
        <f t="shared" si="142"/>
        <v>-576.2705681476931</v>
      </c>
      <c r="U192" s="670">
        <f t="shared" si="114"/>
        <v>454.27539837687516</v>
      </c>
      <c r="V192" s="220"/>
      <c r="W192" s="671">
        <f>W190+W126</f>
        <v>947.72231598489748</v>
      </c>
      <c r="X192" s="672">
        <f>X190+X126</f>
        <v>1106.9763258420153</v>
      </c>
      <c r="Y192" s="671">
        <f t="shared" si="91"/>
        <v>159.25400985711781</v>
      </c>
      <c r="Z192" s="676">
        <f t="shared" si="135"/>
        <v>0.16436510723159137</v>
      </c>
    </row>
    <row r="193" spans="1:27" x14ac:dyDescent="0.2">
      <c r="A193" s="677" t="s">
        <v>26</v>
      </c>
      <c r="B193" s="678"/>
      <c r="C193" s="679">
        <v>84850.873999999996</v>
      </c>
      <c r="D193" s="680">
        <v>90463.6</v>
      </c>
      <c r="E193" s="681">
        <v>96890.4</v>
      </c>
      <c r="F193" s="681">
        <v>103188.6</v>
      </c>
      <c r="G193" s="682">
        <v>109272.9</v>
      </c>
      <c r="H193" s="683">
        <v>90320.625087447464</v>
      </c>
      <c r="I193" s="683">
        <v>96737.248597172234</v>
      </c>
      <c r="J193" s="683">
        <v>103025.56571615045</v>
      </c>
      <c r="K193" s="684">
        <v>109100.19584635328</v>
      </c>
      <c r="L193" s="685"/>
      <c r="M193" s="680">
        <f>N193</f>
        <v>90431.818019122555</v>
      </c>
      <c r="N193" s="679">
        <v>90431.818019122555</v>
      </c>
      <c r="O193" s="680">
        <v>96526.016524093182</v>
      </c>
      <c r="P193" s="681">
        <v>102522.82805588502</v>
      </c>
      <c r="Q193" s="681">
        <v>108614.75363254671</v>
      </c>
      <c r="R193" s="686">
        <f>E193-O193</f>
        <v>364.38347590681224</v>
      </c>
      <c r="S193" s="681">
        <f>F193-P193</f>
        <v>665.77194411498203</v>
      </c>
      <c r="T193" s="681">
        <f>G193-Q193</f>
        <v>658.14636745328608</v>
      </c>
      <c r="U193" s="679"/>
      <c r="V193" s="687"/>
      <c r="W193" s="680">
        <f>O193</f>
        <v>96526.016524093182</v>
      </c>
      <c r="X193" s="681">
        <f>E193</f>
        <v>96890.4</v>
      </c>
      <c r="Y193" s="680">
        <f t="shared" si="91"/>
        <v>364.38347590681224</v>
      </c>
      <c r="Z193" s="682">
        <f t="shared" si="135"/>
        <v>0.3760779973112014</v>
      </c>
    </row>
    <row r="194" spans="1:27" x14ac:dyDescent="0.2">
      <c r="C194" s="688"/>
      <c r="D194" s="688"/>
      <c r="E194" s="688"/>
      <c r="F194" s="688"/>
      <c r="G194" s="688"/>
      <c r="H194" s="688"/>
      <c r="I194" s="688"/>
      <c r="J194" s="688"/>
      <c r="K194" s="688"/>
      <c r="L194" s="688"/>
      <c r="M194" s="688"/>
      <c r="N194" s="199"/>
      <c r="O194" s="199"/>
      <c r="P194" s="199"/>
      <c r="Q194" s="199"/>
      <c r="R194" s="199"/>
      <c r="S194" s="688"/>
      <c r="W194" s="199"/>
      <c r="X194" s="199"/>
      <c r="Y194" s="199"/>
    </row>
    <row r="195" spans="1:27" x14ac:dyDescent="0.2">
      <c r="C195" s="199"/>
      <c r="D195" s="199"/>
      <c r="E195" s="199"/>
      <c r="F195" s="199"/>
      <c r="G195" s="199"/>
      <c r="H195" s="199"/>
      <c r="I195" s="196"/>
      <c r="J195" s="196"/>
      <c r="K195" s="196"/>
      <c r="L195" s="688"/>
      <c r="M195" s="200"/>
      <c r="N195" s="199"/>
      <c r="O195" s="199"/>
      <c r="P195" s="199"/>
      <c r="Q195" s="199"/>
      <c r="S195" s="688"/>
      <c r="X195" s="199"/>
    </row>
    <row r="196" spans="1:27" x14ac:dyDescent="0.2">
      <c r="A196" s="1625"/>
      <c r="B196" s="1625"/>
      <c r="C196" s="692"/>
      <c r="D196" s="1623" t="s">
        <v>525</v>
      </c>
      <c r="E196" s="1623"/>
      <c r="F196" s="1623"/>
      <c r="G196" s="1623"/>
      <c r="H196" s="1623" t="s">
        <v>207</v>
      </c>
      <c r="I196" s="1623"/>
      <c r="J196" s="1623"/>
      <c r="K196" s="1623"/>
      <c r="M196" s="1623" t="s">
        <v>526</v>
      </c>
      <c r="N196" s="1623"/>
      <c r="O196" s="1623"/>
      <c r="P196" s="1623"/>
      <c r="Q196" s="1624"/>
      <c r="R196" s="1625" t="s">
        <v>527</v>
      </c>
      <c r="S196" s="1625"/>
      <c r="T196" s="1625"/>
      <c r="U196" s="585"/>
      <c r="X196" s="199"/>
    </row>
    <row r="197" spans="1:27" ht="12.75" customHeight="1" x14ac:dyDescent="0.2">
      <c r="A197" s="586" t="s">
        <v>529</v>
      </c>
      <c r="B197" s="1621" t="s">
        <v>530</v>
      </c>
      <c r="C197" s="1626" t="str">
        <f t="shared" ref="C197:K197" si="143">C2</f>
        <v>2017S</v>
      </c>
      <c r="D197" s="1627" t="str">
        <f t="shared" si="143"/>
        <v>2018 OS</v>
      </c>
      <c r="E197" s="1629" t="str">
        <f t="shared" si="143"/>
        <v>2019 N</v>
      </c>
      <c r="F197" s="1629" t="str">
        <f t="shared" si="143"/>
        <v>2020 N</v>
      </c>
      <c r="G197" s="1629" t="str">
        <f t="shared" si="143"/>
        <v>2021 N</v>
      </c>
      <c r="H197" s="1629" t="str">
        <f t="shared" si="143"/>
        <v>2018 O</v>
      </c>
      <c r="I197" s="1629" t="str">
        <f t="shared" si="143"/>
        <v>2019 O</v>
      </c>
      <c r="J197" s="1629" t="str">
        <f t="shared" si="143"/>
        <v>2020 O</v>
      </c>
      <c r="K197" s="1629" t="str">
        <f t="shared" si="143"/>
        <v>2021 O</v>
      </c>
      <c r="M197" s="588" t="str">
        <f t="shared" ref="M197:U197" si="144">M2</f>
        <v>2018 úpravy</v>
      </c>
      <c r="N197" s="1632" t="str">
        <f t="shared" si="144"/>
        <v>2018 OS báza</v>
      </c>
      <c r="O197" s="1627" t="str">
        <f t="shared" si="144"/>
        <v>2019 NPC</v>
      </c>
      <c r="P197" s="1629" t="str">
        <f t="shared" si="144"/>
        <v>2020 NPC</v>
      </c>
      <c r="Q197" s="1637" t="str">
        <f t="shared" si="144"/>
        <v>2021 NPC</v>
      </c>
      <c r="R197" s="1627">
        <f t="shared" si="144"/>
        <v>2019</v>
      </c>
      <c r="S197" s="1629">
        <f t="shared" si="144"/>
        <v>2020</v>
      </c>
      <c r="T197" s="1637">
        <f t="shared" si="144"/>
        <v>2021</v>
      </c>
      <c r="U197" s="1640" t="str">
        <f t="shared" si="144"/>
        <v>2019 NPC - 2018 OS bez OO</v>
      </c>
      <c r="X197" s="199"/>
    </row>
    <row r="198" spans="1:27" x14ac:dyDescent="0.2">
      <c r="A198" s="586"/>
      <c r="B198" s="1621"/>
      <c r="C198" s="1626"/>
      <c r="D198" s="1628"/>
      <c r="E198" s="1621"/>
      <c r="F198" s="1621"/>
      <c r="G198" s="1621"/>
      <c r="H198" s="1621"/>
      <c r="I198" s="1621"/>
      <c r="J198" s="1621"/>
      <c r="K198" s="1621"/>
      <c r="M198" s="591" t="s">
        <v>539</v>
      </c>
      <c r="N198" s="1632"/>
      <c r="O198" s="1628"/>
      <c r="P198" s="1621"/>
      <c r="Q198" s="1622"/>
      <c r="R198" s="1635"/>
      <c r="S198" s="1636"/>
      <c r="T198" s="1638"/>
      <c r="U198" s="1641"/>
      <c r="X198" s="199"/>
    </row>
    <row r="199" spans="1:27" s="156" customFormat="1" x14ac:dyDescent="0.2">
      <c r="A199" s="156" t="s">
        <v>644</v>
      </c>
      <c r="C199" s="693">
        <f>SUM(C200:C204)-C205</f>
        <v>16501.581000000002</v>
      </c>
      <c r="D199" s="695">
        <f t="shared" ref="D199:M199" si="145">SUM(D200:D204)-D205</f>
        <v>17514.39732</v>
      </c>
      <c r="E199" s="695">
        <f t="shared" si="145"/>
        <v>18915.375249600002</v>
      </c>
      <c r="F199" s="695">
        <f t="shared" si="145"/>
        <v>20422.470927088001</v>
      </c>
      <c r="G199" s="693">
        <f t="shared" si="145"/>
        <v>20992.696104900642</v>
      </c>
      <c r="H199" s="693">
        <f t="shared" si="145"/>
        <v>17268.13117492968</v>
      </c>
      <c r="I199" s="693">
        <f t="shared" si="145"/>
        <v>18472.09339033674</v>
      </c>
      <c r="J199" s="693">
        <f t="shared" si="145"/>
        <v>20044.411960777212</v>
      </c>
      <c r="K199" s="693">
        <f t="shared" si="145"/>
        <v>20842.46750864348</v>
      </c>
      <c r="L199" s="696"/>
      <c r="M199" s="695">
        <f t="shared" si="145"/>
        <v>111.1</v>
      </c>
      <c r="N199" s="697">
        <f t="shared" ref="N199" si="146">SUM(N200:N204)-N205</f>
        <v>17379.231174929679</v>
      </c>
      <c r="O199" s="695">
        <f t="shared" ref="O199:U199" si="147">SUM(O200:O204)-O205</f>
        <v>18150.361131069298</v>
      </c>
      <c r="P199" s="695">
        <f t="shared" si="147"/>
        <v>19011.448106772783</v>
      </c>
      <c r="Q199" s="693">
        <f t="shared" si="147"/>
        <v>19837.06541782368</v>
      </c>
      <c r="R199" s="695">
        <f t="shared" si="147"/>
        <v>765.0141185307059</v>
      </c>
      <c r="S199" s="695">
        <f t="shared" si="147"/>
        <v>1411.0228203152201</v>
      </c>
      <c r="T199" s="698">
        <f t="shared" si="147"/>
        <v>1155.630687076964</v>
      </c>
      <c r="U199" s="698">
        <f t="shared" si="147"/>
        <v>771.12995613961596</v>
      </c>
      <c r="V199" s="183"/>
      <c r="X199" s="695"/>
      <c r="AA199" s="811"/>
    </row>
    <row r="200" spans="1:27" x14ac:dyDescent="0.2">
      <c r="A200" s="195" t="s">
        <v>645</v>
      </c>
      <c r="C200" s="699">
        <f t="shared" ref="C200:K200" si="148">C77</f>
        <v>7803.6</v>
      </c>
      <c r="D200" s="199">
        <f t="shared" si="148"/>
        <v>8225.7000000000007</v>
      </c>
      <c r="E200" s="199">
        <f t="shared" si="148"/>
        <v>8900.1</v>
      </c>
      <c r="F200" s="199">
        <f t="shared" si="148"/>
        <v>9773.3000000000011</v>
      </c>
      <c r="G200" s="699">
        <f t="shared" si="148"/>
        <v>10093.200000000001</v>
      </c>
      <c r="H200" s="699">
        <f t="shared" si="148"/>
        <v>8338.4661796360051</v>
      </c>
      <c r="I200" s="699">
        <f t="shared" si="148"/>
        <v>9259.9463895290428</v>
      </c>
      <c r="J200" s="699">
        <f t="shared" si="148"/>
        <v>10142.341962191342</v>
      </c>
      <c r="K200" s="699">
        <f t="shared" si="148"/>
        <v>10543.871175506754</v>
      </c>
      <c r="L200" s="700"/>
      <c r="M200" s="199">
        <f>M77</f>
        <v>0</v>
      </c>
      <c r="N200" s="700">
        <f>N77</f>
        <v>8338.4661796360051</v>
      </c>
      <c r="O200" s="199">
        <f>O77</f>
        <v>8812.1867605134648</v>
      </c>
      <c r="P200" s="199">
        <f>P77</f>
        <v>9315.7208606756212</v>
      </c>
      <c r="Q200" s="699">
        <f>Q77</f>
        <v>9805.6205247020771</v>
      </c>
      <c r="R200" s="615">
        <f t="shared" ref="R200:T205" si="149">E200-O200</f>
        <v>87.913239486535531</v>
      </c>
      <c r="S200" s="616">
        <f t="shared" si="149"/>
        <v>457.57913932437987</v>
      </c>
      <c r="T200" s="616">
        <f t="shared" si="149"/>
        <v>287.57947529792364</v>
      </c>
      <c r="U200" s="620">
        <f t="shared" ref="U200:U205" si="150">O200-N200</f>
        <v>473.72058087745972</v>
      </c>
      <c r="X200" s="199"/>
    </row>
    <row r="201" spans="1:27" x14ac:dyDescent="0.2">
      <c r="A201" s="195" t="s">
        <v>114</v>
      </c>
      <c r="C201" s="699">
        <f t="shared" ref="C201:K201" si="151">C88</f>
        <v>4802</v>
      </c>
      <c r="D201" s="199">
        <f t="shared" si="151"/>
        <v>4941.2</v>
      </c>
      <c r="E201" s="199">
        <f t="shared" si="151"/>
        <v>5434.8950000000004</v>
      </c>
      <c r="F201" s="199">
        <f t="shared" si="151"/>
        <v>6008.1360000000004</v>
      </c>
      <c r="G201" s="699">
        <f t="shared" si="151"/>
        <v>6082.9070000000002</v>
      </c>
      <c r="H201" s="699">
        <f t="shared" si="151"/>
        <v>4804.7377202973457</v>
      </c>
      <c r="I201" s="699">
        <f t="shared" si="151"/>
        <v>4892.0134518633067</v>
      </c>
      <c r="J201" s="699">
        <f t="shared" si="151"/>
        <v>5392.8932659956463</v>
      </c>
      <c r="K201" s="699">
        <f t="shared" si="151"/>
        <v>5644.7408970240003</v>
      </c>
      <c r="L201" s="700"/>
      <c r="M201" s="199">
        <f>M88</f>
        <v>111.1</v>
      </c>
      <c r="N201" s="700">
        <f>N88</f>
        <v>4915.8377202973461</v>
      </c>
      <c r="O201" s="199">
        <f>O88</f>
        <v>5028.518914744096</v>
      </c>
      <c r="P201" s="199">
        <f>P88</f>
        <v>5191.1781637814629</v>
      </c>
      <c r="Q201" s="699">
        <f>Q88</f>
        <v>5365.2158010662879</v>
      </c>
      <c r="R201" s="615">
        <f t="shared" si="149"/>
        <v>406.3760852559044</v>
      </c>
      <c r="S201" s="616">
        <f t="shared" si="149"/>
        <v>816.95783621853752</v>
      </c>
      <c r="T201" s="616">
        <f t="shared" si="149"/>
        <v>717.69119893371226</v>
      </c>
      <c r="U201" s="620">
        <f t="shared" si="150"/>
        <v>112.68119444674994</v>
      </c>
      <c r="X201" s="199"/>
    </row>
    <row r="202" spans="1:27" x14ac:dyDescent="0.2">
      <c r="A202" s="195" t="s">
        <v>646</v>
      </c>
      <c r="C202" s="699">
        <v>68.394999999999996</v>
      </c>
      <c r="D202" s="199">
        <f>44.141</f>
        <v>44.140999999999998</v>
      </c>
      <c r="E202" s="199">
        <v>49.786000000000001</v>
      </c>
      <c r="F202" s="199">
        <v>50.771000000000001</v>
      </c>
      <c r="G202" s="699">
        <v>49.805999999999997</v>
      </c>
      <c r="H202" s="699">
        <f>N202</f>
        <v>69.13733659632824</v>
      </c>
      <c r="I202" s="699">
        <f>O202</f>
        <v>70.799253285421159</v>
      </c>
      <c r="J202" s="699">
        <f t="shared" ref="J202:K202" si="152">P202</f>
        <v>72.546847198637536</v>
      </c>
      <c r="K202" s="699">
        <f t="shared" si="152"/>
        <v>74.402763702180806</v>
      </c>
      <c r="L202" s="700"/>
      <c r="M202" s="199">
        <v>0</v>
      </c>
      <c r="N202" s="700">
        <v>69.13733659632824</v>
      </c>
      <c r="O202" s="199">
        <v>70.799253285421159</v>
      </c>
      <c r="P202" s="199">
        <v>72.546847198637536</v>
      </c>
      <c r="Q202" s="699">
        <v>74.402763702180806</v>
      </c>
      <c r="R202" s="615">
        <f t="shared" si="149"/>
        <v>-21.013253285421158</v>
      </c>
      <c r="S202" s="616">
        <f t="shared" si="149"/>
        <v>-21.775847198637535</v>
      </c>
      <c r="T202" s="616">
        <f t="shared" si="149"/>
        <v>-24.596763702180809</v>
      </c>
      <c r="U202" s="620">
        <f t="shared" si="150"/>
        <v>1.6619166890929193</v>
      </c>
      <c r="X202" s="199"/>
    </row>
    <row r="203" spans="1:27" x14ac:dyDescent="0.2">
      <c r="A203" s="195" t="s">
        <v>647</v>
      </c>
      <c r="C203" s="699">
        <f t="shared" ref="C203:K203" si="153">C113</f>
        <v>4246.5420000000004</v>
      </c>
      <c r="D203" s="199">
        <f t="shared" si="153"/>
        <v>4494.1050000000005</v>
      </c>
      <c r="E203" s="199">
        <f t="shared" si="153"/>
        <v>4703.5010000000002</v>
      </c>
      <c r="F203" s="199">
        <f t="shared" si="153"/>
        <v>4810.326</v>
      </c>
      <c r="G203" s="699">
        <f t="shared" si="153"/>
        <v>4960.4430000000002</v>
      </c>
      <c r="H203" s="699">
        <f t="shared" si="153"/>
        <v>4456.4690000000001</v>
      </c>
      <c r="I203" s="699">
        <f t="shared" si="153"/>
        <v>4690.6021639999999</v>
      </c>
      <c r="J203" s="699">
        <f t="shared" si="153"/>
        <v>4933.773066667095</v>
      </c>
      <c r="K203" s="699">
        <f t="shared" si="153"/>
        <v>5125.708024911035</v>
      </c>
      <c r="L203" s="700"/>
      <c r="M203" s="199">
        <f>M113</f>
        <v>0</v>
      </c>
      <c r="N203" s="700">
        <f>N113</f>
        <v>4456.4690000000001</v>
      </c>
      <c r="O203" s="199">
        <f>O113</f>
        <v>4685.3689903436552</v>
      </c>
      <c r="P203" s="199">
        <f>P113</f>
        <v>4928.5398827523759</v>
      </c>
      <c r="Q203" s="699">
        <f>Q113</f>
        <v>5120.4748328993737</v>
      </c>
      <c r="R203" s="615">
        <f t="shared" si="149"/>
        <v>18.132009656344962</v>
      </c>
      <c r="S203" s="616">
        <f t="shared" si="149"/>
        <v>-118.21388275237587</v>
      </c>
      <c r="T203" s="616">
        <f t="shared" si="149"/>
        <v>-160.03183289937351</v>
      </c>
      <c r="U203" s="620">
        <f t="shared" si="150"/>
        <v>228.89999034365519</v>
      </c>
      <c r="X203" s="199"/>
    </row>
    <row r="204" spans="1:27" x14ac:dyDescent="0.2">
      <c r="A204" s="195" t="s">
        <v>648</v>
      </c>
      <c r="C204" s="699">
        <v>3228.3440000000001</v>
      </c>
      <c r="D204" s="199">
        <f>N204</f>
        <v>3324.1643200000003</v>
      </c>
      <c r="E204" s="199">
        <f t="shared" ref="E204:G204" si="154">O204</f>
        <v>3423.8892496000003</v>
      </c>
      <c r="F204" s="199">
        <f t="shared" si="154"/>
        <v>3526.6059270880005</v>
      </c>
      <c r="G204" s="699">
        <f t="shared" si="154"/>
        <v>3632.4041049006405</v>
      </c>
      <c r="H204" s="699">
        <f>D204</f>
        <v>3324.1643200000003</v>
      </c>
      <c r="I204" s="699">
        <f>E204</f>
        <v>3423.8892496000003</v>
      </c>
      <c r="J204" s="699">
        <f>F204</f>
        <v>3526.6059270880005</v>
      </c>
      <c r="K204" s="699">
        <f>G204</f>
        <v>3632.4041049006405</v>
      </c>
      <c r="L204" s="700"/>
      <c r="M204" s="199">
        <v>0</v>
      </c>
      <c r="N204" s="700">
        <v>3324.1643200000003</v>
      </c>
      <c r="O204" s="199">
        <v>3423.8892496000003</v>
      </c>
      <c r="P204" s="199">
        <v>3526.6059270880005</v>
      </c>
      <c r="Q204" s="699">
        <v>3632.4041049006405</v>
      </c>
      <c r="R204" s="615">
        <f t="shared" si="149"/>
        <v>0</v>
      </c>
      <c r="S204" s="616">
        <f t="shared" si="149"/>
        <v>0</v>
      </c>
      <c r="T204" s="616">
        <f t="shared" si="149"/>
        <v>0</v>
      </c>
      <c r="U204" s="620">
        <f t="shared" si="150"/>
        <v>99.724929599999996</v>
      </c>
      <c r="X204" s="199"/>
    </row>
    <row r="205" spans="1:27" x14ac:dyDescent="0.2">
      <c r="A205" s="195" t="s">
        <v>649</v>
      </c>
      <c r="C205" s="699">
        <f t="shared" ref="C205:K205" si="155">C53</f>
        <v>3647.3</v>
      </c>
      <c r="D205" s="199">
        <f t="shared" si="155"/>
        <v>3514.9130000000005</v>
      </c>
      <c r="E205" s="199">
        <f t="shared" si="155"/>
        <v>3596.7959999999998</v>
      </c>
      <c r="F205" s="199">
        <f t="shared" si="155"/>
        <v>3746.6680000000001</v>
      </c>
      <c r="G205" s="699">
        <f t="shared" si="155"/>
        <v>3826.0639999999999</v>
      </c>
      <c r="H205" s="699">
        <f t="shared" si="155"/>
        <v>3724.8433816000002</v>
      </c>
      <c r="I205" s="699">
        <f t="shared" si="155"/>
        <v>3865.1571179410294</v>
      </c>
      <c r="J205" s="699">
        <f t="shared" si="155"/>
        <v>4023.7491083635059</v>
      </c>
      <c r="K205" s="699">
        <f t="shared" si="155"/>
        <v>4178.6594574011315</v>
      </c>
      <c r="L205" s="700"/>
      <c r="M205" s="199">
        <f>M53</f>
        <v>0</v>
      </c>
      <c r="N205" s="700">
        <f>N53</f>
        <v>3724.8433816000002</v>
      </c>
      <c r="O205" s="199">
        <f>O53</f>
        <v>3870.4020374173419</v>
      </c>
      <c r="P205" s="199">
        <f>P53</f>
        <v>4023.1435747233163</v>
      </c>
      <c r="Q205" s="699">
        <f>Q53</f>
        <v>4161.0526094468823</v>
      </c>
      <c r="R205" s="615">
        <f t="shared" si="149"/>
        <v>-273.60603741734212</v>
      </c>
      <c r="S205" s="616">
        <f t="shared" si="149"/>
        <v>-276.47557472331619</v>
      </c>
      <c r="T205" s="616">
        <f t="shared" si="149"/>
        <v>-334.98860944688249</v>
      </c>
      <c r="U205" s="620">
        <f t="shared" si="150"/>
        <v>145.55865581734179</v>
      </c>
      <c r="X205" s="199"/>
    </row>
    <row r="206" spans="1:27" x14ac:dyDescent="0.2">
      <c r="A206" s="701" t="s">
        <v>616</v>
      </c>
      <c r="B206" s="701"/>
      <c r="C206" s="702">
        <f t="shared" ref="C206:K206" si="156">C140</f>
        <v>2699</v>
      </c>
      <c r="D206" s="703">
        <f t="shared" si="156"/>
        <v>2854.7</v>
      </c>
      <c r="E206" s="703">
        <f t="shared" si="156"/>
        <v>2311.6970000000001</v>
      </c>
      <c r="F206" s="703">
        <f t="shared" si="156"/>
        <v>2565.991</v>
      </c>
      <c r="G206" s="702">
        <f t="shared" si="156"/>
        <v>2926.8330000000001</v>
      </c>
      <c r="H206" s="704">
        <f t="shared" si="156"/>
        <v>3104.9717222560193</v>
      </c>
      <c r="I206" s="702">
        <f t="shared" si="156"/>
        <v>3229.5610914581384</v>
      </c>
      <c r="J206" s="702">
        <f t="shared" si="156"/>
        <v>3137.8238490376134</v>
      </c>
      <c r="K206" s="702">
        <f t="shared" si="156"/>
        <v>3214.0054345204262</v>
      </c>
      <c r="L206" s="697"/>
      <c r="M206" s="705">
        <f t="shared" ref="M206:U206" si="157">M140</f>
        <v>-112.697</v>
      </c>
      <c r="N206" s="704">
        <f t="shared" si="157"/>
        <v>2992.2747222560192</v>
      </c>
      <c r="O206" s="703">
        <f t="shared" si="157"/>
        <v>3454.320317689816</v>
      </c>
      <c r="P206" s="703">
        <f t="shared" si="157"/>
        <v>3564.0140834136364</v>
      </c>
      <c r="Q206" s="702">
        <f t="shared" si="157"/>
        <v>3742.2959998895458</v>
      </c>
      <c r="R206" s="703">
        <f t="shared" si="157"/>
        <v>-224.75922623167668</v>
      </c>
      <c r="S206" s="703">
        <f t="shared" si="157"/>
        <v>-426.19023437602311</v>
      </c>
      <c r="T206" s="702">
        <f t="shared" si="157"/>
        <v>-528.29056536911889</v>
      </c>
      <c r="U206" s="702">
        <f t="shared" si="157"/>
        <v>462.04559543379673</v>
      </c>
      <c r="X206" s="199"/>
    </row>
    <row r="207" spans="1:27" x14ac:dyDescent="0.2">
      <c r="A207" s="165"/>
      <c r="B207" s="165"/>
      <c r="C207" s="694"/>
      <c r="D207" s="694"/>
      <c r="E207" s="694"/>
      <c r="F207" s="694"/>
      <c r="G207" s="694"/>
      <c r="H207" s="694"/>
      <c r="I207" s="694"/>
      <c r="J207" s="694"/>
      <c r="K207" s="694"/>
      <c r="L207" s="694"/>
      <c r="M207" s="694"/>
      <c r="N207" s="694"/>
      <c r="O207" s="694"/>
      <c r="P207" s="694"/>
      <c r="Q207" s="694"/>
      <c r="R207" s="694"/>
      <c r="S207" s="694"/>
      <c r="T207" s="694"/>
      <c r="U207" s="694"/>
      <c r="X207" s="199"/>
    </row>
    <row r="208" spans="1:27" x14ac:dyDescent="0.2"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S208" s="688"/>
      <c r="X208" s="199"/>
    </row>
    <row r="209" spans="1:28" ht="12.75" customHeight="1" x14ac:dyDescent="0.2">
      <c r="A209" s="586" t="s">
        <v>529</v>
      </c>
      <c r="B209" s="1621" t="s">
        <v>530</v>
      </c>
      <c r="C209" s="1647" t="str">
        <f t="shared" ref="C209:K209" si="158">C2</f>
        <v>2017S</v>
      </c>
      <c r="D209" s="1645" t="str">
        <f t="shared" si="158"/>
        <v>2018 OS</v>
      </c>
      <c r="E209" s="1621" t="str">
        <f t="shared" si="158"/>
        <v>2019 N</v>
      </c>
      <c r="F209" s="1621" t="str">
        <f t="shared" si="158"/>
        <v>2020 N</v>
      </c>
      <c r="G209" s="1621" t="str">
        <f t="shared" si="158"/>
        <v>2021 N</v>
      </c>
      <c r="H209" s="1645" t="str">
        <f t="shared" si="158"/>
        <v>2018 O</v>
      </c>
      <c r="I209" s="1621" t="str">
        <f t="shared" si="158"/>
        <v>2019 O</v>
      </c>
      <c r="J209" s="1621" t="str">
        <f t="shared" si="158"/>
        <v>2020 O</v>
      </c>
      <c r="K209" s="1621" t="str">
        <f t="shared" si="158"/>
        <v>2021 O</v>
      </c>
      <c r="M209" s="591" t="str">
        <f>M197</f>
        <v>2018 úpravy</v>
      </c>
      <c r="N209" s="1632" t="str">
        <f>N2</f>
        <v>2018 OS báza</v>
      </c>
      <c r="O209" s="1628" t="str">
        <f>O2</f>
        <v>2019 NPC</v>
      </c>
      <c r="P209" s="1621" t="str">
        <f>P2</f>
        <v>2020 NPC</v>
      </c>
      <c r="Q209" s="1622" t="str">
        <f>Q2</f>
        <v>2021 NPC</v>
      </c>
      <c r="S209" s="688"/>
      <c r="X209" s="199"/>
    </row>
    <row r="210" spans="1:28" x14ac:dyDescent="0.2">
      <c r="A210" s="586"/>
      <c r="B210" s="1621"/>
      <c r="C210" s="1648"/>
      <c r="D210" s="1646"/>
      <c r="E210" s="1643"/>
      <c r="F210" s="1643"/>
      <c r="G210" s="1643"/>
      <c r="H210" s="1646"/>
      <c r="I210" s="1643"/>
      <c r="J210" s="1643"/>
      <c r="K210" s="1643"/>
      <c r="M210" s="591" t="s">
        <v>539</v>
      </c>
      <c r="N210" s="1632"/>
      <c r="O210" s="1642"/>
      <c r="P210" s="1643"/>
      <c r="Q210" s="1644"/>
      <c r="R210" s="199"/>
    </row>
    <row r="211" spans="1:28" x14ac:dyDescent="0.2">
      <c r="A211" s="706" t="s">
        <v>650</v>
      </c>
      <c r="B211" s="707"/>
      <c r="C211" s="700">
        <v>1432.1220941199999</v>
      </c>
      <c r="D211" s="709"/>
      <c r="E211" s="710"/>
      <c r="F211" s="710"/>
      <c r="G211" s="711"/>
      <c r="H211" s="689">
        <v>1888.3111469511298</v>
      </c>
      <c r="I211" s="689">
        <v>2353.5195394209213</v>
      </c>
      <c r="J211" s="689">
        <v>2575.7096863275988</v>
      </c>
      <c r="K211" s="711">
        <v>2647.0205919648688</v>
      </c>
      <c r="M211" s="712"/>
      <c r="N211" s="713">
        <f>H211</f>
        <v>1888.3111469511298</v>
      </c>
      <c r="O211" s="709">
        <f>I211</f>
        <v>2353.5195394209213</v>
      </c>
      <c r="P211" s="710">
        <f>J211</f>
        <v>2575.7096863275988</v>
      </c>
      <c r="Q211" s="711">
        <f>K211</f>
        <v>2647.0205919648688</v>
      </c>
      <c r="R211" s="714"/>
      <c r="S211" s="714"/>
      <c r="T211" s="714"/>
      <c r="W211" s="200"/>
      <c r="X211" s="200"/>
      <c r="Y211" s="200"/>
      <c r="Z211" s="200"/>
      <c r="AA211" s="202"/>
    </row>
    <row r="212" spans="1:28" x14ac:dyDescent="0.2">
      <c r="A212" s="715" t="s">
        <v>651</v>
      </c>
      <c r="B212" s="210"/>
      <c r="C212" s="716">
        <f>C173+C141+C89+C78+C117</f>
        <v>631.81297971999993</v>
      </c>
      <c r="D212" s="717">
        <f>D173+D141+D89+D78+D117</f>
        <v>671.005</v>
      </c>
      <c r="E212" s="209">
        <f>E173+E141+E89+E78+E117</f>
        <v>298.27515199999999</v>
      </c>
      <c r="F212" s="209">
        <f>F173+F141+F89+F78+F117</f>
        <v>1269.7178449999999</v>
      </c>
      <c r="G212" s="718">
        <f>G173+G141+G89+G78+G117</f>
        <v>1248.514263</v>
      </c>
      <c r="H212" s="209">
        <f>H78+H89+H117+H141+H173</f>
        <v>892.26972382441681</v>
      </c>
      <c r="I212" s="209">
        <f>I78+I89+I117+I141+I173</f>
        <v>1087.7635804616332</v>
      </c>
      <c r="J212" s="209">
        <f>J78+J89+J117+J141+J173</f>
        <v>1040.4836211136615</v>
      </c>
      <c r="K212" s="718">
        <f>K78+K89+K117+K141+K173</f>
        <v>1091.7917684052074</v>
      </c>
      <c r="M212" s="743"/>
      <c r="N212" s="209">
        <f>N78+N89+N117+N141+N173</f>
        <v>892.26972382441681</v>
      </c>
      <c r="O212" s="708">
        <f>O78+O89+O117+O141+O173</f>
        <v>1087.7635804616332</v>
      </c>
      <c r="P212" s="689">
        <f>P78+P89+P117+P141+P173</f>
        <v>1040.4836211136615</v>
      </c>
      <c r="Q212" s="699">
        <f>Q78+Q89+Q117+Q141+Q173</f>
        <v>1091.7917684052074</v>
      </c>
      <c r="R212" s="213"/>
      <c r="S212" s="213"/>
      <c r="T212" s="213"/>
    </row>
    <row r="213" spans="1:28" x14ac:dyDescent="0.2">
      <c r="A213" s="720" t="s">
        <v>652</v>
      </c>
      <c r="B213" s="721"/>
      <c r="C213" s="722">
        <f t="shared" ref="C213:K213" si="159">C174+C161+C142+C133+C118+C90+C79</f>
        <v>227.03399999999999</v>
      </c>
      <c r="D213" s="723">
        <f t="shared" si="159"/>
        <v>220.61699999999999</v>
      </c>
      <c r="E213" s="724">
        <f t="shared" si="159"/>
        <v>235.09741500000001</v>
      </c>
      <c r="F213" s="724">
        <f t="shared" si="159"/>
        <v>463.12344899999994</v>
      </c>
      <c r="G213" s="725">
        <f t="shared" si="159"/>
        <v>359.05926399999998</v>
      </c>
      <c r="H213" s="723">
        <f t="shared" si="159"/>
        <v>312.5722955059959</v>
      </c>
      <c r="I213" s="724">
        <f t="shared" si="159"/>
        <v>440.78944455237189</v>
      </c>
      <c r="J213" s="724">
        <f t="shared" si="159"/>
        <v>477.14019154765617</v>
      </c>
      <c r="K213" s="725">
        <f t="shared" si="159"/>
        <v>509.96426366688917</v>
      </c>
      <c r="M213" s="726"/>
      <c r="N213" s="723">
        <f>N174+N161+N142+N133+N118+N90+N79</f>
        <v>312.5722955059959</v>
      </c>
      <c r="O213" s="723">
        <f>O174+O161+O142+O133+O118+O90+O79</f>
        <v>440.78944455237189</v>
      </c>
      <c r="P213" s="724">
        <f>P174+P161+P142+P133+P118+P90+P79</f>
        <v>477.14019154765617</v>
      </c>
      <c r="Q213" s="725">
        <f>Q174+Q161+Q142+Q133+Q118+Q90+Q79</f>
        <v>509.96426366688917</v>
      </c>
      <c r="R213" s="688"/>
      <c r="S213" s="688"/>
      <c r="T213" s="688"/>
      <c r="U213" s="209"/>
    </row>
    <row r="214" spans="1:28" hidden="1" x14ac:dyDescent="0.2">
      <c r="A214" s="715"/>
      <c r="B214" s="210"/>
      <c r="C214" s="639"/>
      <c r="D214" s="719"/>
      <c r="E214" s="727"/>
      <c r="F214" s="727"/>
      <c r="G214" s="728"/>
      <c r="H214" s="729"/>
      <c r="I214" s="729"/>
      <c r="J214" s="729"/>
      <c r="K214" s="728"/>
      <c r="M214" s="730"/>
      <c r="N214" s="639" t="e">
        <f>#REF!</f>
        <v>#REF!</v>
      </c>
      <c r="O214" s="730" t="e">
        <f>#REF!</f>
        <v>#REF!</v>
      </c>
      <c r="P214" s="731" t="e">
        <f>#REF!</f>
        <v>#REF!</v>
      </c>
      <c r="Q214" s="732" t="e">
        <f>#REF!</f>
        <v>#REF!</v>
      </c>
      <c r="R214" s="688"/>
      <c r="S214" s="688"/>
      <c r="T214" s="688"/>
      <c r="U214" s="208"/>
    </row>
    <row r="215" spans="1:28" hidden="1" x14ac:dyDescent="0.2">
      <c r="A215" s="715" t="s">
        <v>653</v>
      </c>
      <c r="B215" s="210"/>
      <c r="C215" s="639"/>
      <c r="D215" s="719"/>
      <c r="E215" s="727"/>
      <c r="F215" s="727"/>
      <c r="G215" s="728"/>
      <c r="H215" s="729"/>
      <c r="I215" s="729"/>
      <c r="J215" s="729"/>
      <c r="K215" s="728"/>
      <c r="M215" s="730"/>
      <c r="N215" s="639" t="e">
        <f>#REF!</f>
        <v>#REF!</v>
      </c>
      <c r="O215" s="730" t="e">
        <f>#REF!</f>
        <v>#REF!</v>
      </c>
      <c r="P215" s="731" t="e">
        <f>#REF!</f>
        <v>#REF!</v>
      </c>
      <c r="Q215" s="732" t="e">
        <f>#REF!</f>
        <v>#REF!</v>
      </c>
      <c r="R215" s="688">
        <v>-1918</v>
      </c>
      <c r="S215" s="688">
        <v>-1159.9000000000001</v>
      </c>
      <c r="T215" s="688">
        <v>-333.9</v>
      </c>
      <c r="U215" s="208"/>
    </row>
    <row r="216" spans="1:28" hidden="1" x14ac:dyDescent="0.2">
      <c r="A216" s="733" t="s">
        <v>654</v>
      </c>
      <c r="B216" s="214"/>
      <c r="C216" s="734"/>
      <c r="D216" s="735"/>
      <c r="E216" s="736"/>
      <c r="F216" s="736"/>
      <c r="G216" s="737"/>
      <c r="H216" s="738"/>
      <c r="I216" s="738"/>
      <c r="J216" s="738"/>
      <c r="K216" s="737"/>
      <c r="L216" s="197"/>
      <c r="M216" s="739"/>
      <c r="N216" s="734" t="e">
        <f>#REF!</f>
        <v>#REF!</v>
      </c>
      <c r="O216" s="739" t="e">
        <f>#REF!</f>
        <v>#REF!</v>
      </c>
      <c r="P216" s="740" t="e">
        <f>#REF!</f>
        <v>#REF!</v>
      </c>
      <c r="Q216" s="741" t="e">
        <f>#REF!</f>
        <v>#REF!</v>
      </c>
      <c r="R216" s="742">
        <f>R215-R190</f>
        <v>-1498.3135812186174</v>
      </c>
      <c r="S216" s="742">
        <f>S215-S190</f>
        <v>-432.89023953704248</v>
      </c>
      <c r="T216" s="742">
        <f>T215-T190</f>
        <v>266.83017675550639</v>
      </c>
      <c r="U216" s="208"/>
      <c r="AA216" s="812"/>
      <c r="AB216" s="688"/>
    </row>
    <row r="217" spans="1:28" x14ac:dyDescent="0.2">
      <c r="A217" s="715"/>
      <c r="B217" s="210"/>
      <c r="C217" s="743"/>
      <c r="D217" s="719"/>
      <c r="E217" s="210"/>
      <c r="F217" s="727"/>
      <c r="G217" s="744"/>
      <c r="H217" s="210"/>
      <c r="I217" s="689"/>
      <c r="J217" s="689"/>
      <c r="K217" s="699"/>
      <c r="M217" s="730"/>
      <c r="N217" s="745"/>
      <c r="O217" s="708"/>
      <c r="P217" s="689"/>
      <c r="Q217" s="699"/>
      <c r="R217" s="691"/>
      <c r="U217" s="208"/>
    </row>
    <row r="218" spans="1:28" x14ac:dyDescent="0.2">
      <c r="A218" s="720"/>
      <c r="B218" s="721"/>
      <c r="C218" s="746"/>
      <c r="D218" s="747"/>
      <c r="E218" s="721"/>
      <c r="F218" s="748"/>
      <c r="G218" s="749"/>
      <c r="H218" s="720"/>
      <c r="I218" s="721"/>
      <c r="J218" s="721"/>
      <c r="K218" s="749"/>
      <c r="M218" s="726"/>
      <c r="N218" s="750"/>
      <c r="O218" s="723"/>
      <c r="P218" s="724"/>
      <c r="Q218" s="725"/>
      <c r="R218" s="691"/>
    </row>
    <row r="219" spans="1:28" x14ac:dyDescent="0.2">
      <c r="A219" s="751" t="s">
        <v>655</v>
      </c>
      <c r="B219" s="752"/>
      <c r="C219" s="753">
        <f>C66</f>
        <v>631.81297972000004</v>
      </c>
      <c r="D219" s="754">
        <f>D66</f>
        <v>671.005</v>
      </c>
      <c r="E219" s="755">
        <f>E66</f>
        <v>298.27499999999998</v>
      </c>
      <c r="F219" s="755">
        <f>F66</f>
        <v>1269.7180000000001</v>
      </c>
      <c r="G219" s="756">
        <f>G66</f>
        <v>1248.5139999999999</v>
      </c>
      <c r="H219" s="757">
        <f>H220</f>
        <v>892.26972382441681</v>
      </c>
      <c r="I219" s="757">
        <f>I220</f>
        <v>1087.7635804616332</v>
      </c>
      <c r="J219" s="757">
        <f t="shared" ref="J219:K219" si="160">J220</f>
        <v>1040.4836211136615</v>
      </c>
      <c r="K219" s="758">
        <f t="shared" si="160"/>
        <v>1091.7917684052074</v>
      </c>
      <c r="M219" s="840"/>
      <c r="N219" s="753">
        <f t="shared" ref="N219:Q225" si="161">H219</f>
        <v>892.26972382441681</v>
      </c>
      <c r="O219" s="757">
        <f t="shared" si="161"/>
        <v>1087.7635804616332</v>
      </c>
      <c r="P219" s="757">
        <f t="shared" si="161"/>
        <v>1040.4836211136615</v>
      </c>
      <c r="Q219" s="756">
        <f t="shared" si="161"/>
        <v>1091.7917684052074</v>
      </c>
    </row>
    <row r="220" spans="1:28" s="197" customFormat="1" x14ac:dyDescent="0.2">
      <c r="A220" s="733" t="s">
        <v>656</v>
      </c>
      <c r="B220" s="759"/>
      <c r="C220" s="760">
        <f>SUM(C221:C225)</f>
        <v>631.81297971999993</v>
      </c>
      <c r="D220" s="761">
        <f t="shared" ref="D220:G220" si="162">SUM(D221:D225)</f>
        <v>671.005</v>
      </c>
      <c r="E220" s="757">
        <f t="shared" si="162"/>
        <v>298.27515199999999</v>
      </c>
      <c r="F220" s="757">
        <f t="shared" si="162"/>
        <v>1269.7178449999999</v>
      </c>
      <c r="G220" s="758">
        <f t="shared" si="162"/>
        <v>1248.514263</v>
      </c>
      <c r="H220" s="757">
        <f>SUM(H221:H225)</f>
        <v>892.26972382441681</v>
      </c>
      <c r="I220" s="757">
        <f t="shared" ref="I220:K220" si="163">SUM(I221:I225)</f>
        <v>1087.7635804616332</v>
      </c>
      <c r="J220" s="757">
        <f t="shared" si="163"/>
        <v>1040.4836211136615</v>
      </c>
      <c r="K220" s="758">
        <f t="shared" si="163"/>
        <v>1091.7917684052074</v>
      </c>
      <c r="M220" s="733"/>
      <c r="N220" s="839">
        <f t="shared" si="161"/>
        <v>892.26972382441681</v>
      </c>
      <c r="O220" s="836">
        <f t="shared" si="161"/>
        <v>1087.7635804616332</v>
      </c>
      <c r="P220" s="837">
        <f t="shared" si="161"/>
        <v>1040.4836211136615</v>
      </c>
      <c r="Q220" s="838">
        <f t="shared" si="161"/>
        <v>1091.7917684052074</v>
      </c>
      <c r="V220" s="762"/>
      <c r="AA220" s="206"/>
    </row>
    <row r="221" spans="1:28" x14ac:dyDescent="0.2">
      <c r="A221" s="715" t="s">
        <v>645</v>
      </c>
      <c r="B221" s="744"/>
      <c r="C221" s="700">
        <f>C78</f>
        <v>93.520026597627009</v>
      </c>
      <c r="D221" s="708">
        <f>D78</f>
        <v>103.08600000000001</v>
      </c>
      <c r="E221" s="689">
        <f>E78</f>
        <v>2.0956000000000001</v>
      </c>
      <c r="F221" s="689">
        <f>F78</f>
        <v>39.559055000000001</v>
      </c>
      <c r="G221" s="699">
        <f>G78</f>
        <v>42.101931999999998</v>
      </c>
      <c r="H221" s="689">
        <v>153.17698024806305</v>
      </c>
      <c r="I221" s="689">
        <v>162.12106253717872</v>
      </c>
      <c r="J221" s="689">
        <v>171.62977342127428</v>
      </c>
      <c r="K221" s="699">
        <v>181.0589207854072</v>
      </c>
      <c r="M221" s="715"/>
      <c r="N221" s="716">
        <f t="shared" si="161"/>
        <v>153.17698024806305</v>
      </c>
      <c r="O221" s="763">
        <f t="shared" si="161"/>
        <v>162.12106253717872</v>
      </c>
      <c r="P221" s="764">
        <f t="shared" si="161"/>
        <v>171.62977342127428</v>
      </c>
      <c r="Q221" s="765">
        <f t="shared" si="161"/>
        <v>181.0589207854072</v>
      </c>
    </row>
    <row r="222" spans="1:28" x14ac:dyDescent="0.2">
      <c r="A222" s="715" t="s">
        <v>114</v>
      </c>
      <c r="B222" s="744"/>
      <c r="C222" s="700">
        <f>C89</f>
        <v>97.82590401377297</v>
      </c>
      <c r="D222" s="708">
        <f>D89</f>
        <v>90.622</v>
      </c>
      <c r="E222" s="689">
        <f>E89</f>
        <v>187.80689900000002</v>
      </c>
      <c r="F222" s="689">
        <f>F89</f>
        <v>543.72017963999997</v>
      </c>
      <c r="G222" s="699">
        <f>G89</f>
        <v>489.89302444999998</v>
      </c>
      <c r="H222" s="689">
        <v>83.962427669431236</v>
      </c>
      <c r="I222" s="689">
        <v>85.980708480786589</v>
      </c>
      <c r="J222" s="689">
        <v>88.103038248719258</v>
      </c>
      <c r="K222" s="699">
        <v>90.356918176132183</v>
      </c>
      <c r="M222" s="715"/>
      <c r="N222" s="716">
        <f t="shared" si="161"/>
        <v>83.962427669431236</v>
      </c>
      <c r="O222" s="763">
        <f t="shared" si="161"/>
        <v>85.980708480786589</v>
      </c>
      <c r="P222" s="764">
        <f t="shared" si="161"/>
        <v>88.103038248719258</v>
      </c>
      <c r="Q222" s="765">
        <f t="shared" si="161"/>
        <v>90.356918176132183</v>
      </c>
    </row>
    <row r="223" spans="1:28" x14ac:dyDescent="0.2">
      <c r="A223" s="715" t="s">
        <v>115</v>
      </c>
      <c r="B223" s="744"/>
      <c r="C223" s="700">
        <f>C117</f>
        <v>0</v>
      </c>
      <c r="D223" s="708">
        <f>D117</f>
        <v>0.6</v>
      </c>
      <c r="E223" s="689">
        <f>E117</f>
        <v>1.2</v>
      </c>
      <c r="F223" s="689">
        <f>F117</f>
        <v>2.6459999999999999</v>
      </c>
      <c r="G223" s="699">
        <f>G117</f>
        <v>2.3361200000000002</v>
      </c>
      <c r="H223" s="689">
        <v>9.089188520621974</v>
      </c>
      <c r="I223" s="689">
        <f>E223</f>
        <v>1.2</v>
      </c>
      <c r="J223" s="689">
        <f>F223</f>
        <v>2.6459999999999999</v>
      </c>
      <c r="K223" s="699">
        <f>G223</f>
        <v>2.3361200000000002</v>
      </c>
      <c r="M223" s="715"/>
      <c r="N223" s="716">
        <f t="shared" si="161"/>
        <v>9.089188520621974</v>
      </c>
      <c r="O223" s="763">
        <f t="shared" si="161"/>
        <v>1.2</v>
      </c>
      <c r="P223" s="764">
        <f t="shared" si="161"/>
        <v>2.6459999999999999</v>
      </c>
      <c r="Q223" s="765">
        <f t="shared" si="161"/>
        <v>2.3361200000000002</v>
      </c>
    </row>
    <row r="224" spans="1:28" x14ac:dyDescent="0.2">
      <c r="A224" s="715" t="s">
        <v>497</v>
      </c>
      <c r="B224" s="744"/>
      <c r="C224" s="700">
        <f>C173+C117</f>
        <v>8.4014729999999996E-2</v>
      </c>
      <c r="D224" s="708">
        <f>D173</f>
        <v>0.62800000000000011</v>
      </c>
      <c r="E224" s="689">
        <f>E173</f>
        <v>84.515773999999993</v>
      </c>
      <c r="F224" s="689">
        <f>F173</f>
        <v>383.60351900000001</v>
      </c>
      <c r="G224" s="699">
        <f>G173</f>
        <v>415.87423999999999</v>
      </c>
      <c r="H224" s="689">
        <f>16.4558168191219+8.19992966005657+4.63757146345421</f>
        <v>29.293317942632676</v>
      </c>
      <c r="I224" s="689">
        <v>0</v>
      </c>
      <c r="J224" s="689">
        <v>0</v>
      </c>
      <c r="K224" s="699">
        <v>0</v>
      </c>
      <c r="M224" s="715"/>
      <c r="N224" s="716">
        <f t="shared" si="161"/>
        <v>29.293317942632676</v>
      </c>
      <c r="O224" s="763">
        <f t="shared" si="161"/>
        <v>0</v>
      </c>
      <c r="P224" s="764">
        <f t="shared" si="161"/>
        <v>0</v>
      </c>
      <c r="Q224" s="765">
        <f t="shared" si="161"/>
        <v>0</v>
      </c>
    </row>
    <row r="225" spans="1:27" x14ac:dyDescent="0.2">
      <c r="A225" s="715" t="s">
        <v>657</v>
      </c>
      <c r="B225" s="744"/>
      <c r="C225" s="700">
        <f>C141</f>
        <v>440.38303437859992</v>
      </c>
      <c r="D225" s="708">
        <f>D141</f>
        <v>476.06899999999996</v>
      </c>
      <c r="E225" s="689">
        <f>E141</f>
        <v>22.656879</v>
      </c>
      <c r="F225" s="689">
        <f>F141</f>
        <v>300.18909136000002</v>
      </c>
      <c r="G225" s="699">
        <f>G141</f>
        <v>298.30894654999997</v>
      </c>
      <c r="H225" s="689">
        <v>616.74780944366785</v>
      </c>
      <c r="I225" s="689">
        <f>H225+192.421+29.293</f>
        <v>838.4618094436679</v>
      </c>
      <c r="J225" s="689">
        <f>I225-60.357</f>
        <v>778.10480944366793</v>
      </c>
      <c r="K225" s="699">
        <f>J225-160.065+200</f>
        <v>818.03980944366799</v>
      </c>
      <c r="M225" s="715"/>
      <c r="N225" s="716">
        <f t="shared" si="161"/>
        <v>616.74780944366785</v>
      </c>
      <c r="O225" s="708">
        <f t="shared" si="161"/>
        <v>838.4618094436679</v>
      </c>
      <c r="P225" s="689">
        <f t="shared" si="161"/>
        <v>778.10480944366793</v>
      </c>
      <c r="Q225" s="699">
        <f t="shared" si="161"/>
        <v>818.03980944366799</v>
      </c>
    </row>
    <row r="226" spans="1:27" x14ac:dyDescent="0.2">
      <c r="A226" s="715"/>
      <c r="B226" s="744"/>
      <c r="C226" s="639"/>
      <c r="D226" s="715"/>
      <c r="E226" s="210"/>
      <c r="F226" s="210"/>
      <c r="G226" s="744"/>
      <c r="H226" s="689"/>
      <c r="I226" s="689"/>
      <c r="J226" s="689"/>
      <c r="K226" s="689"/>
      <c r="M226" s="715"/>
      <c r="N226" s="766"/>
      <c r="O226" s="715"/>
      <c r="P226" s="210"/>
      <c r="Q226" s="744"/>
    </row>
    <row r="227" spans="1:27" s="197" customFormat="1" x14ac:dyDescent="0.2">
      <c r="A227" s="733" t="s">
        <v>658</v>
      </c>
      <c r="B227" s="759"/>
      <c r="C227" s="760">
        <f>C211-C212</f>
        <v>800.3091144</v>
      </c>
      <c r="D227" s="761">
        <f>D211-D212</f>
        <v>-671.005</v>
      </c>
      <c r="E227" s="757">
        <f>E211-E212</f>
        <v>-298.27515199999999</v>
      </c>
      <c r="F227" s="757">
        <f>F211-F212</f>
        <v>-1269.7178449999999</v>
      </c>
      <c r="G227" s="758">
        <f>G211-G212</f>
        <v>-1248.514263</v>
      </c>
      <c r="H227" s="757">
        <f>H211-H220</f>
        <v>996.04142312671297</v>
      </c>
      <c r="I227" s="757">
        <f>I211-I220</f>
        <v>1265.7559589592881</v>
      </c>
      <c r="J227" s="757">
        <f t="shared" ref="J227:K227" si="164">J211-J220</f>
        <v>1535.2260652139373</v>
      </c>
      <c r="K227" s="758">
        <f t="shared" si="164"/>
        <v>1555.2288235596614</v>
      </c>
      <c r="M227" s="733"/>
      <c r="N227" s="767">
        <f t="shared" ref="N227:Q229" si="165">H227</f>
        <v>996.04142312671297</v>
      </c>
      <c r="O227" s="761">
        <f t="shared" si="165"/>
        <v>1265.7559589592881</v>
      </c>
      <c r="P227" s="757">
        <f t="shared" si="165"/>
        <v>1535.2260652139373</v>
      </c>
      <c r="Q227" s="758">
        <f t="shared" si="165"/>
        <v>1555.2288235596614</v>
      </c>
      <c r="V227" s="762"/>
      <c r="AA227" s="206"/>
    </row>
    <row r="228" spans="1:27" x14ac:dyDescent="0.2">
      <c r="A228" s="715" t="s">
        <v>659</v>
      </c>
      <c r="B228" s="744"/>
      <c r="C228" s="745">
        <f>C227-C229</f>
        <v>482.13411439999999</v>
      </c>
      <c r="D228" s="708">
        <f>D227-D229</f>
        <v>-671.005</v>
      </c>
      <c r="E228" s="689">
        <f>E227-E229</f>
        <v>-298.27515199999999</v>
      </c>
      <c r="F228" s="689">
        <f t="shared" ref="F228" si="166">F227-F229</f>
        <v>-1269.7178449999999</v>
      </c>
      <c r="G228" s="699">
        <f>G227-G229</f>
        <v>-1248.514263</v>
      </c>
      <c r="H228" s="689">
        <f>530</f>
        <v>530</v>
      </c>
      <c r="I228" s="689">
        <v>560.94697131092744</v>
      </c>
      <c r="J228" s="689">
        <v>593.84758575318381</v>
      </c>
      <c r="K228" s="699">
        <v>626.47290644365114</v>
      </c>
      <c r="M228" s="715"/>
      <c r="N228" s="716">
        <f t="shared" si="165"/>
        <v>530</v>
      </c>
      <c r="O228" s="708">
        <f t="shared" si="165"/>
        <v>560.94697131092744</v>
      </c>
      <c r="P228" s="689">
        <f t="shared" si="165"/>
        <v>593.84758575318381</v>
      </c>
      <c r="Q228" s="699">
        <f t="shared" si="165"/>
        <v>626.47290644365114</v>
      </c>
    </row>
    <row r="229" spans="1:27" x14ac:dyDescent="0.2">
      <c r="A229" s="715" t="s">
        <v>53</v>
      </c>
      <c r="B229" s="744"/>
      <c r="C229" s="745">
        <v>318.17500000000001</v>
      </c>
      <c r="D229" s="708"/>
      <c r="E229" s="689"/>
      <c r="F229" s="689"/>
      <c r="G229" s="699"/>
      <c r="H229" s="689">
        <f>H227-H228</f>
        <v>466.04142312671297</v>
      </c>
      <c r="I229" s="689">
        <f>I227-I228</f>
        <v>704.8089876483607</v>
      </c>
      <c r="J229" s="689">
        <f t="shared" ref="J229:K229" si="167">J227-J228</f>
        <v>941.37847946075351</v>
      </c>
      <c r="K229" s="699">
        <f t="shared" si="167"/>
        <v>928.75591711601021</v>
      </c>
      <c r="M229" s="715"/>
      <c r="N229" s="716">
        <f t="shared" si="165"/>
        <v>466.04142312671297</v>
      </c>
      <c r="O229" s="708">
        <f t="shared" si="165"/>
        <v>704.8089876483607</v>
      </c>
      <c r="P229" s="689">
        <f t="shared" si="165"/>
        <v>941.37847946075351</v>
      </c>
      <c r="Q229" s="699">
        <f t="shared" si="165"/>
        <v>928.75591711601021</v>
      </c>
    </row>
    <row r="230" spans="1:27" x14ac:dyDescent="0.2">
      <c r="A230" s="715"/>
      <c r="B230" s="744"/>
      <c r="C230" s="639"/>
      <c r="D230" s="715"/>
      <c r="E230" s="210"/>
      <c r="F230" s="210"/>
      <c r="G230" s="744"/>
      <c r="H230" s="210"/>
      <c r="I230" s="210"/>
      <c r="J230" s="210"/>
      <c r="K230" s="744"/>
      <c r="M230" s="715"/>
      <c r="N230" s="639"/>
      <c r="O230" s="708"/>
      <c r="P230" s="689"/>
      <c r="Q230" s="699"/>
    </row>
    <row r="231" spans="1:27" s="197" customFormat="1" x14ac:dyDescent="0.2">
      <c r="A231" s="733" t="s">
        <v>660</v>
      </c>
      <c r="B231" s="759"/>
      <c r="C231" s="760">
        <f>SUM(C232:C238)</f>
        <v>227.03399999999996</v>
      </c>
      <c r="D231" s="761">
        <f t="shared" ref="D231:G231" si="168">SUM(D232:D238)</f>
        <v>220.61700000000002</v>
      </c>
      <c r="E231" s="757">
        <f t="shared" si="168"/>
        <v>235.09741500000001</v>
      </c>
      <c r="F231" s="757">
        <f t="shared" si="168"/>
        <v>463.12344899999999</v>
      </c>
      <c r="G231" s="758">
        <f t="shared" si="168"/>
        <v>359.05926399999998</v>
      </c>
      <c r="H231" s="757">
        <v>312.57243100009043</v>
      </c>
      <c r="I231" s="757">
        <v>440.78977191263635</v>
      </c>
      <c r="J231" s="757">
        <v>477.13989846696836</v>
      </c>
      <c r="K231" s="758">
        <v>509.96584779173565</v>
      </c>
      <c r="M231" s="733"/>
      <c r="N231" s="760">
        <f t="shared" ref="N231:Q238" si="169">H231</f>
        <v>312.57243100009043</v>
      </c>
      <c r="O231" s="761">
        <f t="shared" si="169"/>
        <v>440.78977191263635</v>
      </c>
      <c r="P231" s="757">
        <f t="shared" si="169"/>
        <v>477.13989846696836</v>
      </c>
      <c r="Q231" s="758">
        <f t="shared" si="169"/>
        <v>509.96584779173565</v>
      </c>
      <c r="V231" s="762"/>
      <c r="AA231" s="206"/>
    </row>
    <row r="232" spans="1:27" x14ac:dyDescent="0.2">
      <c r="A232" s="715" t="s">
        <v>645</v>
      </c>
      <c r="B232" s="744"/>
      <c r="C232" s="700">
        <f>C79</f>
        <v>28.861501926948598</v>
      </c>
      <c r="D232" s="708">
        <f>D79</f>
        <v>19.771999999999998</v>
      </c>
      <c r="E232" s="689">
        <f>E79</f>
        <v>0</v>
      </c>
      <c r="F232" s="689">
        <f>F79</f>
        <v>4.8875000000000002</v>
      </c>
      <c r="G232" s="699">
        <f>G79</f>
        <v>5.056</v>
      </c>
      <c r="H232" s="689">
        <v>30.35249038076654</v>
      </c>
      <c r="I232" s="689">
        <v>32.124787831764245</v>
      </c>
      <c r="J232" s="689">
        <v>34.008968177764046</v>
      </c>
      <c r="K232" s="699">
        <v>35.877382767248641</v>
      </c>
      <c r="M232" s="715"/>
      <c r="N232" s="716">
        <f t="shared" si="169"/>
        <v>30.35249038076654</v>
      </c>
      <c r="O232" s="717">
        <f t="shared" si="169"/>
        <v>32.124787831764245</v>
      </c>
      <c r="P232" s="209">
        <f t="shared" si="169"/>
        <v>34.008968177764046</v>
      </c>
      <c r="Q232" s="718">
        <f t="shared" si="169"/>
        <v>35.877382767248641</v>
      </c>
    </row>
    <row r="233" spans="1:27" x14ac:dyDescent="0.2">
      <c r="A233" s="715" t="s">
        <v>114</v>
      </c>
      <c r="B233" s="744"/>
      <c r="C233" s="700">
        <f>C90</f>
        <v>24.446511290251401</v>
      </c>
      <c r="D233" s="708">
        <f>D90</f>
        <v>27.541999999999998</v>
      </c>
      <c r="E233" s="689">
        <f>E90</f>
        <v>44.936316120000001</v>
      </c>
      <c r="F233" s="689">
        <f>F90</f>
        <v>100.7359953</v>
      </c>
      <c r="G233" s="699">
        <f>G90</f>
        <v>88.960967240000002</v>
      </c>
      <c r="H233" s="689">
        <v>34.941625689315515</v>
      </c>
      <c r="I233" s="689">
        <f>I222/0.85*0.15</f>
        <v>15.17306620249175</v>
      </c>
      <c r="J233" s="689">
        <v>15.547594985068104</v>
      </c>
      <c r="K233" s="699">
        <v>15.945338501670385</v>
      </c>
      <c r="M233" s="715"/>
      <c r="N233" s="716">
        <f t="shared" si="169"/>
        <v>34.941625689315515</v>
      </c>
      <c r="O233" s="717">
        <f t="shared" si="169"/>
        <v>15.17306620249175</v>
      </c>
      <c r="P233" s="209">
        <f t="shared" si="169"/>
        <v>15.547594985068104</v>
      </c>
      <c r="Q233" s="718">
        <f t="shared" si="169"/>
        <v>15.945338501670385</v>
      </c>
    </row>
    <row r="234" spans="1:27" x14ac:dyDescent="0.2">
      <c r="A234" s="715" t="s">
        <v>115</v>
      </c>
      <c r="B234" s="744"/>
      <c r="C234" s="700">
        <f>C118</f>
        <v>21.81691648</v>
      </c>
      <c r="D234" s="708">
        <f>D118</f>
        <v>24.878</v>
      </c>
      <c r="E234" s="689">
        <f>E118</f>
        <v>9.9791910000000001</v>
      </c>
      <c r="F234" s="689">
        <f>F118</f>
        <v>26.704996000000001</v>
      </c>
      <c r="G234" s="699">
        <f>G118</f>
        <v>26.886559999999999</v>
      </c>
      <c r="H234" s="689">
        <v>22.471020282024256</v>
      </c>
      <c r="I234" s="689">
        <f>H234*I228/H228</f>
        <v>23.783114659373449</v>
      </c>
      <c r="J234" s="689">
        <f t="shared" ref="J234:K234" si="170">I234*J228/I228</f>
        <v>25.178039894133832</v>
      </c>
      <c r="K234" s="699">
        <f t="shared" si="170"/>
        <v>26.561293182705597</v>
      </c>
      <c r="M234" s="715"/>
      <c r="N234" s="716">
        <f t="shared" si="169"/>
        <v>22.471020282024256</v>
      </c>
      <c r="O234" s="717">
        <f t="shared" si="169"/>
        <v>23.783114659373449</v>
      </c>
      <c r="P234" s="209">
        <f t="shared" si="169"/>
        <v>25.178039894133832</v>
      </c>
      <c r="Q234" s="718">
        <f t="shared" si="169"/>
        <v>26.561293182705597</v>
      </c>
    </row>
    <row r="235" spans="1:27" x14ac:dyDescent="0.2">
      <c r="A235" s="715" t="s">
        <v>661</v>
      </c>
      <c r="B235" s="744"/>
      <c r="C235" s="700">
        <f>C133</f>
        <v>47.987253529999997</v>
      </c>
      <c r="D235" s="708">
        <f>D133</f>
        <v>55.567</v>
      </c>
      <c r="E235" s="689">
        <f>E133</f>
        <v>105.669511</v>
      </c>
      <c r="F235" s="689">
        <f>F133</f>
        <v>112.695922</v>
      </c>
      <c r="G235" s="699">
        <f>G133</f>
        <v>4.9869149999999998</v>
      </c>
      <c r="H235" s="689">
        <v>58.741761826342554</v>
      </c>
      <c r="I235" s="689">
        <f>H235*I228/H228+22.477</f>
        <v>84.648723369725857</v>
      </c>
      <c r="J235" s="689">
        <f>I235*J228/I228-0.765</f>
        <v>88.84853315220505</v>
      </c>
      <c r="K235" s="699">
        <f>J235*K228/J228+34.258</f>
        <v>127.98777196921876</v>
      </c>
      <c r="M235" s="715"/>
      <c r="N235" s="716">
        <f t="shared" si="169"/>
        <v>58.741761826342554</v>
      </c>
      <c r="O235" s="717">
        <f t="shared" si="169"/>
        <v>84.648723369725857</v>
      </c>
      <c r="P235" s="209">
        <f t="shared" si="169"/>
        <v>88.84853315220505</v>
      </c>
      <c r="Q235" s="718">
        <f t="shared" si="169"/>
        <v>127.98777196921876</v>
      </c>
    </row>
    <row r="236" spans="1:27" x14ac:dyDescent="0.2">
      <c r="A236" s="715" t="s">
        <v>657</v>
      </c>
      <c r="B236" s="744"/>
      <c r="C236" s="700">
        <f>C142</f>
        <v>78.553672372799994</v>
      </c>
      <c r="D236" s="708">
        <f>D142</f>
        <v>77.791000000000011</v>
      </c>
      <c r="E236" s="689">
        <f>E142</f>
        <v>5.0579998799999997</v>
      </c>
      <c r="F236" s="689">
        <f>F142</f>
        <v>47.636831699999995</v>
      </c>
      <c r="G236" s="699">
        <f>G142</f>
        <v>53.176998759999996</v>
      </c>
      <c r="H236" s="689">
        <v>114.4683457048518</v>
      </c>
      <c r="I236" s="689">
        <f>H236*I225/H225</f>
        <v>155.61844694720344</v>
      </c>
      <c r="J236" s="689">
        <f t="shared" ref="J236" si="171">I236*J225/I225</f>
        <v>144.41619241801442</v>
      </c>
      <c r="K236" s="699">
        <f>J236*K225/J225-5</f>
        <v>146.82812532758854</v>
      </c>
      <c r="M236" s="715"/>
      <c r="N236" s="716">
        <f t="shared" si="169"/>
        <v>114.4683457048518</v>
      </c>
      <c r="O236" s="717">
        <f t="shared" si="169"/>
        <v>155.61844694720344</v>
      </c>
      <c r="P236" s="209">
        <f t="shared" si="169"/>
        <v>144.41619241801442</v>
      </c>
      <c r="Q236" s="718">
        <f t="shared" si="169"/>
        <v>146.82812532758854</v>
      </c>
    </row>
    <row r="237" spans="1:27" x14ac:dyDescent="0.2">
      <c r="A237" s="715" t="s">
        <v>662</v>
      </c>
      <c r="B237" s="744"/>
      <c r="C237" s="700">
        <f>C161</f>
        <v>25.353318269999999</v>
      </c>
      <c r="D237" s="708">
        <f>D161</f>
        <v>14.908000000000001</v>
      </c>
      <c r="E237" s="689">
        <f>E161</f>
        <v>47.469028000000002</v>
      </c>
      <c r="F237" s="689">
        <f>F161</f>
        <v>61.245569000000003</v>
      </c>
      <c r="G237" s="699">
        <f>G161</f>
        <v>63.135705999999999</v>
      </c>
      <c r="H237" s="689">
        <v>35.975802724710434</v>
      </c>
      <c r="I237" s="689">
        <f>I229/0.85*0.15</f>
        <v>124.37805664382836</v>
      </c>
      <c r="J237" s="689">
        <f t="shared" ref="J237" si="172">J229/0.85*0.15</f>
        <v>166.12561402248593</v>
      </c>
      <c r="K237" s="699">
        <f>K229/0.85*0.15-10</f>
        <v>153.89810302047238</v>
      </c>
      <c r="M237" s="715"/>
      <c r="N237" s="716">
        <f t="shared" si="169"/>
        <v>35.975802724710434</v>
      </c>
      <c r="O237" s="717">
        <f t="shared" si="169"/>
        <v>124.37805664382836</v>
      </c>
      <c r="P237" s="209">
        <f t="shared" si="169"/>
        <v>166.12561402248593</v>
      </c>
      <c r="Q237" s="718">
        <f t="shared" si="169"/>
        <v>153.89810302047238</v>
      </c>
    </row>
    <row r="238" spans="1:27" x14ac:dyDescent="0.2">
      <c r="A238" s="720" t="s">
        <v>663</v>
      </c>
      <c r="B238" s="749"/>
      <c r="C238" s="722">
        <f>C174</f>
        <v>1.482613E-2</v>
      </c>
      <c r="D238" s="723">
        <f>D174</f>
        <v>0.159</v>
      </c>
      <c r="E238" s="724">
        <f>E174</f>
        <v>21.985369000000002</v>
      </c>
      <c r="F238" s="724">
        <f>F174</f>
        <v>109.216635</v>
      </c>
      <c r="G238" s="725">
        <f>G174</f>
        <v>116.856117</v>
      </c>
      <c r="H238" s="723">
        <f>15.6832488979848-0.062</f>
        <v>15.621248897984801</v>
      </c>
      <c r="I238" s="724">
        <v>5.0632488979847983</v>
      </c>
      <c r="J238" s="724">
        <v>3.0152488979847982</v>
      </c>
      <c r="K238" s="725">
        <v>2.8662488979847982</v>
      </c>
      <c r="M238" s="720"/>
      <c r="N238" s="768">
        <f t="shared" si="169"/>
        <v>15.621248897984801</v>
      </c>
      <c r="O238" s="769">
        <f t="shared" si="169"/>
        <v>5.0632488979847983</v>
      </c>
      <c r="P238" s="203">
        <f t="shared" si="169"/>
        <v>3.0152488979847982</v>
      </c>
      <c r="Q238" s="770">
        <f t="shared" si="169"/>
        <v>2.8662488979847982</v>
      </c>
    </row>
    <row r="239" spans="1:27" x14ac:dyDescent="0.2">
      <c r="H239" s="690"/>
      <c r="I239" s="690"/>
      <c r="J239" s="690"/>
      <c r="K239" s="690"/>
      <c r="N239" s="213"/>
      <c r="O239" s="213"/>
      <c r="P239" s="213"/>
      <c r="Q239" s="213"/>
      <c r="R239" s="213"/>
    </row>
    <row r="240" spans="1:27" x14ac:dyDescent="0.2">
      <c r="A240" s="1625"/>
      <c r="B240" s="1625"/>
      <c r="C240" s="692"/>
      <c r="D240" s="1623" t="s">
        <v>664</v>
      </c>
      <c r="E240" s="1623"/>
      <c r="F240" s="1623"/>
      <c r="G240" s="1624"/>
      <c r="H240" s="1623" t="s">
        <v>207</v>
      </c>
      <c r="I240" s="1623"/>
      <c r="J240" s="1623"/>
      <c r="K240" s="1623"/>
      <c r="M240" s="1623" t="s">
        <v>526</v>
      </c>
      <c r="N240" s="1623"/>
      <c r="O240" s="1623"/>
      <c r="P240" s="1623"/>
      <c r="Q240" s="1624"/>
      <c r="R240" s="1625" t="s">
        <v>527</v>
      </c>
      <c r="S240" s="1625"/>
      <c r="T240" s="1625"/>
      <c r="U240" s="585"/>
      <c r="W240" s="1623" t="s">
        <v>665</v>
      </c>
      <c r="X240" s="1623"/>
      <c r="Y240" s="1623"/>
      <c r="Z240" s="1623"/>
    </row>
    <row r="241" spans="1:26" ht="12.75" customHeight="1" x14ac:dyDescent="0.2">
      <c r="A241" s="586" t="s">
        <v>380</v>
      </c>
      <c r="B241" s="1621" t="s">
        <v>530</v>
      </c>
      <c r="C241" s="1626" t="str">
        <f t="shared" ref="C241:K241" si="173">C2</f>
        <v>2017S</v>
      </c>
      <c r="D241" s="1627" t="str">
        <f t="shared" si="173"/>
        <v>2018 OS</v>
      </c>
      <c r="E241" s="1629" t="str">
        <f t="shared" si="173"/>
        <v>2019 N</v>
      </c>
      <c r="F241" s="1629" t="str">
        <f t="shared" si="173"/>
        <v>2020 N</v>
      </c>
      <c r="G241" s="1629" t="str">
        <f t="shared" si="173"/>
        <v>2021 N</v>
      </c>
      <c r="H241" s="1629" t="str">
        <f t="shared" si="173"/>
        <v>2018 O</v>
      </c>
      <c r="I241" s="1629" t="str">
        <f t="shared" si="173"/>
        <v>2019 O</v>
      </c>
      <c r="J241" s="1629" t="str">
        <f t="shared" si="173"/>
        <v>2020 O</v>
      </c>
      <c r="K241" s="1629" t="str">
        <f t="shared" si="173"/>
        <v>2021 O</v>
      </c>
      <c r="M241" s="588" t="str">
        <f t="shared" ref="M241:U241" si="174">M2</f>
        <v>2018 úpravy</v>
      </c>
      <c r="N241" s="1632" t="str">
        <f t="shared" si="174"/>
        <v>2018 OS báza</v>
      </c>
      <c r="O241" s="1627" t="str">
        <f t="shared" si="174"/>
        <v>2019 NPC</v>
      </c>
      <c r="P241" s="1629" t="str">
        <f t="shared" si="174"/>
        <v>2020 NPC</v>
      </c>
      <c r="Q241" s="1637" t="str">
        <f t="shared" si="174"/>
        <v>2021 NPC</v>
      </c>
      <c r="R241" s="1627">
        <f t="shared" si="174"/>
        <v>2019</v>
      </c>
      <c r="S241" s="1629">
        <f t="shared" si="174"/>
        <v>2020</v>
      </c>
      <c r="T241" s="1637">
        <f t="shared" si="174"/>
        <v>2021</v>
      </c>
      <c r="U241" s="1640" t="str">
        <f t="shared" si="174"/>
        <v>2019 NPC - 2018 OS bez OO</v>
      </c>
      <c r="W241" s="1630" t="str">
        <f>O241</f>
        <v>2019 NPC</v>
      </c>
      <c r="X241" s="1631" t="str">
        <f>X2</f>
        <v>2019 N (upr)</v>
      </c>
      <c r="Y241" s="1630" t="s">
        <v>537</v>
      </c>
      <c r="Z241" s="1633" t="s">
        <v>538</v>
      </c>
    </row>
    <row r="242" spans="1:26" x14ac:dyDescent="0.2">
      <c r="A242" s="586"/>
      <c r="B242" s="1621"/>
      <c r="C242" s="1626"/>
      <c r="D242" s="1628"/>
      <c r="E242" s="1621"/>
      <c r="F242" s="1621"/>
      <c r="G242" s="1621"/>
      <c r="H242" s="1621"/>
      <c r="I242" s="1621"/>
      <c r="J242" s="1621"/>
      <c r="K242" s="1621"/>
      <c r="M242" s="591" t="s">
        <v>539</v>
      </c>
      <c r="N242" s="1632"/>
      <c r="O242" s="1628"/>
      <c r="P242" s="1621"/>
      <c r="Q242" s="1622"/>
      <c r="R242" s="1635"/>
      <c r="S242" s="1636"/>
      <c r="T242" s="1638"/>
      <c r="U242" s="1641"/>
      <c r="W242" s="1630"/>
      <c r="X242" s="1632"/>
      <c r="Y242" s="1630"/>
      <c r="Z242" s="1634"/>
    </row>
    <row r="243" spans="1:26" x14ac:dyDescent="0.2">
      <c r="A243" s="592" t="s">
        <v>540</v>
      </c>
      <c r="B243" s="593" t="s">
        <v>393</v>
      </c>
      <c r="C243" s="771">
        <f t="shared" ref="C243:K243" si="175">C4/C$193*100</f>
        <v>39.414915160449617</v>
      </c>
      <c r="D243" s="772">
        <f t="shared" si="175"/>
        <v>39.118606820864969</v>
      </c>
      <c r="E243" s="772">
        <f t="shared" si="175"/>
        <v>38.353990694640544</v>
      </c>
      <c r="F243" s="772">
        <f t="shared" si="175"/>
        <v>38.516622960288252</v>
      </c>
      <c r="G243" s="601">
        <f t="shared" si="175"/>
        <v>37.591041328636834</v>
      </c>
      <c r="H243" s="772">
        <f t="shared" si="175"/>
        <v>39.612629505159809</v>
      </c>
      <c r="I243" s="772">
        <f t="shared" si="175"/>
        <v>39.062067750083166</v>
      </c>
      <c r="J243" s="772">
        <f t="shared" si="175"/>
        <v>38.439637343364211</v>
      </c>
      <c r="K243" s="601">
        <f t="shared" si="175"/>
        <v>37.767375117985594</v>
      </c>
      <c r="L243" s="601"/>
      <c r="M243" s="771">
        <f t="shared" ref="M243:Q252" si="176">M4/M$193*100</f>
        <v>-0.20702812804273266</v>
      </c>
      <c r="N243" s="771">
        <f t="shared" si="176"/>
        <v>39.356894577867422</v>
      </c>
      <c r="O243" s="772">
        <f t="shared" si="176"/>
        <v>39.159052043991707</v>
      </c>
      <c r="P243" s="772">
        <f t="shared" si="176"/>
        <v>38.796655997397082</v>
      </c>
      <c r="Q243" s="601">
        <f t="shared" si="176"/>
        <v>38.258111295107952</v>
      </c>
      <c r="R243" s="860">
        <f t="shared" ref="R243:T243" si="177">R244+R263+R273+R274+R282+R304+R292</f>
        <v>-9.6984044780090248E-2</v>
      </c>
      <c r="S243" s="772">
        <f t="shared" si="177"/>
        <v>-0.35701801244453946</v>
      </c>
      <c r="T243" s="772">
        <f t="shared" si="177"/>
        <v>-0.49073641726858219</v>
      </c>
      <c r="U243" s="773"/>
      <c r="V243" s="472"/>
      <c r="W243" s="774">
        <f t="shared" ref="W243:X262" si="178">W4/W$193*100</f>
        <v>39.159052043991707</v>
      </c>
      <c r="X243" s="601">
        <f t="shared" si="178"/>
        <v>38.480931274286633</v>
      </c>
      <c r="Y243" s="772"/>
      <c r="Z243" s="601"/>
    </row>
    <row r="244" spans="1:26" x14ac:dyDescent="0.2">
      <c r="A244" s="602" t="s">
        <v>396</v>
      </c>
      <c r="B244" s="603" t="s">
        <v>541</v>
      </c>
      <c r="C244" s="776">
        <f t="shared" ref="C244:K244" si="179">C5/C$193*100</f>
        <v>10.902539436423483</v>
      </c>
      <c r="D244" s="145">
        <f t="shared" si="179"/>
        <v>11.07672036045437</v>
      </c>
      <c r="E244" s="145">
        <f t="shared" si="179"/>
        <v>11.00837441067433</v>
      </c>
      <c r="F244" s="145">
        <f t="shared" si="179"/>
        <v>10.861895596994241</v>
      </c>
      <c r="G244" s="775">
        <f t="shared" si="179"/>
        <v>10.523714479985431</v>
      </c>
      <c r="H244" s="145">
        <f t="shared" si="179"/>
        <v>10.81642188854782</v>
      </c>
      <c r="I244" s="145">
        <f t="shared" si="179"/>
        <v>10.760848688545495</v>
      </c>
      <c r="J244" s="145">
        <f t="shared" si="179"/>
        <v>10.53850529017623</v>
      </c>
      <c r="K244" s="775">
        <f t="shared" si="179"/>
        <v>10.186525557341907</v>
      </c>
      <c r="L244" s="145"/>
      <c r="M244" s="776">
        <f t="shared" si="176"/>
        <v>0</v>
      </c>
      <c r="N244" s="776">
        <f t="shared" si="176"/>
        <v>10.803122259209749</v>
      </c>
      <c r="O244" s="145">
        <f t="shared" si="176"/>
        <v>10.657453390985525</v>
      </c>
      <c r="P244" s="145">
        <f t="shared" si="176"/>
        <v>10.454098741934873</v>
      </c>
      <c r="Q244" s="775">
        <f t="shared" si="176"/>
        <v>10.124213948964563</v>
      </c>
      <c r="R244" s="861">
        <f t="shared" ref="R244:T244" si="180">SUM(R245:R262)</f>
        <v>0.10339529755997051</v>
      </c>
      <c r="S244" s="862">
        <f t="shared" si="180"/>
        <v>8.4406548241358292E-2</v>
      </c>
      <c r="T244" s="862">
        <f t="shared" si="180"/>
        <v>6.2311608377342814E-2</v>
      </c>
      <c r="U244" s="776"/>
      <c r="V244" s="145"/>
      <c r="W244" s="777">
        <f t="shared" si="178"/>
        <v>10.657453390985525</v>
      </c>
      <c r="X244" s="775">
        <f t="shared" si="178"/>
        <v>10.907953006696228</v>
      </c>
      <c r="Y244" s="145"/>
      <c r="Z244" s="775"/>
    </row>
    <row r="245" spans="1:26" x14ac:dyDescent="0.2">
      <c r="A245" s="137" t="s">
        <v>476</v>
      </c>
      <c r="B245" s="614"/>
      <c r="C245" s="779">
        <f t="shared" ref="C245:K245" si="181">C6/C$193*100</f>
        <v>6.9729264073343549</v>
      </c>
      <c r="D245" s="155">
        <f t="shared" si="181"/>
        <v>7.0188573083538568</v>
      </c>
      <c r="E245" s="155">
        <f t="shared" si="181"/>
        <v>6.8775275981934225</v>
      </c>
      <c r="F245" s="155">
        <f t="shared" si="181"/>
        <v>6.7992849985366606</v>
      </c>
      <c r="G245" s="778">
        <f t="shared" si="181"/>
        <v>6.7446356781965155</v>
      </c>
      <c r="H245" s="155">
        <f t="shared" si="181"/>
        <v>6.9728258786901032</v>
      </c>
      <c r="I245" s="155">
        <f t="shared" si="181"/>
        <v>6.8722785408073488</v>
      </c>
      <c r="J245" s="155">
        <f t="shared" si="181"/>
        <v>6.7869353947881672</v>
      </c>
      <c r="K245" s="778">
        <f t="shared" si="181"/>
        <v>6.7115049875048474</v>
      </c>
      <c r="L245" s="155"/>
      <c r="M245" s="779">
        <f t="shared" si="176"/>
        <v>0</v>
      </c>
      <c r="N245" s="779">
        <f t="shared" si="176"/>
        <v>6.9642522486504248</v>
      </c>
      <c r="O245" s="155">
        <f t="shared" si="176"/>
        <v>6.8519678561571542</v>
      </c>
      <c r="P245" s="155">
        <f t="shared" si="176"/>
        <v>6.7790609263897421</v>
      </c>
      <c r="Q245" s="778">
        <f t="shared" si="176"/>
        <v>6.7214117634337045</v>
      </c>
      <c r="R245" s="834">
        <f t="shared" ref="R245:R262" si="182">I245-O245</f>
        <v>2.0310684650194588E-2</v>
      </c>
      <c r="S245" s="835">
        <f t="shared" ref="S245:S262" si="183">J245-P245</f>
        <v>7.8744683984250941E-3</v>
      </c>
      <c r="T245" s="835">
        <f t="shared" ref="T245:T262" si="184">K245-Q245</f>
        <v>-9.9067759288571366E-3</v>
      </c>
      <c r="U245" s="779"/>
      <c r="V245" s="155"/>
      <c r="W245" s="780">
        <f t="shared" si="178"/>
        <v>6.8519678561571542</v>
      </c>
      <c r="X245" s="778">
        <f t="shared" si="178"/>
        <v>6.8775275981934225</v>
      </c>
      <c r="Y245" s="155"/>
      <c r="Z245" s="778"/>
    </row>
    <row r="246" spans="1:26" x14ac:dyDescent="0.2">
      <c r="A246" s="137" t="s">
        <v>478</v>
      </c>
      <c r="B246" s="614"/>
      <c r="C246" s="779">
        <f t="shared" ref="C246:K246" si="185">C7/C$193*100</f>
        <v>2.6527580214200266</v>
      </c>
      <c r="D246" s="155">
        <f t="shared" si="185"/>
        <v>2.5726911155426047</v>
      </c>
      <c r="E246" s="155">
        <f t="shared" si="185"/>
        <v>2.50429867148861</v>
      </c>
      <c r="F246" s="155">
        <f t="shared" si="185"/>
        <v>2.4192468935521947</v>
      </c>
      <c r="G246" s="778">
        <f t="shared" si="185"/>
        <v>2.3349513008257312</v>
      </c>
      <c r="H246" s="155">
        <f t="shared" si="185"/>
        <v>2.5819242471215595</v>
      </c>
      <c r="I246" s="155">
        <f t="shared" si="185"/>
        <v>2.5017774158463748</v>
      </c>
      <c r="J246" s="155">
        <f t="shared" si="185"/>
        <v>2.4011373999057173</v>
      </c>
      <c r="K246" s="778">
        <f t="shared" si="185"/>
        <v>2.3105825121101771</v>
      </c>
      <c r="L246" s="155"/>
      <c r="M246" s="779">
        <f t="shared" si="176"/>
        <v>0</v>
      </c>
      <c r="N246" s="779">
        <f t="shared" si="176"/>
        <v>2.5787495710762349</v>
      </c>
      <c r="O246" s="155">
        <f t="shared" si="176"/>
        <v>2.4979298102963718</v>
      </c>
      <c r="P246" s="155">
        <f t="shared" si="176"/>
        <v>2.4030794302667622</v>
      </c>
      <c r="Q246" s="778">
        <f t="shared" si="176"/>
        <v>2.3120377644929815</v>
      </c>
      <c r="R246" s="834">
        <f t="shared" si="182"/>
        <v>3.8476055500029638E-3</v>
      </c>
      <c r="S246" s="835">
        <f t="shared" si="183"/>
        <v>-1.9420303610448997E-3</v>
      </c>
      <c r="T246" s="835">
        <f t="shared" si="184"/>
        <v>-1.4552523828044173E-3</v>
      </c>
      <c r="U246" s="779"/>
      <c r="V246" s="155"/>
      <c r="W246" s="780">
        <f t="shared" si="178"/>
        <v>2.4979298102963718</v>
      </c>
      <c r="X246" s="778">
        <f t="shared" si="178"/>
        <v>2.50429867148861</v>
      </c>
      <c r="Y246" s="155"/>
      <c r="Z246" s="778"/>
    </row>
    <row r="247" spans="1:26" x14ac:dyDescent="0.2">
      <c r="A247" s="137" t="s">
        <v>480</v>
      </c>
      <c r="B247" s="614"/>
      <c r="C247" s="779">
        <f t="shared" ref="C247:K247" si="186">C8/C$193*100</f>
        <v>0.27470808327525303</v>
      </c>
      <c r="D247" s="155">
        <f t="shared" si="186"/>
        <v>0.26073635141648133</v>
      </c>
      <c r="E247" s="155">
        <f t="shared" si="186"/>
        <v>0.24823919604006181</v>
      </c>
      <c r="F247" s="155">
        <f t="shared" si="186"/>
        <v>0.23791977989816704</v>
      </c>
      <c r="G247" s="778">
        <f t="shared" si="186"/>
        <v>0.22932681387608456</v>
      </c>
      <c r="H247" s="155">
        <f t="shared" si="186"/>
        <v>0.26112535998193787</v>
      </c>
      <c r="I247" s="155">
        <f t="shared" si="186"/>
        <v>0.24860960850141048</v>
      </c>
      <c r="J247" s="155">
        <f t="shared" si="186"/>
        <v>0.23827462653323067</v>
      </c>
      <c r="K247" s="778">
        <f t="shared" si="186"/>
        <v>0.22966896425842487</v>
      </c>
      <c r="L247" s="155"/>
      <c r="M247" s="779">
        <f t="shared" si="176"/>
        <v>0</v>
      </c>
      <c r="N247" s="779">
        <f t="shared" si="176"/>
        <v>0.26080428610609291</v>
      </c>
      <c r="O247" s="155">
        <f t="shared" si="176"/>
        <v>0.24915365170221962</v>
      </c>
      <c r="P247" s="155">
        <f t="shared" si="176"/>
        <v>0.23956985543072246</v>
      </c>
      <c r="Q247" s="778">
        <f t="shared" si="176"/>
        <v>0.2305819482721147</v>
      </c>
      <c r="R247" s="834">
        <f t="shared" si="182"/>
        <v>-5.4404320080914115E-4</v>
      </c>
      <c r="S247" s="835">
        <f t="shared" si="183"/>
        <v>-1.2952288974917847E-3</v>
      </c>
      <c r="T247" s="835">
        <f t="shared" si="184"/>
        <v>-9.1298401368983262E-4</v>
      </c>
      <c r="U247" s="779"/>
      <c r="V247" s="155"/>
      <c r="W247" s="780">
        <f t="shared" si="178"/>
        <v>0.24915365170221962</v>
      </c>
      <c r="X247" s="778">
        <f t="shared" si="178"/>
        <v>0.24823919604006181</v>
      </c>
      <c r="Y247" s="155"/>
      <c r="Z247" s="778"/>
    </row>
    <row r="248" spans="1:26" x14ac:dyDescent="0.2">
      <c r="A248" s="137" t="s">
        <v>482</v>
      </c>
      <c r="B248" s="614"/>
      <c r="C248" s="779">
        <f t="shared" ref="C248:K248" si="187">C9/C$193*100</f>
        <v>0.17666759684761763</v>
      </c>
      <c r="D248" s="155">
        <f t="shared" si="187"/>
        <v>0.17638807210856078</v>
      </c>
      <c r="E248" s="155">
        <f t="shared" si="187"/>
        <v>0.17638796000429352</v>
      </c>
      <c r="F248" s="155">
        <f t="shared" si="187"/>
        <v>0.17638770174224672</v>
      </c>
      <c r="G248" s="778">
        <f t="shared" si="187"/>
        <v>0.17638774115082514</v>
      </c>
      <c r="H248" s="155">
        <f t="shared" si="187"/>
        <v>0.17047817096325138</v>
      </c>
      <c r="I248" s="155">
        <f t="shared" si="187"/>
        <v>0.16858484188411446</v>
      </c>
      <c r="J248" s="155">
        <f t="shared" si="187"/>
        <v>0.1685844764580253</v>
      </c>
      <c r="K248" s="778">
        <f t="shared" si="187"/>
        <v>0.16858460203763834</v>
      </c>
      <c r="L248" s="155"/>
      <c r="M248" s="779">
        <f t="shared" si="176"/>
        <v>0</v>
      </c>
      <c r="N248" s="779">
        <f t="shared" si="176"/>
        <v>0.1702685548344238</v>
      </c>
      <c r="O248" s="155">
        <f t="shared" si="176"/>
        <v>0.16837755730089943</v>
      </c>
      <c r="P248" s="155">
        <f t="shared" si="176"/>
        <v>0.16837720753648033</v>
      </c>
      <c r="Q248" s="778">
        <f t="shared" si="176"/>
        <v>0.16837733388097412</v>
      </c>
      <c r="R248" s="834">
        <f t="shared" si="182"/>
        <v>2.0728458321503385E-4</v>
      </c>
      <c r="S248" s="835">
        <f t="shared" si="183"/>
        <v>2.072689215449619E-4</v>
      </c>
      <c r="T248" s="835">
        <f t="shared" si="184"/>
        <v>2.0726815666421983E-4</v>
      </c>
      <c r="U248" s="779"/>
      <c r="V248" s="155"/>
      <c r="W248" s="780">
        <f t="shared" si="178"/>
        <v>0.16837755730089943</v>
      </c>
      <c r="X248" s="778">
        <f t="shared" si="178"/>
        <v>0.17638796000429352</v>
      </c>
      <c r="Y248" s="155"/>
      <c r="Z248" s="778"/>
    </row>
    <row r="249" spans="1:26" x14ac:dyDescent="0.2">
      <c r="A249" s="137" t="s">
        <v>483</v>
      </c>
      <c r="B249" s="614"/>
      <c r="C249" s="779">
        <f t="shared" ref="C249:K249" si="188">C10/C$193*100</f>
        <v>1.4316093572589483E-2</v>
      </c>
      <c r="D249" s="155">
        <f t="shared" si="188"/>
        <v>1.3671742004518945E-2</v>
      </c>
      <c r="E249" s="155">
        <f t="shared" si="188"/>
        <v>1.2764886923781924E-2</v>
      </c>
      <c r="F249" s="155">
        <f t="shared" si="188"/>
        <v>1.1985771684081381E-2</v>
      </c>
      <c r="G249" s="778">
        <f t="shared" si="188"/>
        <v>1.1318405569908003E-2</v>
      </c>
      <c r="H249" s="155">
        <f t="shared" si="188"/>
        <v>1.3762283967685821E-2</v>
      </c>
      <c r="I249" s="155">
        <f t="shared" si="188"/>
        <v>1.2849425723988134E-2</v>
      </c>
      <c r="J249" s="155">
        <f t="shared" si="188"/>
        <v>1.2065142102854597E-2</v>
      </c>
      <c r="K249" s="778">
        <f t="shared" si="188"/>
        <v>1.1393362596185371E-2</v>
      </c>
      <c r="L249" s="155"/>
      <c r="M249" s="779">
        <f t="shared" si="176"/>
        <v>0</v>
      </c>
      <c r="N249" s="779">
        <f t="shared" si="176"/>
        <v>1.3745362172520889E-2</v>
      </c>
      <c r="O249" s="155">
        <f t="shared" si="176"/>
        <v>1.2877544680216645E-2</v>
      </c>
      <c r="P249" s="155">
        <f t="shared" si="176"/>
        <v>1.2124305524568372E-2</v>
      </c>
      <c r="Q249" s="778">
        <f t="shared" si="176"/>
        <v>1.1444284031592797E-2</v>
      </c>
      <c r="R249" s="834">
        <f t="shared" si="182"/>
        <v>-2.8118956228510156E-5</v>
      </c>
      <c r="S249" s="835">
        <f t="shared" si="183"/>
        <v>-5.9163421713774242E-5</v>
      </c>
      <c r="T249" s="835">
        <f t="shared" si="184"/>
        <v>-5.0921435407426038E-5</v>
      </c>
      <c r="U249" s="779"/>
      <c r="V249" s="155"/>
      <c r="W249" s="780">
        <f t="shared" si="178"/>
        <v>1.2877544680216645E-2</v>
      </c>
      <c r="X249" s="778">
        <f t="shared" si="178"/>
        <v>1.2764886923781924E-2</v>
      </c>
      <c r="Y249" s="155"/>
      <c r="Z249" s="778"/>
    </row>
    <row r="250" spans="1:26" x14ac:dyDescent="0.2">
      <c r="A250" s="137" t="s">
        <v>542</v>
      </c>
      <c r="B250" s="614"/>
      <c r="C250" s="779">
        <f t="shared" ref="C250:K250" si="189">C11/C$193*100</f>
        <v>0.15000893817546299</v>
      </c>
      <c r="D250" s="155">
        <f t="shared" si="189"/>
        <v>0.14836022444386471</v>
      </c>
      <c r="E250" s="155">
        <f t="shared" si="189"/>
        <v>0.14766788040920464</v>
      </c>
      <c r="F250" s="155">
        <f t="shared" si="189"/>
        <v>0.1476093289374989</v>
      </c>
      <c r="G250" s="778">
        <f t="shared" si="189"/>
        <v>0</v>
      </c>
      <c r="H250" s="155">
        <f t="shared" si="189"/>
        <v>0.14886087709183257</v>
      </c>
      <c r="I250" s="155">
        <f t="shared" si="189"/>
        <v>0.14778824562174803</v>
      </c>
      <c r="J250" s="155">
        <f t="shared" si="189"/>
        <v>0.14772999146115731</v>
      </c>
      <c r="K250" s="778">
        <f t="shared" si="189"/>
        <v>0</v>
      </c>
      <c r="L250" s="155"/>
      <c r="M250" s="779">
        <f t="shared" si="176"/>
        <v>0</v>
      </c>
      <c r="N250" s="779">
        <f t="shared" si="176"/>
        <v>0.14867784110186644</v>
      </c>
      <c r="O250" s="155">
        <f t="shared" si="176"/>
        <v>0.14729803926043331</v>
      </c>
      <c r="P250" s="155">
        <f t="shared" si="176"/>
        <v>0.14692520390385844</v>
      </c>
      <c r="Q250" s="778">
        <f t="shared" si="176"/>
        <v>0</v>
      </c>
      <c r="R250" s="834">
        <f t="shared" si="182"/>
        <v>4.9020636131472117E-4</v>
      </c>
      <c r="S250" s="835">
        <f t="shared" si="183"/>
        <v>8.0478755729887497E-4</v>
      </c>
      <c r="T250" s="835">
        <f t="shared" si="184"/>
        <v>0</v>
      </c>
      <c r="U250" s="779"/>
      <c r="V250" s="155"/>
      <c r="W250" s="780">
        <f t="shared" si="178"/>
        <v>0.14729803926043331</v>
      </c>
      <c r="X250" s="778">
        <f t="shared" si="178"/>
        <v>0.14766788040920464</v>
      </c>
      <c r="Y250" s="155"/>
      <c r="Z250" s="778"/>
    </row>
    <row r="251" spans="1:26" x14ac:dyDescent="0.2">
      <c r="A251" s="137" t="s">
        <v>543</v>
      </c>
      <c r="B251" s="614"/>
      <c r="C251" s="779">
        <f t="shared" ref="C251:K251" si="190">C12/C$193*100</f>
        <v>0.24534522450528912</v>
      </c>
      <c r="D251" s="155">
        <f t="shared" si="190"/>
        <v>0.23213756693299842</v>
      </c>
      <c r="E251" s="155">
        <f t="shared" si="190"/>
        <v>0.21673973892150306</v>
      </c>
      <c r="F251" s="155">
        <f t="shared" si="190"/>
        <v>0.24712032143085574</v>
      </c>
      <c r="G251" s="778">
        <f t="shared" si="190"/>
        <v>0.24800293576906995</v>
      </c>
      <c r="H251" s="155">
        <f t="shared" si="190"/>
        <v>0.24951000923854305</v>
      </c>
      <c r="I251" s="155">
        <f t="shared" si="190"/>
        <v>0.2499041849062795</v>
      </c>
      <c r="J251" s="155">
        <f t="shared" si="190"/>
        <v>0.25171819277736746</v>
      </c>
      <c r="K251" s="778">
        <f t="shared" si="190"/>
        <v>0.25499192986245028</v>
      </c>
      <c r="L251" s="155"/>
      <c r="M251" s="779">
        <f t="shared" si="176"/>
        <v>0</v>
      </c>
      <c r="N251" s="779">
        <f t="shared" si="176"/>
        <v>0.24920321733700629</v>
      </c>
      <c r="O251" s="155">
        <f t="shared" si="176"/>
        <v>0.24858627885843831</v>
      </c>
      <c r="P251" s="155">
        <f t="shared" si="176"/>
        <v>0.25002635703691839</v>
      </c>
      <c r="Q251" s="778">
        <f t="shared" si="176"/>
        <v>0.2533695337590543</v>
      </c>
      <c r="R251" s="834">
        <f t="shared" si="182"/>
        <v>1.317906047841183E-3</v>
      </c>
      <c r="S251" s="835">
        <f t="shared" si="183"/>
        <v>1.6918357404490658E-3</v>
      </c>
      <c r="T251" s="835">
        <f t="shared" si="184"/>
        <v>1.6223961033959844E-3</v>
      </c>
      <c r="U251" s="779"/>
      <c r="V251" s="155"/>
      <c r="W251" s="780">
        <f t="shared" si="178"/>
        <v>0.24858627885843831</v>
      </c>
      <c r="X251" s="778">
        <f t="shared" si="178"/>
        <v>0.26742587500928888</v>
      </c>
      <c r="Y251" s="155"/>
      <c r="Z251" s="778"/>
    </row>
    <row r="252" spans="1:26" x14ac:dyDescent="0.2">
      <c r="A252" s="137" t="s">
        <v>487</v>
      </c>
      <c r="B252" s="614"/>
      <c r="C252" s="779">
        <f t="shared" ref="C252:K252" si="191">C13/C$193*100</f>
        <v>4.4581715061886108E-2</v>
      </c>
      <c r="D252" s="155">
        <f t="shared" si="191"/>
        <v>4.6583377181540417E-2</v>
      </c>
      <c r="E252" s="155">
        <f t="shared" si="191"/>
        <v>4.6801827177924755E-2</v>
      </c>
      <c r="F252" s="155">
        <f t="shared" si="191"/>
        <v>4.6650769397007026E-2</v>
      </c>
      <c r="G252" s="778">
        <f t="shared" si="191"/>
        <v>4.6598860550054043E-2</v>
      </c>
      <c r="H252" s="155">
        <f t="shared" si="191"/>
        <v>2.8768622864204681E-2</v>
      </c>
      <c r="I252" s="155">
        <f t="shared" si="191"/>
        <v>4.2753974871536378E-2</v>
      </c>
      <c r="J252" s="155">
        <f t="shared" si="191"/>
        <v>3.9292757888855584E-2</v>
      </c>
      <c r="K252" s="778">
        <f t="shared" si="191"/>
        <v>3.7279989180256906E-2</v>
      </c>
      <c r="L252" s="155"/>
      <c r="M252" s="779">
        <f t="shared" si="176"/>
        <v>0</v>
      </c>
      <c r="N252" s="779">
        <f t="shared" si="176"/>
        <v>2.8733249611884906E-2</v>
      </c>
      <c r="O252" s="155">
        <f t="shared" si="176"/>
        <v>4.2847535251107516E-2</v>
      </c>
      <c r="P252" s="155">
        <f t="shared" si="176"/>
        <v>3.9485436432171332E-2</v>
      </c>
      <c r="Q252" s="778">
        <f t="shared" si="176"/>
        <v>3.7446608169603171E-2</v>
      </c>
      <c r="R252" s="834">
        <f t="shared" si="182"/>
        <v>-9.3560379571137886E-5</v>
      </c>
      <c r="S252" s="835">
        <f t="shared" si="183"/>
        <v>-1.9267854331574824E-4</v>
      </c>
      <c r="T252" s="835">
        <f t="shared" si="184"/>
        <v>-1.6661898934626496E-4</v>
      </c>
      <c r="U252" s="779"/>
      <c r="V252" s="155"/>
      <c r="W252" s="780">
        <f t="shared" si="178"/>
        <v>4.2847535251107516E-2</v>
      </c>
      <c r="X252" s="778">
        <f t="shared" si="178"/>
        <v>4.6801827177924755E-2</v>
      </c>
      <c r="Y252" s="155"/>
      <c r="Z252" s="778"/>
    </row>
    <row r="253" spans="1:26" x14ac:dyDescent="0.2">
      <c r="A253" s="137" t="s">
        <v>489</v>
      </c>
      <c r="B253" s="614"/>
      <c r="C253" s="779">
        <f t="shared" ref="C253:K253" si="192">C14/C$193*100</f>
        <v>6.7676380092443131E-2</v>
      </c>
      <c r="D253" s="155">
        <f t="shared" si="192"/>
        <v>0.18035430825215887</v>
      </c>
      <c r="E253" s="155">
        <f t="shared" si="192"/>
        <v>0.14104518507509517</v>
      </c>
      <c r="F253" s="155">
        <f t="shared" si="192"/>
        <v>0.11305439166729657</v>
      </c>
      <c r="G253" s="778">
        <f t="shared" si="192"/>
        <v>0.10675953873284227</v>
      </c>
      <c r="H253" s="155">
        <f t="shared" si="192"/>
        <v>6.7104274290970642E-2</v>
      </c>
      <c r="I253" s="155">
        <f t="shared" si="192"/>
        <v>0.12277494783273356</v>
      </c>
      <c r="J253" s="155">
        <f t="shared" si="192"/>
        <v>0.11690163115611978</v>
      </c>
      <c r="K253" s="778">
        <f t="shared" si="192"/>
        <v>0.10692853765752372</v>
      </c>
      <c r="L253" s="155"/>
      <c r="M253" s="779">
        <f t="shared" ref="M253:Q262" si="193">M14/M$193*100</f>
        <v>0</v>
      </c>
      <c r="N253" s="779">
        <f t="shared" si="193"/>
        <v>6.7021760247243656E-2</v>
      </c>
      <c r="O253" s="155">
        <f t="shared" si="193"/>
        <v>0.12304336881068219</v>
      </c>
      <c r="P253" s="155">
        <f t="shared" si="193"/>
        <v>0.11747463966205582</v>
      </c>
      <c r="Q253" s="778">
        <f t="shared" si="193"/>
        <v>0.10740644350643976</v>
      </c>
      <c r="R253" s="834">
        <f t="shared" si="182"/>
        <v>-2.6842097794863018E-4</v>
      </c>
      <c r="S253" s="835">
        <f t="shared" si="183"/>
        <v>-5.7300850593604291E-4</v>
      </c>
      <c r="T253" s="835">
        <f t="shared" si="184"/>
        <v>-4.7790584891603538E-4</v>
      </c>
      <c r="U253" s="779"/>
      <c r="V253" s="155"/>
      <c r="W253" s="780">
        <f t="shared" si="178"/>
        <v>0.12304336881068219</v>
      </c>
      <c r="X253" s="778">
        <f t="shared" si="178"/>
        <v>0.14104518507509517</v>
      </c>
      <c r="Y253" s="155"/>
      <c r="Z253" s="778"/>
    </row>
    <row r="254" spans="1:26" s="204" customFormat="1" x14ac:dyDescent="0.2">
      <c r="A254" s="622" t="s">
        <v>544</v>
      </c>
      <c r="B254" s="623"/>
      <c r="C254" s="782">
        <f t="shared" ref="C254:K254" si="194">C15/C$193*100</f>
        <v>1.122793384544277E-2</v>
      </c>
      <c r="D254" s="783">
        <f t="shared" si="194"/>
        <v>3.3770488903824302E-3</v>
      </c>
      <c r="E254" s="783">
        <f t="shared" si="194"/>
        <v>0</v>
      </c>
      <c r="F254" s="783">
        <f t="shared" si="194"/>
        <v>0</v>
      </c>
      <c r="G254" s="781">
        <f t="shared" si="194"/>
        <v>0</v>
      </c>
      <c r="H254" s="783">
        <f t="shared" si="194"/>
        <v>3.3823946601810842E-3</v>
      </c>
      <c r="I254" s="783">
        <f t="shared" si="194"/>
        <v>0</v>
      </c>
      <c r="J254" s="783">
        <f t="shared" si="194"/>
        <v>0</v>
      </c>
      <c r="K254" s="781">
        <f t="shared" si="194"/>
        <v>0</v>
      </c>
      <c r="L254" s="783"/>
      <c r="M254" s="782">
        <f t="shared" si="193"/>
        <v>0</v>
      </c>
      <c r="N254" s="782">
        <f t="shared" si="193"/>
        <v>0</v>
      </c>
      <c r="O254" s="783">
        <f t="shared" si="193"/>
        <v>0</v>
      </c>
      <c r="P254" s="783">
        <f t="shared" si="193"/>
        <v>0</v>
      </c>
      <c r="Q254" s="781">
        <f t="shared" si="193"/>
        <v>0</v>
      </c>
      <c r="R254" s="834">
        <f t="shared" si="182"/>
        <v>0</v>
      </c>
      <c r="S254" s="835">
        <f t="shared" si="183"/>
        <v>0</v>
      </c>
      <c r="T254" s="835">
        <f t="shared" si="184"/>
        <v>0</v>
      </c>
      <c r="U254" s="782"/>
      <c r="V254" s="783"/>
      <c r="W254" s="784">
        <f t="shared" si="178"/>
        <v>0</v>
      </c>
      <c r="X254" s="781">
        <f t="shared" si="178"/>
        <v>0</v>
      </c>
      <c r="Y254" s="783"/>
      <c r="Z254" s="781"/>
    </row>
    <row r="255" spans="1:26" s="204" customFormat="1" x14ac:dyDescent="0.2">
      <c r="A255" s="622" t="s">
        <v>491</v>
      </c>
      <c r="B255" s="623"/>
      <c r="C255" s="782">
        <f t="shared" ref="C255:K255" si="195">C16/C$193*100</f>
        <v>2.0665668099069903E-2</v>
      </c>
      <c r="D255" s="783">
        <f t="shared" si="195"/>
        <v>0</v>
      </c>
      <c r="E255" s="783">
        <f t="shared" si="195"/>
        <v>0</v>
      </c>
      <c r="F255" s="783">
        <f t="shared" si="195"/>
        <v>0</v>
      </c>
      <c r="G255" s="781">
        <f t="shared" si="195"/>
        <v>0</v>
      </c>
      <c r="H255" s="783">
        <f t="shared" si="195"/>
        <v>1.9414170332659679E-2</v>
      </c>
      <c r="I255" s="783">
        <f t="shared" si="195"/>
        <v>1.8126420023602544E-2</v>
      </c>
      <c r="J255" s="783">
        <f t="shared" si="195"/>
        <v>1.7020047284487937E-2</v>
      </c>
      <c r="K255" s="781">
        <f t="shared" si="195"/>
        <v>1.6072381780775798E-2</v>
      </c>
      <c r="L255" s="783"/>
      <c r="M255" s="782">
        <f t="shared" si="193"/>
        <v>0</v>
      </c>
      <c r="N255" s="782">
        <f t="shared" si="193"/>
        <v>1.9390299105003152E-2</v>
      </c>
      <c r="O255" s="783">
        <f t="shared" si="193"/>
        <v>1.8166086855581791E-2</v>
      </c>
      <c r="P255" s="783">
        <f t="shared" si="193"/>
        <v>1.7103507904055962E-2</v>
      </c>
      <c r="Q255" s="781">
        <f t="shared" si="193"/>
        <v>1.6144215600140704E-2</v>
      </c>
      <c r="R255" s="834">
        <f t="shared" si="182"/>
        <v>-3.9666831979246614E-5</v>
      </c>
      <c r="S255" s="835">
        <f t="shared" si="183"/>
        <v>-8.3460619568025834E-5</v>
      </c>
      <c r="T255" s="835">
        <f t="shared" si="184"/>
        <v>-7.1833819364906099E-5</v>
      </c>
      <c r="U255" s="782"/>
      <c r="V255" s="783"/>
      <c r="W255" s="784">
        <f t="shared" si="178"/>
        <v>1.8166086855581791E-2</v>
      </c>
      <c r="X255" s="781">
        <f t="shared" si="178"/>
        <v>1.8097768199945505E-2</v>
      </c>
      <c r="Y255" s="783"/>
      <c r="Z255" s="781"/>
    </row>
    <row r="256" spans="1:26" s="204" customFormat="1" x14ac:dyDescent="0.2">
      <c r="A256" s="622" t="s">
        <v>545</v>
      </c>
      <c r="B256" s="623"/>
      <c r="C256" s="782">
        <f t="shared" ref="C256:K256" si="196">C17/C$193*100</f>
        <v>0</v>
      </c>
      <c r="D256" s="783">
        <f t="shared" si="196"/>
        <v>0.10374227866235702</v>
      </c>
      <c r="E256" s="783">
        <f t="shared" si="196"/>
        <v>0.13524559708701792</v>
      </c>
      <c r="F256" s="783">
        <f t="shared" si="196"/>
        <v>0.12699077223646796</v>
      </c>
      <c r="G256" s="781">
        <f t="shared" si="196"/>
        <v>0.11991994355416576</v>
      </c>
      <c r="H256" s="783">
        <f t="shared" si="196"/>
        <v>0</v>
      </c>
      <c r="I256" s="783">
        <f t="shared" si="196"/>
        <v>0</v>
      </c>
      <c r="J256" s="783">
        <f t="shared" si="196"/>
        <v>0</v>
      </c>
      <c r="K256" s="781">
        <f t="shared" si="196"/>
        <v>0</v>
      </c>
      <c r="L256" s="783"/>
      <c r="M256" s="782">
        <f t="shared" si="193"/>
        <v>0</v>
      </c>
      <c r="N256" s="782">
        <f t="shared" si="193"/>
        <v>0</v>
      </c>
      <c r="O256" s="783">
        <f t="shared" si="193"/>
        <v>0</v>
      </c>
      <c r="P256" s="783">
        <f t="shared" si="193"/>
        <v>0</v>
      </c>
      <c r="Q256" s="781">
        <f t="shared" si="193"/>
        <v>0</v>
      </c>
      <c r="R256" s="834">
        <f t="shared" si="182"/>
        <v>0</v>
      </c>
      <c r="S256" s="835">
        <f t="shared" si="183"/>
        <v>0</v>
      </c>
      <c r="T256" s="835">
        <f t="shared" si="184"/>
        <v>0</v>
      </c>
      <c r="U256" s="782"/>
      <c r="V256" s="783"/>
      <c r="W256" s="784">
        <f t="shared" si="178"/>
        <v>0</v>
      </c>
      <c r="X256" s="781">
        <f t="shared" si="178"/>
        <v>0</v>
      </c>
      <c r="Y256" s="783"/>
      <c r="Z256" s="781"/>
    </row>
    <row r="257" spans="1:26" s="204" customFormat="1" x14ac:dyDescent="0.2">
      <c r="A257" s="622" t="s">
        <v>546</v>
      </c>
      <c r="B257" s="623"/>
      <c r="C257" s="782">
        <f t="shared" ref="C257:K257" si="197">C18/C$193*100</f>
        <v>1.9162175371346204E-2</v>
      </c>
      <c r="D257" s="783">
        <f t="shared" si="197"/>
        <v>3.393630145163358E-2</v>
      </c>
      <c r="E257" s="783">
        <f t="shared" si="197"/>
        <v>7.5962118022012498E-2</v>
      </c>
      <c r="F257" s="783">
        <f t="shared" si="197"/>
        <v>7.345772691944652E-2</v>
      </c>
      <c r="G257" s="781">
        <f t="shared" si="197"/>
        <v>7.1472432780680301E-2</v>
      </c>
      <c r="H257" s="783">
        <f t="shared" si="197"/>
        <v>3.8012358712928698E-2</v>
      </c>
      <c r="I257" s="783">
        <f t="shared" si="197"/>
        <v>7.6082378884353985E-2</v>
      </c>
      <c r="J257" s="783">
        <f t="shared" si="197"/>
        <v>7.357397115279074E-2</v>
      </c>
      <c r="K257" s="781">
        <f t="shared" si="197"/>
        <v>7.1585572687686908E-2</v>
      </c>
      <c r="L257" s="783"/>
      <c r="M257" s="782">
        <f t="shared" si="193"/>
        <v>0</v>
      </c>
      <c r="N257" s="782">
        <f t="shared" si="193"/>
        <v>3.7965619570691368E-2</v>
      </c>
      <c r="O257" s="783">
        <f t="shared" si="193"/>
        <v>2.0719802515633642E-2</v>
      </c>
      <c r="P257" s="783">
        <f t="shared" si="193"/>
        <v>1.9507850475113733E-2</v>
      </c>
      <c r="Q257" s="781">
        <f t="shared" si="193"/>
        <v>1.8413704705036452E-2</v>
      </c>
      <c r="R257" s="834">
        <f t="shared" si="182"/>
        <v>5.5362576368720343E-2</v>
      </c>
      <c r="S257" s="835">
        <f t="shared" si="183"/>
        <v>5.4066120677677007E-2</v>
      </c>
      <c r="T257" s="835">
        <f t="shared" si="184"/>
        <v>5.3171867982650459E-2</v>
      </c>
      <c r="U257" s="782"/>
      <c r="V257" s="783"/>
      <c r="W257" s="784">
        <f t="shared" si="178"/>
        <v>2.0719802515633642E-2</v>
      </c>
      <c r="X257" s="781">
        <f t="shared" si="178"/>
        <v>7.5962118022012498E-2</v>
      </c>
      <c r="Y257" s="783"/>
      <c r="Z257" s="781"/>
    </row>
    <row r="258" spans="1:26" s="204" customFormat="1" x14ac:dyDescent="0.2">
      <c r="A258" s="622" t="s">
        <v>495</v>
      </c>
      <c r="B258" s="623"/>
      <c r="C258" s="782">
        <f t="shared" ref="C258:K258" si="198">C19/C$193*100</f>
        <v>2.7479956187605094E-2</v>
      </c>
      <c r="D258" s="783">
        <f t="shared" si="198"/>
        <v>2.9440570572031179E-2</v>
      </c>
      <c r="E258" s="783">
        <f t="shared" si="198"/>
        <v>2.8730400535037531E-2</v>
      </c>
      <c r="F258" s="783">
        <f t="shared" si="198"/>
        <v>2.8020537152359852E-2</v>
      </c>
      <c r="G258" s="781">
        <f t="shared" si="198"/>
        <v>2.7330655633739011E-2</v>
      </c>
      <c r="H258" s="783">
        <f t="shared" si="198"/>
        <v>2.5464837048826496E-2</v>
      </c>
      <c r="I258" s="783">
        <f t="shared" si="198"/>
        <v>2.8775885611464158E-2</v>
      </c>
      <c r="J258" s="783">
        <f t="shared" si="198"/>
        <v>2.8064878653189861E-2</v>
      </c>
      <c r="K258" s="781">
        <f t="shared" si="198"/>
        <v>2.7373919696770416E-2</v>
      </c>
      <c r="L258" s="783"/>
      <c r="M258" s="782">
        <f t="shared" si="193"/>
        <v>0</v>
      </c>
      <c r="N258" s="782">
        <f t="shared" si="193"/>
        <v>2.5433526057318079E-2</v>
      </c>
      <c r="O258" s="783">
        <f t="shared" si="193"/>
        <v>2.883885713138468E-2</v>
      </c>
      <c r="P258" s="783">
        <f t="shared" si="193"/>
        <v>2.8202499431871923E-2</v>
      </c>
      <c r="Q258" s="781">
        <f t="shared" si="193"/>
        <v>2.7496264550795672E-2</v>
      </c>
      <c r="R258" s="834">
        <f t="shared" si="182"/>
        <v>-6.2971519920521773E-5</v>
      </c>
      <c r="S258" s="835">
        <f t="shared" si="183"/>
        <v>-1.376207786820613E-4</v>
      </c>
      <c r="T258" s="835">
        <f t="shared" si="184"/>
        <v>-1.2234485402525669E-4</v>
      </c>
      <c r="U258" s="782"/>
      <c r="V258" s="783"/>
      <c r="W258" s="784">
        <f t="shared" si="178"/>
        <v>2.883885713138468E-2</v>
      </c>
      <c r="X258" s="781">
        <f t="shared" si="178"/>
        <v>2.8730400535037531E-2</v>
      </c>
      <c r="Y258" s="783"/>
      <c r="Z258" s="781"/>
    </row>
    <row r="259" spans="1:26" s="204" customFormat="1" x14ac:dyDescent="0.2">
      <c r="A259" s="622" t="s">
        <v>547</v>
      </c>
      <c r="B259" s="623"/>
      <c r="C259" s="782">
        <f t="shared" ref="C259:K259" si="199">C20/C$193*100</f>
        <v>0.2157060140377576</v>
      </c>
      <c r="D259" s="783">
        <f t="shared" si="199"/>
        <v>0.194523777464085</v>
      </c>
      <c r="E259" s="783">
        <f t="shared" si="199"/>
        <v>0.25038811069001676</v>
      </c>
      <c r="F259" s="783">
        <f t="shared" si="199"/>
        <v>0.20694764712381017</v>
      </c>
      <c r="G259" s="781">
        <f t="shared" si="199"/>
        <v>0.18535323084680649</v>
      </c>
      <c r="H259" s="783">
        <f t="shared" si="199"/>
        <v>0.17377006835154479</v>
      </c>
      <c r="I259" s="783">
        <f t="shared" si="199"/>
        <v>0.21677104222098975</v>
      </c>
      <c r="J259" s="783">
        <f t="shared" si="199"/>
        <v>0.20434217306801727</v>
      </c>
      <c r="K259" s="781">
        <f t="shared" si="199"/>
        <v>0.19270281685477592</v>
      </c>
      <c r="L259" s="783"/>
      <c r="M259" s="782">
        <f t="shared" si="193"/>
        <v>0</v>
      </c>
      <c r="N259" s="782">
        <f t="shared" si="193"/>
        <v>0.17355640457964869</v>
      </c>
      <c r="O259" s="783">
        <f t="shared" si="193"/>
        <v>0.18961565469338057</v>
      </c>
      <c r="P259" s="783">
        <f t="shared" si="193"/>
        <v>0.17852457023701246</v>
      </c>
      <c r="Q259" s="781">
        <f t="shared" si="193"/>
        <v>0.16851158066500002</v>
      </c>
      <c r="R259" s="834">
        <f t="shared" si="182"/>
        <v>2.7155387527609182E-2</v>
      </c>
      <c r="S259" s="835">
        <f t="shared" si="183"/>
        <v>2.5817602831004816E-2</v>
      </c>
      <c r="T259" s="835">
        <f t="shared" si="184"/>
        <v>2.4191236189775894E-2</v>
      </c>
      <c r="U259" s="782"/>
      <c r="V259" s="783"/>
      <c r="W259" s="784">
        <f t="shared" si="178"/>
        <v>0.18961565469338057</v>
      </c>
      <c r="X259" s="781">
        <f t="shared" si="178"/>
        <v>0.21642839951120033</v>
      </c>
      <c r="Y259" s="783"/>
      <c r="Z259" s="781"/>
    </row>
    <row r="260" spans="1:26" s="204" customFormat="1" x14ac:dyDescent="0.2">
      <c r="A260" s="622" t="s">
        <v>548</v>
      </c>
      <c r="B260" s="623"/>
      <c r="C260" s="782">
        <f t="shared" ref="C260:K260" si="200">C21/C$193*100</f>
        <v>0</v>
      </c>
      <c r="D260" s="783">
        <f t="shared" si="200"/>
        <v>0</v>
      </c>
      <c r="E260" s="783">
        <f t="shared" si="200"/>
        <v>9.288845953778703E-2</v>
      </c>
      <c r="F260" s="783">
        <f t="shared" si="200"/>
        <v>0.17443787395119228</v>
      </c>
      <c r="G260" s="781">
        <f t="shared" si="200"/>
        <v>0.17387659703366526</v>
      </c>
      <c r="H260" s="783">
        <f t="shared" si="200"/>
        <v>0</v>
      </c>
      <c r="I260" s="783">
        <f t="shared" si="200"/>
        <v>0</v>
      </c>
      <c r="J260" s="783">
        <f t="shared" si="200"/>
        <v>0</v>
      </c>
      <c r="K260" s="781">
        <f t="shared" si="200"/>
        <v>0</v>
      </c>
      <c r="L260" s="783"/>
      <c r="M260" s="782">
        <f t="shared" si="193"/>
        <v>0</v>
      </c>
      <c r="N260" s="782">
        <f t="shared" si="193"/>
        <v>0</v>
      </c>
      <c r="O260" s="783">
        <f t="shared" si="193"/>
        <v>0</v>
      </c>
      <c r="P260" s="783">
        <f t="shared" si="193"/>
        <v>0</v>
      </c>
      <c r="Q260" s="781">
        <f t="shared" si="193"/>
        <v>0</v>
      </c>
      <c r="R260" s="834">
        <f t="shared" si="182"/>
        <v>0</v>
      </c>
      <c r="S260" s="835">
        <f t="shared" si="183"/>
        <v>0</v>
      </c>
      <c r="T260" s="835">
        <f t="shared" si="184"/>
        <v>0</v>
      </c>
      <c r="U260" s="782"/>
      <c r="V260" s="783"/>
      <c r="W260" s="784">
        <f t="shared" si="178"/>
        <v>0</v>
      </c>
      <c r="X260" s="781">
        <f t="shared" si="178"/>
        <v>9.288845953778703E-2</v>
      </c>
      <c r="Y260" s="783"/>
      <c r="Z260" s="781"/>
    </row>
    <row r="261" spans="1:26" s="204" customFormat="1" x14ac:dyDescent="0.2">
      <c r="A261" s="622" t="s">
        <v>549</v>
      </c>
      <c r="B261" s="623"/>
      <c r="C261" s="782">
        <f t="shared" ref="C261:K261" si="201">C22/C$193*100</f>
        <v>0</v>
      </c>
      <c r="D261" s="783">
        <f t="shared" si="201"/>
        <v>0</v>
      </c>
      <c r="E261" s="783">
        <f t="shared" si="201"/>
        <v>3.528457927720394E-3</v>
      </c>
      <c r="F261" s="783">
        <f t="shared" si="201"/>
        <v>5.679594451325049E-3</v>
      </c>
      <c r="G261" s="781">
        <f t="shared" si="201"/>
        <v>5.3633554156611559E-3</v>
      </c>
      <c r="H261" s="783">
        <f t="shared" si="201"/>
        <v>0</v>
      </c>
      <c r="I261" s="783">
        <f t="shared" si="201"/>
        <v>3.5340440725538003E-3</v>
      </c>
      <c r="J261" s="783">
        <f t="shared" si="201"/>
        <v>5.6885822070096804E-3</v>
      </c>
      <c r="K261" s="781">
        <f t="shared" si="201"/>
        <v>5.3718455356887391E-3</v>
      </c>
      <c r="L261" s="783"/>
      <c r="M261" s="782">
        <f t="shared" si="193"/>
        <v>0</v>
      </c>
      <c r="N261" s="782">
        <f t="shared" si="193"/>
        <v>0</v>
      </c>
      <c r="O261" s="783">
        <f t="shared" si="193"/>
        <v>0</v>
      </c>
      <c r="P261" s="783">
        <f t="shared" si="193"/>
        <v>0</v>
      </c>
      <c r="Q261" s="781">
        <f t="shared" si="193"/>
        <v>0</v>
      </c>
      <c r="R261" s="834">
        <f t="shared" si="182"/>
        <v>3.5340440725538003E-3</v>
      </c>
      <c r="S261" s="835">
        <f t="shared" si="183"/>
        <v>5.6885822070096804E-3</v>
      </c>
      <c r="T261" s="835">
        <f t="shared" si="184"/>
        <v>5.3718455356887391E-3</v>
      </c>
      <c r="U261" s="782"/>
      <c r="V261" s="783"/>
      <c r="W261" s="784">
        <f t="shared" si="178"/>
        <v>0</v>
      </c>
      <c r="X261" s="781">
        <f t="shared" si="178"/>
        <v>3.528457927720394E-3</v>
      </c>
      <c r="Y261" s="783"/>
      <c r="Z261" s="781"/>
    </row>
    <row r="262" spans="1:26" s="204" customFormat="1" x14ac:dyDescent="0.2">
      <c r="A262" s="622" t="s">
        <v>497</v>
      </c>
      <c r="B262" s="623"/>
      <c r="C262" s="782">
        <f t="shared" ref="C262:K262" si="202">C23/C$193*100</f>
        <v>9.3092285973378174E-3</v>
      </c>
      <c r="D262" s="783">
        <f t="shared" si="202"/>
        <v>6.1920317177292912E-2</v>
      </c>
      <c r="E262" s="783">
        <f t="shared" si="202"/>
        <v>5.0158322640839352E-2</v>
      </c>
      <c r="F262" s="783">
        <f t="shared" si="202"/>
        <v>4.7101488313626261E-2</v>
      </c>
      <c r="G262" s="781">
        <f t="shared" si="202"/>
        <v>4.2416990049679096E-2</v>
      </c>
      <c r="H262" s="783">
        <f t="shared" si="202"/>
        <v>6.2018335231586466E-2</v>
      </c>
      <c r="I262" s="783">
        <f t="shared" si="202"/>
        <v>5.0237731736997547E-2</v>
      </c>
      <c r="J262" s="783">
        <f t="shared" si="202"/>
        <v>4.7176024739241408E-2</v>
      </c>
      <c r="K262" s="781">
        <f t="shared" si="202"/>
        <v>4.2484135578703508E-2</v>
      </c>
      <c r="L262" s="783"/>
      <c r="M262" s="782">
        <f t="shared" si="193"/>
        <v>0</v>
      </c>
      <c r="N262" s="782">
        <f t="shared" si="193"/>
        <v>6.1942078879971919E-2</v>
      </c>
      <c r="O262" s="783">
        <f t="shared" si="193"/>
        <v>5.8031347472021655E-2</v>
      </c>
      <c r="P262" s="783">
        <f t="shared" si="193"/>
        <v>5.4636951703540285E-2</v>
      </c>
      <c r="Q262" s="781">
        <f t="shared" si="193"/>
        <v>5.1572503897124714E-2</v>
      </c>
      <c r="R262" s="834">
        <f t="shared" si="182"/>
        <v>-7.7936157350241078E-3</v>
      </c>
      <c r="S262" s="835">
        <f t="shared" si="183"/>
        <v>-7.4609269642988765E-3</v>
      </c>
      <c r="T262" s="835">
        <f t="shared" si="184"/>
        <v>-9.0883683184212055E-3</v>
      </c>
      <c r="U262" s="782"/>
      <c r="V262" s="783"/>
      <c r="W262" s="784">
        <f t="shared" si="178"/>
        <v>5.8031347472021655E-2</v>
      </c>
      <c r="X262" s="781">
        <f t="shared" si="178"/>
        <v>5.0158322640839352E-2</v>
      </c>
      <c r="Y262" s="783"/>
      <c r="Z262" s="781"/>
    </row>
    <row r="263" spans="1:26" s="204" customFormat="1" x14ac:dyDescent="0.2">
      <c r="A263" s="479" t="s">
        <v>400</v>
      </c>
      <c r="B263" s="641" t="s">
        <v>550</v>
      </c>
      <c r="C263" s="841">
        <f t="shared" ref="C263:K263" si="203">C24/C$193*100</f>
        <v>7.3523108318247852</v>
      </c>
      <c r="D263" s="842">
        <f t="shared" si="203"/>
        <v>7.290667185475705</v>
      </c>
      <c r="E263" s="842">
        <f t="shared" si="203"/>
        <v>7.3446079281332315</v>
      </c>
      <c r="F263" s="842">
        <f t="shared" si="203"/>
        <v>7.2932116532252591</v>
      </c>
      <c r="G263" s="843">
        <f t="shared" si="203"/>
        <v>7.2408593530509391</v>
      </c>
      <c r="H263" s="842">
        <f t="shared" si="203"/>
        <v>7.3563155529030828</v>
      </c>
      <c r="I263" s="842">
        <f t="shared" si="203"/>
        <v>7.3126443396107534</v>
      </c>
      <c r="J263" s="842">
        <f t="shared" si="203"/>
        <v>7.3526662965807175</v>
      </c>
      <c r="K263" s="843">
        <f t="shared" si="203"/>
        <v>7.3569440156022292</v>
      </c>
      <c r="L263" s="842"/>
      <c r="M263" s="841">
        <f t="shared" ref="M263:Q272" si="204">M24/M$193*100</f>
        <v>0</v>
      </c>
      <c r="N263" s="841">
        <f t="shared" si="204"/>
        <v>7.3472703925759806</v>
      </c>
      <c r="O263" s="842">
        <f t="shared" si="204"/>
        <v>7.2887178625251332</v>
      </c>
      <c r="P263" s="842">
        <f t="shared" si="204"/>
        <v>7.3223274765717505</v>
      </c>
      <c r="Q263" s="843">
        <f t="shared" si="204"/>
        <v>7.340137559702999</v>
      </c>
      <c r="R263" s="861">
        <f t="shared" ref="R263:T263" si="205">SUM(R264:R272)</f>
        <v>2.3926477085621352E-2</v>
      </c>
      <c r="S263" s="862">
        <f t="shared" si="205"/>
        <v>3.0338820008967649E-2</v>
      </c>
      <c r="T263" s="862">
        <f t="shared" si="205"/>
        <v>1.6806455899231319E-2</v>
      </c>
      <c r="U263" s="841"/>
      <c r="V263" s="842"/>
      <c r="W263" s="844">
        <f t="shared" ref="W263:X282" si="206">W24/W$193*100</f>
        <v>7.2887178625251332</v>
      </c>
      <c r="X263" s="843">
        <f t="shared" si="206"/>
        <v>7.3278815032242619</v>
      </c>
      <c r="Y263" s="842"/>
      <c r="Z263" s="843"/>
    </row>
    <row r="264" spans="1:26" s="204" customFormat="1" x14ac:dyDescent="0.2">
      <c r="A264" s="622" t="s">
        <v>500</v>
      </c>
      <c r="B264" s="623"/>
      <c r="C264" s="782">
        <f t="shared" ref="C264:K264" si="207">C25/C$193*100</f>
        <v>3.365798870133029</v>
      </c>
      <c r="D264" s="783">
        <f t="shared" si="207"/>
        <v>3.5258744953771459</v>
      </c>
      <c r="E264" s="783">
        <f t="shared" si="207"/>
        <v>3.5368849751884603</v>
      </c>
      <c r="F264" s="783">
        <f t="shared" si="207"/>
        <v>3.5896523453172153</v>
      </c>
      <c r="G264" s="781">
        <f t="shared" si="207"/>
        <v>3.6221835423055486</v>
      </c>
      <c r="H264" s="783">
        <f t="shared" si="207"/>
        <v>3.5539621770762135</v>
      </c>
      <c r="I264" s="783">
        <f t="shared" si="207"/>
        <v>3.5878264929368555</v>
      </c>
      <c r="J264" s="783">
        <f t="shared" si="207"/>
        <v>3.670646715916956</v>
      </c>
      <c r="K264" s="781">
        <f t="shared" si="207"/>
        <v>3.7241815984448876</v>
      </c>
      <c r="L264" s="783"/>
      <c r="M264" s="782">
        <f t="shared" si="204"/>
        <v>0</v>
      </c>
      <c r="N264" s="782">
        <f t="shared" si="204"/>
        <v>3.5495923050313114</v>
      </c>
      <c r="O264" s="783">
        <f t="shared" si="204"/>
        <v>3.5906976383988951</v>
      </c>
      <c r="P264" s="783">
        <f t="shared" si="204"/>
        <v>3.6611943032826209</v>
      </c>
      <c r="Q264" s="781">
        <f t="shared" si="204"/>
        <v>3.7147035371527886</v>
      </c>
      <c r="R264" s="834">
        <f t="shared" ref="R264:R272" si="208">I264-O264</f>
        <v>-2.8711454620395926E-3</v>
      </c>
      <c r="S264" s="835">
        <f t="shared" ref="S264:S272" si="209">J264-P264</f>
        <v>9.4524126343351611E-3</v>
      </c>
      <c r="T264" s="835">
        <f t="shared" ref="T264:T272" si="210">K264-Q264</f>
        <v>9.4780612920990492E-3</v>
      </c>
      <c r="U264" s="782"/>
      <c r="V264" s="783"/>
      <c r="W264" s="784">
        <f t="shared" si="206"/>
        <v>3.5906976383988951</v>
      </c>
      <c r="X264" s="781">
        <f t="shared" si="206"/>
        <v>3.5368849751884603</v>
      </c>
      <c r="Y264" s="783"/>
      <c r="Z264" s="781"/>
    </row>
    <row r="265" spans="1:26" s="204" customFormat="1" x14ac:dyDescent="0.2">
      <c r="A265" s="622" t="s">
        <v>502</v>
      </c>
      <c r="B265" s="623"/>
      <c r="C265" s="782">
        <f t="shared" ref="C265:K265" si="211">C26/C$193*100</f>
        <v>3.2710941787117003</v>
      </c>
      <c r="D265" s="783">
        <f t="shared" si="211"/>
        <v>3.0300485499139982</v>
      </c>
      <c r="E265" s="783">
        <f t="shared" si="211"/>
        <v>2.9607133420854903</v>
      </c>
      <c r="F265" s="783">
        <f t="shared" si="211"/>
        <v>2.9028109694287934</v>
      </c>
      <c r="G265" s="781">
        <f t="shared" si="211"/>
        <v>2.9023042309666898</v>
      </c>
      <c r="H265" s="783">
        <f t="shared" si="211"/>
        <v>3.0711462564546697</v>
      </c>
      <c r="I265" s="783">
        <f t="shared" si="211"/>
        <v>3.0556061330622284</v>
      </c>
      <c r="J265" s="783">
        <f t="shared" si="211"/>
        <v>3.0377603634723251</v>
      </c>
      <c r="K265" s="781">
        <f t="shared" si="211"/>
        <v>3.0535776160147727</v>
      </c>
      <c r="L265" s="783"/>
      <c r="M265" s="782">
        <f t="shared" si="204"/>
        <v>0</v>
      </c>
      <c r="N265" s="782">
        <f t="shared" si="204"/>
        <v>3.0673700440181801</v>
      </c>
      <c r="O265" s="783">
        <f t="shared" si="204"/>
        <v>3.0522265477851285</v>
      </c>
      <c r="P265" s="783">
        <f t="shared" si="204"/>
        <v>3.0377861530907553</v>
      </c>
      <c r="Q265" s="781">
        <f t="shared" si="204"/>
        <v>3.0664047580536193</v>
      </c>
      <c r="R265" s="834">
        <f t="shared" si="208"/>
        <v>3.3795852770999169E-3</v>
      </c>
      <c r="S265" s="835">
        <f t="shared" si="209"/>
        <v>-2.5789618430138717E-5</v>
      </c>
      <c r="T265" s="835">
        <f t="shared" si="210"/>
        <v>-1.2827142038846606E-2</v>
      </c>
      <c r="U265" s="782"/>
      <c r="V265" s="783"/>
      <c r="W265" s="784">
        <f t="shared" si="206"/>
        <v>3.0522265477851285</v>
      </c>
      <c r="X265" s="781">
        <f t="shared" si="206"/>
        <v>2.9607133420854903</v>
      </c>
      <c r="Y265" s="783"/>
      <c r="Z265" s="781"/>
    </row>
    <row r="266" spans="1:26" s="204" customFormat="1" x14ac:dyDescent="0.2">
      <c r="A266" s="622" t="s">
        <v>504</v>
      </c>
      <c r="B266" s="623"/>
      <c r="C266" s="782">
        <f t="shared" ref="C266:K266" si="212">C27/C$193*100</f>
        <v>0.21028827539242553</v>
      </c>
      <c r="D266" s="783">
        <f t="shared" si="212"/>
        <v>0.25396734156058348</v>
      </c>
      <c r="E266" s="783">
        <f t="shared" si="212"/>
        <v>0.24320159685582887</v>
      </c>
      <c r="F266" s="783">
        <f t="shared" si="212"/>
        <v>0.24151505108122406</v>
      </c>
      <c r="G266" s="781">
        <f t="shared" si="212"/>
        <v>0.22802176934994864</v>
      </c>
      <c r="H266" s="783">
        <f t="shared" si="212"/>
        <v>0.24332303955817061</v>
      </c>
      <c r="I266" s="783">
        <f t="shared" si="212"/>
        <v>0.2265079916259452</v>
      </c>
      <c r="J266" s="783">
        <f t="shared" si="212"/>
        <v>0.21759968088596493</v>
      </c>
      <c r="K266" s="781">
        <f t="shared" si="212"/>
        <v>0.21263740333500547</v>
      </c>
      <c r="L266" s="783"/>
      <c r="M266" s="782">
        <f t="shared" si="204"/>
        <v>0</v>
      </c>
      <c r="N266" s="782">
        <f t="shared" si="204"/>
        <v>0.24302385501554818</v>
      </c>
      <c r="O266" s="783">
        <f t="shared" si="204"/>
        <v>0.22703846754683171</v>
      </c>
      <c r="P266" s="783">
        <f t="shared" si="204"/>
        <v>0.21848146481750269</v>
      </c>
      <c r="Q266" s="781">
        <f t="shared" si="204"/>
        <v>0.21346256121534371</v>
      </c>
      <c r="R266" s="834">
        <f t="shared" si="208"/>
        <v>-5.3047592088650841E-4</v>
      </c>
      <c r="S266" s="835">
        <f t="shared" si="209"/>
        <v>-8.8178393153776069E-4</v>
      </c>
      <c r="T266" s="835">
        <f t="shared" si="210"/>
        <v>-8.2515788033823978E-4</v>
      </c>
      <c r="U266" s="782"/>
      <c r="V266" s="783"/>
      <c r="W266" s="784">
        <f t="shared" si="206"/>
        <v>0.22703846754683171</v>
      </c>
      <c r="X266" s="781">
        <f t="shared" si="206"/>
        <v>0.24320159685582887</v>
      </c>
      <c r="Y266" s="783"/>
      <c r="Z266" s="781"/>
    </row>
    <row r="267" spans="1:26" s="204" customFormat="1" x14ac:dyDescent="0.2">
      <c r="A267" s="622" t="s">
        <v>506</v>
      </c>
      <c r="B267" s="623"/>
      <c r="C267" s="782">
        <f t="shared" ref="C267:K267" si="213">C28/C$193*100</f>
        <v>0.13530398131467686</v>
      </c>
      <c r="D267" s="783">
        <f t="shared" si="213"/>
        <v>0.12842238204095349</v>
      </c>
      <c r="E267" s="783">
        <f t="shared" si="213"/>
        <v>0.1222670667062991</v>
      </c>
      <c r="F267" s="783">
        <f t="shared" si="213"/>
        <v>0.11718436920357481</v>
      </c>
      <c r="G267" s="781">
        <f t="shared" si="213"/>
        <v>0.11295201280463867</v>
      </c>
      <c r="H267" s="783">
        <f t="shared" si="213"/>
        <v>0.12861398327468579</v>
      </c>
      <c r="I267" s="783">
        <f t="shared" si="213"/>
        <v>0.12244950866487381</v>
      </c>
      <c r="J267" s="783">
        <f t="shared" si="213"/>
        <v>0.11735914441188973</v>
      </c>
      <c r="K267" s="781">
        <f t="shared" si="213"/>
        <v>0.11312053463474656</v>
      </c>
      <c r="L267" s="783"/>
      <c r="M267" s="782">
        <f t="shared" si="204"/>
        <v>0</v>
      </c>
      <c r="N267" s="782">
        <f t="shared" si="204"/>
        <v>0.12845584241046365</v>
      </c>
      <c r="O267" s="783">
        <f t="shared" si="204"/>
        <v>0.12271747024139175</v>
      </c>
      <c r="P267" s="783">
        <f t="shared" si="204"/>
        <v>0.11799709297334091</v>
      </c>
      <c r="Q267" s="781">
        <f t="shared" si="204"/>
        <v>0.11357021332805652</v>
      </c>
      <c r="R267" s="834">
        <f t="shared" si="208"/>
        <v>-2.6796157651794161E-4</v>
      </c>
      <c r="S267" s="835">
        <f t="shared" si="209"/>
        <v>-6.3794856145117651E-4</v>
      </c>
      <c r="T267" s="835">
        <f t="shared" si="210"/>
        <v>-4.4967869330996002E-4</v>
      </c>
      <c r="U267" s="782"/>
      <c r="V267" s="783"/>
      <c r="W267" s="784">
        <f t="shared" si="206"/>
        <v>0.12271747024139175</v>
      </c>
      <c r="X267" s="781">
        <f t="shared" si="206"/>
        <v>0.1222670667062991</v>
      </c>
      <c r="Y267" s="783"/>
      <c r="Z267" s="781"/>
    </row>
    <row r="268" spans="1:26" s="204" customFormat="1" x14ac:dyDescent="0.2">
      <c r="A268" s="622" t="s">
        <v>508</v>
      </c>
      <c r="B268" s="623"/>
      <c r="C268" s="782">
        <f t="shared" ref="C268:K268" si="214">C29/C$193*100</f>
        <v>8.112453024467374E-2</v>
      </c>
      <c r="D268" s="783">
        <f t="shared" si="214"/>
        <v>7.7473204692274006E-2</v>
      </c>
      <c r="E268" s="783">
        <f t="shared" si="214"/>
        <v>7.2334359234764223E-2</v>
      </c>
      <c r="F268" s="783">
        <f t="shared" si="214"/>
        <v>6.7919372876461145E-2</v>
      </c>
      <c r="G268" s="781">
        <f t="shared" si="214"/>
        <v>6.4137631562812006E-2</v>
      </c>
      <c r="H268" s="783">
        <f t="shared" si="214"/>
        <v>7.7986275816886316E-2</v>
      </c>
      <c r="I268" s="783">
        <f t="shared" si="214"/>
        <v>7.2813412435932756E-2</v>
      </c>
      <c r="J268" s="783">
        <f t="shared" si="214"/>
        <v>6.8369138582842715E-2</v>
      </c>
      <c r="K268" s="781">
        <f t="shared" si="214"/>
        <v>6.4562388045050434E-2</v>
      </c>
      <c r="L268" s="783"/>
      <c r="M268" s="782">
        <f t="shared" si="204"/>
        <v>0</v>
      </c>
      <c r="N268" s="782">
        <f t="shared" si="204"/>
        <v>7.7890385644285035E-2</v>
      </c>
      <c r="O268" s="783">
        <f t="shared" si="204"/>
        <v>7.2972753187894313E-2</v>
      </c>
      <c r="P268" s="783">
        <f t="shared" si="204"/>
        <v>6.8704397972554107E-2</v>
      </c>
      <c r="Q268" s="781">
        <f t="shared" si="204"/>
        <v>6.4850942845692511E-2</v>
      </c>
      <c r="R268" s="834">
        <f t="shared" si="208"/>
        <v>-1.5934075196155639E-4</v>
      </c>
      <c r="S268" s="835">
        <f t="shared" si="209"/>
        <v>-3.3525938971139257E-4</v>
      </c>
      <c r="T268" s="835">
        <f t="shared" si="210"/>
        <v>-2.8855480064207684E-4</v>
      </c>
      <c r="U268" s="782"/>
      <c r="V268" s="783"/>
      <c r="W268" s="784">
        <f t="shared" si="206"/>
        <v>7.2972753187894313E-2</v>
      </c>
      <c r="X268" s="781">
        <f t="shared" si="206"/>
        <v>7.2334359234764223E-2</v>
      </c>
      <c r="Y268" s="783"/>
      <c r="Z268" s="781"/>
    </row>
    <row r="269" spans="1:26" s="204" customFormat="1" x14ac:dyDescent="0.2">
      <c r="A269" s="622" t="s">
        <v>551</v>
      </c>
      <c r="B269" s="623"/>
      <c r="C269" s="782">
        <f t="shared" ref="C269:K269" si="215">C30/C$193*100</f>
        <v>0.194805300414466</v>
      </c>
      <c r="D269" s="783">
        <f t="shared" si="215"/>
        <v>0.17877687821399987</v>
      </c>
      <c r="E269" s="783">
        <f t="shared" si="215"/>
        <v>0.12947825584371622</v>
      </c>
      <c r="F269" s="783">
        <f t="shared" si="215"/>
        <v>0.12525220809275442</v>
      </c>
      <c r="G269" s="781">
        <f t="shared" si="215"/>
        <v>8.1114347656189231E-2</v>
      </c>
      <c r="H269" s="783">
        <f t="shared" si="215"/>
        <v>0.19061190617280535</v>
      </c>
      <c r="I269" s="783">
        <f t="shared" si="215"/>
        <v>0.13908688187231671</v>
      </c>
      <c r="J269" s="783">
        <f t="shared" si="215"/>
        <v>0.13870445235322726</v>
      </c>
      <c r="K269" s="781">
        <f t="shared" si="215"/>
        <v>9.2371788580936143E-2</v>
      </c>
      <c r="L269" s="783"/>
      <c r="M269" s="782">
        <f t="shared" si="204"/>
        <v>0</v>
      </c>
      <c r="N269" s="782">
        <f t="shared" si="204"/>
        <v>0.19037753405551527</v>
      </c>
      <c r="O269" s="783">
        <f t="shared" si="204"/>
        <v>0.13939125173501229</v>
      </c>
      <c r="P269" s="783">
        <f t="shared" si="204"/>
        <v>0.13938461259818702</v>
      </c>
      <c r="Q269" s="781">
        <f t="shared" si="204"/>
        <v>9.2784634571396185E-2</v>
      </c>
      <c r="R269" s="834">
        <f t="shared" si="208"/>
        <v>-3.0436986269558042E-4</v>
      </c>
      <c r="S269" s="835">
        <f t="shared" si="209"/>
        <v>-6.8016024495975991E-4</v>
      </c>
      <c r="T269" s="835">
        <f t="shared" si="210"/>
        <v>-4.1284599046004233E-4</v>
      </c>
      <c r="U269" s="782"/>
      <c r="V269" s="783"/>
      <c r="W269" s="784">
        <f t="shared" si="206"/>
        <v>0.13939125173501229</v>
      </c>
      <c r="X269" s="781">
        <f t="shared" si="206"/>
        <v>0.12947825584371622</v>
      </c>
      <c r="Y269" s="783"/>
      <c r="Z269" s="781"/>
    </row>
    <row r="270" spans="1:26" s="204" customFormat="1" x14ac:dyDescent="0.2">
      <c r="A270" s="622" t="s">
        <v>552</v>
      </c>
      <c r="B270" s="623"/>
      <c r="C270" s="782">
        <f t="shared" ref="C270:K270" si="216">C31/C$193*100</f>
        <v>0</v>
      </c>
      <c r="D270" s="783">
        <f t="shared" si="216"/>
        <v>0</v>
      </c>
      <c r="E270" s="783">
        <f t="shared" si="216"/>
        <v>0.15481925969961938</v>
      </c>
      <c r="F270" s="783">
        <f t="shared" si="216"/>
        <v>0.14536974045582551</v>
      </c>
      <c r="G270" s="781">
        <f t="shared" si="216"/>
        <v>0.13727557335807872</v>
      </c>
      <c r="H270" s="783">
        <f t="shared" si="216"/>
        <v>0</v>
      </c>
      <c r="I270" s="783">
        <f t="shared" si="216"/>
        <v>0</v>
      </c>
      <c r="J270" s="783">
        <f t="shared" si="216"/>
        <v>0</v>
      </c>
      <c r="K270" s="781">
        <f t="shared" si="216"/>
        <v>0</v>
      </c>
      <c r="L270" s="783"/>
      <c r="M270" s="782">
        <f t="shared" si="204"/>
        <v>0</v>
      </c>
      <c r="N270" s="782">
        <f t="shared" si="204"/>
        <v>0</v>
      </c>
      <c r="O270" s="783">
        <f t="shared" si="204"/>
        <v>0</v>
      </c>
      <c r="P270" s="783">
        <f t="shared" si="204"/>
        <v>0</v>
      </c>
      <c r="Q270" s="781">
        <f t="shared" si="204"/>
        <v>0</v>
      </c>
      <c r="R270" s="834">
        <f t="shared" si="208"/>
        <v>0</v>
      </c>
      <c r="S270" s="835">
        <f t="shared" si="209"/>
        <v>0</v>
      </c>
      <c r="T270" s="835">
        <f t="shared" si="210"/>
        <v>0</v>
      </c>
      <c r="U270" s="782"/>
      <c r="V270" s="783"/>
      <c r="W270" s="784">
        <f t="shared" si="206"/>
        <v>0</v>
      </c>
      <c r="X270" s="781">
        <f t="shared" si="206"/>
        <v>0.15481925969961938</v>
      </c>
      <c r="Y270" s="783"/>
      <c r="Z270" s="781"/>
    </row>
    <row r="271" spans="1:26" s="204" customFormat="1" x14ac:dyDescent="0.2">
      <c r="A271" s="622" t="s">
        <v>553</v>
      </c>
      <c r="B271" s="623"/>
      <c r="C271" s="782">
        <f t="shared" ref="C271:K271" si="217">C32/C$193*100</f>
        <v>9.487333624872267E-2</v>
      </c>
      <c r="D271" s="783">
        <f t="shared" si="217"/>
        <v>9.5810218750967249E-2</v>
      </c>
      <c r="E271" s="783">
        <f t="shared" si="217"/>
        <v>0.12332548735478439</v>
      </c>
      <c r="F271" s="783">
        <f t="shared" si="217"/>
        <v>0.10192943813560799</v>
      </c>
      <c r="G271" s="781">
        <f t="shared" si="217"/>
        <v>9.1293382357382311E-2</v>
      </c>
      <c r="H271" s="783">
        <f t="shared" si="217"/>
        <v>9.0377334048526922E-2</v>
      </c>
      <c r="I271" s="783">
        <f t="shared" si="217"/>
        <v>0.10676782676556211</v>
      </c>
      <c r="J271" s="783">
        <f t="shared" si="217"/>
        <v>0.1006461449439488</v>
      </c>
      <c r="K271" s="781">
        <f t="shared" si="217"/>
        <v>9.4913327704591127E-2</v>
      </c>
      <c r="L271" s="783"/>
      <c r="M271" s="782">
        <f t="shared" si="204"/>
        <v>0</v>
      </c>
      <c r="N271" s="782">
        <f t="shared" si="204"/>
        <v>9.0266208109117965E-2</v>
      </c>
      <c r="O271" s="783">
        <f t="shared" si="204"/>
        <v>8.3398090896982927E-2</v>
      </c>
      <c r="P271" s="783">
        <f t="shared" si="204"/>
        <v>7.8519932122940575E-2</v>
      </c>
      <c r="Q271" s="781">
        <f t="shared" si="204"/>
        <v>7.4115948623647857E-2</v>
      </c>
      <c r="R271" s="834">
        <f t="shared" si="208"/>
        <v>2.3369735868579183E-2</v>
      </c>
      <c r="S271" s="835">
        <f t="shared" si="209"/>
        <v>2.2126212821008226E-2</v>
      </c>
      <c r="T271" s="835">
        <f t="shared" si="210"/>
        <v>2.0797379080943271E-2</v>
      </c>
      <c r="U271" s="782"/>
      <c r="V271" s="783"/>
      <c r="W271" s="784">
        <f t="shared" si="206"/>
        <v>8.3398090896982927E-2</v>
      </c>
      <c r="X271" s="781">
        <f t="shared" si="206"/>
        <v>0.10659906244581507</v>
      </c>
      <c r="Y271" s="783"/>
      <c r="Z271" s="781"/>
    </row>
    <row r="272" spans="1:26" s="204" customFormat="1" x14ac:dyDescent="0.2">
      <c r="A272" s="622" t="s">
        <v>497</v>
      </c>
      <c r="B272" s="623"/>
      <c r="C272" s="782">
        <f t="shared" ref="C272:K272" si="218">C33/C$193*100</f>
        <v>-9.7764063490924768E-4</v>
      </c>
      <c r="D272" s="783">
        <f t="shared" si="218"/>
        <v>2.9411492578240858E-4</v>
      </c>
      <c r="E272" s="783">
        <f t="shared" si="218"/>
        <v>1.583585164268002E-3</v>
      </c>
      <c r="F272" s="783">
        <f t="shared" si="218"/>
        <v>1.5781586338022757E-3</v>
      </c>
      <c r="G272" s="781">
        <f t="shared" si="218"/>
        <v>1.5768626896513109E-3</v>
      </c>
      <c r="H272" s="783">
        <f t="shared" si="218"/>
        <v>2.9458050112307323E-4</v>
      </c>
      <c r="I272" s="783">
        <f t="shared" si="218"/>
        <v>1.5860922470403765E-3</v>
      </c>
      <c r="J272" s="783">
        <f t="shared" si="218"/>
        <v>1.5806560135630612E-3</v>
      </c>
      <c r="K272" s="781">
        <f t="shared" si="218"/>
        <v>1.5793588422394955E-3</v>
      </c>
      <c r="L272" s="783"/>
      <c r="M272" s="782">
        <f t="shared" si="204"/>
        <v>0</v>
      </c>
      <c r="N272" s="782">
        <f t="shared" si="204"/>
        <v>2.9421829155732874E-4</v>
      </c>
      <c r="O272" s="783">
        <f t="shared" si="204"/>
        <v>2.7564273299694687E-4</v>
      </c>
      <c r="P272" s="783">
        <f t="shared" si="204"/>
        <v>2.5951971384857069E-4</v>
      </c>
      <c r="Q272" s="781">
        <f t="shared" si="204"/>
        <v>2.4496391245357229E-4</v>
      </c>
      <c r="R272" s="834">
        <f t="shared" si="208"/>
        <v>1.3104495140434298E-3</v>
      </c>
      <c r="S272" s="835">
        <f t="shared" si="209"/>
        <v>1.3211362997144905E-3</v>
      </c>
      <c r="T272" s="835">
        <f t="shared" si="210"/>
        <v>1.3343949297859232E-3</v>
      </c>
      <c r="U272" s="782"/>
      <c r="V272" s="783"/>
      <c r="W272" s="784">
        <f t="shared" si="206"/>
        <v>2.7564273299694687E-4</v>
      </c>
      <c r="X272" s="781">
        <f t="shared" si="206"/>
        <v>1.583585164268002E-3</v>
      </c>
      <c r="Y272" s="783"/>
      <c r="Z272" s="781"/>
    </row>
    <row r="273" spans="1:26" s="204" customFormat="1" x14ac:dyDescent="0.2">
      <c r="A273" s="479" t="s">
        <v>404</v>
      </c>
      <c r="B273" s="641" t="s">
        <v>554</v>
      </c>
      <c r="C273" s="841">
        <f t="shared" ref="C273:K273" si="219">C34/C$193*100</f>
        <v>0</v>
      </c>
      <c r="D273" s="842">
        <f t="shared" si="219"/>
        <v>0</v>
      </c>
      <c r="E273" s="842">
        <f t="shared" si="219"/>
        <v>0</v>
      </c>
      <c r="F273" s="842">
        <f t="shared" si="219"/>
        <v>0</v>
      </c>
      <c r="G273" s="843">
        <f t="shared" si="219"/>
        <v>0</v>
      </c>
      <c r="H273" s="842">
        <f t="shared" si="219"/>
        <v>7.9826728313930013E-7</v>
      </c>
      <c r="I273" s="842">
        <f t="shared" si="219"/>
        <v>0</v>
      </c>
      <c r="J273" s="842">
        <f t="shared" si="219"/>
        <v>0</v>
      </c>
      <c r="K273" s="843">
        <f t="shared" si="219"/>
        <v>0</v>
      </c>
      <c r="L273" s="842"/>
      <c r="M273" s="841">
        <f t="shared" ref="M273:Q282" si="220">M34/M$193*100</f>
        <v>0</v>
      </c>
      <c r="N273" s="841">
        <f t="shared" si="220"/>
        <v>7.9728575162288405E-7</v>
      </c>
      <c r="O273" s="842">
        <f t="shared" si="220"/>
        <v>0</v>
      </c>
      <c r="P273" s="842">
        <f t="shared" si="220"/>
        <v>0</v>
      </c>
      <c r="Q273" s="843">
        <f t="shared" si="220"/>
        <v>0</v>
      </c>
      <c r="R273" s="863">
        <v>0</v>
      </c>
      <c r="S273" s="864">
        <v>0</v>
      </c>
      <c r="T273" s="864">
        <v>0</v>
      </c>
      <c r="U273" s="841"/>
      <c r="V273" s="842"/>
      <c r="W273" s="844">
        <f t="shared" si="206"/>
        <v>0</v>
      </c>
      <c r="X273" s="843">
        <f t="shared" si="206"/>
        <v>0</v>
      </c>
      <c r="Y273" s="842"/>
      <c r="Z273" s="843"/>
    </row>
    <row r="274" spans="1:26" s="204" customFormat="1" x14ac:dyDescent="0.2">
      <c r="A274" s="479" t="s">
        <v>407</v>
      </c>
      <c r="B274" s="641" t="s">
        <v>555</v>
      </c>
      <c r="C274" s="841">
        <f t="shared" ref="C274:K274" si="221">C35/C$193*100</f>
        <v>14.760720084038265</v>
      </c>
      <c r="D274" s="842">
        <f t="shared" si="221"/>
        <v>14.931862097020238</v>
      </c>
      <c r="E274" s="842">
        <f t="shared" si="221"/>
        <v>14.44757684971886</v>
      </c>
      <c r="F274" s="842">
        <f t="shared" si="221"/>
        <v>14.163883413477846</v>
      </c>
      <c r="G274" s="843">
        <f t="shared" si="221"/>
        <v>13.920818427990838</v>
      </c>
      <c r="H274" s="842">
        <f t="shared" si="221"/>
        <v>14.93626760036272</v>
      </c>
      <c r="I274" s="842">
        <f t="shared" si="221"/>
        <v>14.39063630522354</v>
      </c>
      <c r="J274" s="842">
        <f t="shared" si="221"/>
        <v>14.254108301004461</v>
      </c>
      <c r="K274" s="843">
        <f t="shared" si="221"/>
        <v>14.078052174538321</v>
      </c>
      <c r="L274" s="842"/>
      <c r="M274" s="841">
        <f t="shared" si="220"/>
        <v>-0.20702812804273266</v>
      </c>
      <c r="N274" s="841">
        <f t="shared" si="220"/>
        <v>14.710874173256592</v>
      </c>
      <c r="O274" s="842">
        <f t="shared" si="220"/>
        <v>14.638064743326609</v>
      </c>
      <c r="P274" s="842">
        <f t="shared" si="220"/>
        <v>14.622859668161237</v>
      </c>
      <c r="Q274" s="843">
        <f t="shared" si="220"/>
        <v>14.545382874955196</v>
      </c>
      <c r="R274" s="863">
        <f t="shared" ref="R274:T274" si="222">SUM(R275:R280)</f>
        <v>-0.24742818897462951</v>
      </c>
      <c r="S274" s="864">
        <f t="shared" si="222"/>
        <v>-0.3687507255684504</v>
      </c>
      <c r="T274" s="864">
        <f t="shared" si="222"/>
        <v>-0.4673309405630956</v>
      </c>
      <c r="U274" s="841"/>
      <c r="V274" s="842"/>
      <c r="W274" s="844">
        <f t="shared" si="206"/>
        <v>14.638064743326609</v>
      </c>
      <c r="X274" s="843">
        <f t="shared" si="206"/>
        <v>14.382193143144969</v>
      </c>
      <c r="Y274" s="842"/>
      <c r="Z274" s="843"/>
    </row>
    <row r="275" spans="1:26" s="204" customFormat="1" x14ac:dyDescent="0.2">
      <c r="A275" s="622" t="s">
        <v>515</v>
      </c>
      <c r="B275" s="623"/>
      <c r="C275" s="782">
        <f t="shared" ref="C275:K275" si="223">C36/C$193*100</f>
        <v>8.3617445752230459</v>
      </c>
      <c r="D275" s="783">
        <f t="shared" si="223"/>
        <v>8.6649248979700104</v>
      </c>
      <c r="E275" s="783">
        <f t="shared" si="223"/>
        <v>8.4143485835542009</v>
      </c>
      <c r="F275" s="783">
        <f t="shared" si="223"/>
        <v>8.4053839280695719</v>
      </c>
      <c r="G275" s="781">
        <f t="shared" si="223"/>
        <v>8.3822457352188877</v>
      </c>
      <c r="H275" s="783">
        <f t="shared" si="223"/>
        <v>8.6993348236370274</v>
      </c>
      <c r="I275" s="783">
        <f t="shared" si="223"/>
        <v>8.3900848811637143</v>
      </c>
      <c r="J275" s="783">
        <f t="shared" si="223"/>
        <v>8.3930381456755416</v>
      </c>
      <c r="K275" s="781">
        <f t="shared" si="223"/>
        <v>8.3996554650983626</v>
      </c>
      <c r="L275" s="783"/>
      <c r="M275" s="782">
        <f t="shared" si="220"/>
        <v>-0.20702812804273266</v>
      </c>
      <c r="N275" s="782">
        <f t="shared" si="220"/>
        <v>8.4816101889459503</v>
      </c>
      <c r="O275" s="783">
        <f t="shared" si="220"/>
        <v>8.4041358484417898</v>
      </c>
      <c r="P275" s="783">
        <f t="shared" si="220"/>
        <v>8.3920691071690001</v>
      </c>
      <c r="Q275" s="781">
        <f t="shared" si="220"/>
        <v>8.3273482192018822</v>
      </c>
      <c r="R275" s="834">
        <f t="shared" ref="R275:T281" si="224">I275-O275</f>
        <v>-1.4050967278075532E-2</v>
      </c>
      <c r="S275" s="835">
        <f t="shared" si="224"/>
        <v>9.6903850654150858E-4</v>
      </c>
      <c r="T275" s="835">
        <f t="shared" si="224"/>
        <v>7.230724589648041E-2</v>
      </c>
      <c r="U275" s="782"/>
      <c r="V275" s="783"/>
      <c r="W275" s="784">
        <f t="shared" si="206"/>
        <v>8.4041358484417898</v>
      </c>
      <c r="X275" s="781">
        <f t="shared" si="206"/>
        <v>8.4143485835542009</v>
      </c>
      <c r="Y275" s="783"/>
      <c r="Z275" s="781"/>
    </row>
    <row r="276" spans="1:26" s="204" customFormat="1" x14ac:dyDescent="0.2">
      <c r="A276" s="622" t="s">
        <v>517</v>
      </c>
      <c r="B276" s="623"/>
      <c r="C276" s="782">
        <f t="shared" ref="C276:K276" si="225">C37/C$193*100</f>
        <v>3.9234461640430487</v>
      </c>
      <c r="D276" s="783">
        <f t="shared" si="225"/>
        <v>4.0537840634244047</v>
      </c>
      <c r="E276" s="783">
        <f t="shared" si="225"/>
        <v>4.1508973025191356</v>
      </c>
      <c r="F276" s="783">
        <f t="shared" si="225"/>
        <v>4.1697164221629128</v>
      </c>
      <c r="G276" s="781">
        <f t="shared" si="225"/>
        <v>4.1732350839046095</v>
      </c>
      <c r="H276" s="783">
        <f t="shared" si="225"/>
        <v>4.0584106057949567</v>
      </c>
      <c r="I276" s="783">
        <f t="shared" si="225"/>
        <v>4.1057121818080109</v>
      </c>
      <c r="J276" s="783">
        <f t="shared" si="225"/>
        <v>4.1370672603765071</v>
      </c>
      <c r="K276" s="781">
        <f t="shared" si="225"/>
        <v>4.1527643951863444</v>
      </c>
      <c r="L276" s="783"/>
      <c r="M276" s="782">
        <f t="shared" si="220"/>
        <v>0</v>
      </c>
      <c r="N276" s="782">
        <f t="shared" si="220"/>
        <v>4.0534204752957095</v>
      </c>
      <c r="O276" s="783">
        <f t="shared" si="220"/>
        <v>4.1030192717995906</v>
      </c>
      <c r="P276" s="783">
        <f t="shared" si="220"/>
        <v>4.1249854148679086</v>
      </c>
      <c r="Q276" s="781">
        <f t="shared" si="220"/>
        <v>4.1370672859947311</v>
      </c>
      <c r="R276" s="865">
        <f t="shared" si="224"/>
        <v>2.6929100084203128E-3</v>
      </c>
      <c r="S276" s="866">
        <f t="shared" si="224"/>
        <v>1.2081845508598477E-2</v>
      </c>
      <c r="T276" s="866">
        <f t="shared" si="224"/>
        <v>1.5697109191613379E-2</v>
      </c>
      <c r="U276" s="782"/>
      <c r="V276" s="783"/>
      <c r="W276" s="784">
        <f t="shared" si="206"/>
        <v>4.1030192717995906</v>
      </c>
      <c r="X276" s="781">
        <f t="shared" si="206"/>
        <v>4.1508973025191356</v>
      </c>
      <c r="Y276" s="783"/>
      <c r="Z276" s="781"/>
    </row>
    <row r="277" spans="1:26" s="204" customFormat="1" x14ac:dyDescent="0.2">
      <c r="A277" s="622" t="s">
        <v>556</v>
      </c>
      <c r="B277" s="623"/>
      <c r="C277" s="782">
        <f t="shared" ref="C277:K277" si="226">C38/C$193*100</f>
        <v>1.5312499906836552</v>
      </c>
      <c r="D277" s="783">
        <f t="shared" si="226"/>
        <v>1.3331759956490785</v>
      </c>
      <c r="E277" s="783">
        <f t="shared" si="226"/>
        <v>1.0244255364824586</v>
      </c>
      <c r="F277" s="783">
        <f t="shared" si="226"/>
        <v>0.7655884467857883</v>
      </c>
      <c r="G277" s="781">
        <f t="shared" si="226"/>
        <v>0.57653819016425856</v>
      </c>
      <c r="H277" s="783">
        <f t="shared" si="226"/>
        <v>1.3354878786901105</v>
      </c>
      <c r="I277" s="783">
        <f t="shared" si="226"/>
        <v>1.1010628259271331</v>
      </c>
      <c r="J277" s="783">
        <f t="shared" si="226"/>
        <v>0.95945614152701408</v>
      </c>
      <c r="K277" s="781">
        <f t="shared" si="226"/>
        <v>0.78746140651755892</v>
      </c>
      <c r="L277" s="783"/>
      <c r="M277" s="782">
        <f t="shared" si="220"/>
        <v>0</v>
      </c>
      <c r="N277" s="782">
        <f t="shared" si="220"/>
        <v>1.3338457927993161</v>
      </c>
      <c r="O277" s="783">
        <f t="shared" si="220"/>
        <v>1.3071819357642791</v>
      </c>
      <c r="P277" s="783">
        <f t="shared" si="220"/>
        <v>1.3073797165074028</v>
      </c>
      <c r="Q277" s="781">
        <f t="shared" si="220"/>
        <v>1.3074572771373416</v>
      </c>
      <c r="R277" s="834">
        <f t="shared" si="224"/>
        <v>-0.20611910983714599</v>
      </c>
      <c r="S277" s="835">
        <f t="shared" si="224"/>
        <v>-0.34792357498038873</v>
      </c>
      <c r="T277" s="835">
        <f t="shared" si="224"/>
        <v>-0.5199958706197827</v>
      </c>
      <c r="U277" s="782"/>
      <c r="V277" s="783"/>
      <c r="W277" s="784">
        <f t="shared" si="206"/>
        <v>1.3071819357642791</v>
      </c>
      <c r="X277" s="781">
        <f t="shared" si="206"/>
        <v>1.0244255364824586</v>
      </c>
      <c r="Y277" s="783"/>
      <c r="Z277" s="781"/>
    </row>
    <row r="278" spans="1:26" s="204" customFormat="1" x14ac:dyDescent="0.2">
      <c r="A278" s="622" t="s">
        <v>557</v>
      </c>
      <c r="B278" s="623"/>
      <c r="C278" s="782">
        <f t="shared" ref="C278:K278" si="227">C39/C$193*100</f>
        <v>0.26492243320911463</v>
      </c>
      <c r="D278" s="783">
        <f t="shared" si="227"/>
        <v>0.24304913799583477</v>
      </c>
      <c r="E278" s="783">
        <f t="shared" si="227"/>
        <v>0.23902184220521336</v>
      </c>
      <c r="F278" s="783">
        <f t="shared" si="227"/>
        <v>0.236513447221883</v>
      </c>
      <c r="G278" s="781">
        <f t="shared" si="227"/>
        <v>0.23473168370199746</v>
      </c>
      <c r="H278" s="783">
        <f t="shared" si="227"/>
        <v>0.27394407397030618</v>
      </c>
      <c r="I278" s="783">
        <f t="shared" si="227"/>
        <v>0.23940025415067437</v>
      </c>
      <c r="J278" s="783">
        <f t="shared" si="227"/>
        <v>0.2368877213180316</v>
      </c>
      <c r="K278" s="781">
        <f t="shared" si="227"/>
        <v>0.23510326082386546</v>
      </c>
      <c r="L278" s="783"/>
      <c r="M278" s="782">
        <f t="shared" si="220"/>
        <v>0</v>
      </c>
      <c r="N278" s="782">
        <f t="shared" si="220"/>
        <v>0.2736072384917434</v>
      </c>
      <c r="O278" s="783">
        <f t="shared" si="220"/>
        <v>0.26813777243331366</v>
      </c>
      <c r="P278" s="783">
        <f t="shared" si="220"/>
        <v>0.26817834252263367</v>
      </c>
      <c r="Q278" s="781">
        <f t="shared" si="220"/>
        <v>0.2681942522701381</v>
      </c>
      <c r="R278" s="834">
        <f t="shared" si="224"/>
        <v>-2.8737518282639291E-2</v>
      </c>
      <c r="S278" s="835">
        <f t="shared" si="224"/>
        <v>-3.1290621204602076E-2</v>
      </c>
      <c r="T278" s="835">
        <f t="shared" si="224"/>
        <v>-3.3090991446272644E-2</v>
      </c>
      <c r="U278" s="782"/>
      <c r="V278" s="783"/>
      <c r="W278" s="784">
        <f t="shared" si="206"/>
        <v>0.26813777243331366</v>
      </c>
      <c r="X278" s="781">
        <f t="shared" si="206"/>
        <v>0.23902184220521336</v>
      </c>
      <c r="Y278" s="783"/>
      <c r="Z278" s="781"/>
    </row>
    <row r="279" spans="1:26" s="204" customFormat="1" x14ac:dyDescent="0.2">
      <c r="A279" s="622" t="s">
        <v>472</v>
      </c>
      <c r="B279" s="623"/>
      <c r="C279" s="782">
        <f t="shared" ref="C279:K279" si="228">C40/C$193*100</f>
        <v>0.22302186303938365</v>
      </c>
      <c r="D279" s="783">
        <f t="shared" si="228"/>
        <v>0.18392591053197085</v>
      </c>
      <c r="E279" s="783">
        <f t="shared" si="228"/>
        <v>0.17955029600455777</v>
      </c>
      <c r="F279" s="783">
        <f t="shared" si="228"/>
        <v>0.17103536630984431</v>
      </c>
      <c r="G279" s="781">
        <f t="shared" si="228"/>
        <v>0.16129067682838108</v>
      </c>
      <c r="H279" s="783">
        <f t="shared" si="228"/>
        <v>0.22372613371268432</v>
      </c>
      <c r="I279" s="783">
        <f t="shared" si="228"/>
        <v>0.21390713418717225</v>
      </c>
      <c r="J279" s="783">
        <f t="shared" si="228"/>
        <v>0.20580913815621843</v>
      </c>
      <c r="K279" s="781">
        <f t="shared" si="228"/>
        <v>0.19932165596392568</v>
      </c>
      <c r="L279" s="783"/>
      <c r="M279" s="782">
        <f t="shared" si="220"/>
        <v>0</v>
      </c>
      <c r="N279" s="782">
        <f t="shared" si="220"/>
        <v>0.22345104508519942</v>
      </c>
      <c r="O279" s="783">
        <f t="shared" si="220"/>
        <v>0.21437557407021587</v>
      </c>
      <c r="P279" s="783">
        <f t="shared" si="220"/>
        <v>0.20681830417069313</v>
      </c>
      <c r="Q279" s="781">
        <f t="shared" si="220"/>
        <v>0.20021252987348823</v>
      </c>
      <c r="R279" s="834">
        <f t="shared" si="224"/>
        <v>-4.6843988304362538E-4</v>
      </c>
      <c r="S279" s="835">
        <f t="shared" si="224"/>
        <v>-1.009166014474705E-3</v>
      </c>
      <c r="T279" s="835">
        <f t="shared" si="224"/>
        <v>-8.9087390956255064E-4</v>
      </c>
      <c r="U279" s="782"/>
      <c r="V279" s="783"/>
      <c r="W279" s="784">
        <f t="shared" si="206"/>
        <v>0.21437557407021587</v>
      </c>
      <c r="X279" s="781">
        <f t="shared" si="206"/>
        <v>0.21356901836067518</v>
      </c>
      <c r="Y279" s="783"/>
      <c r="Z279" s="781"/>
    </row>
    <row r="280" spans="1:26" s="204" customFormat="1" x14ac:dyDescent="0.2">
      <c r="A280" s="622" t="s">
        <v>606</v>
      </c>
      <c r="B280" s="623"/>
      <c r="C280" s="782">
        <f t="shared" ref="C280:K280" si="229">C41/C$193*100</f>
        <v>0.45622654333531087</v>
      </c>
      <c r="D280" s="783">
        <f t="shared" si="229"/>
        <v>0.45297224519033064</v>
      </c>
      <c r="E280" s="783">
        <f t="shared" si="229"/>
        <v>0.43933353768794436</v>
      </c>
      <c r="F280" s="783">
        <f t="shared" si="229"/>
        <v>0.41564644350247987</v>
      </c>
      <c r="G280" s="781">
        <f t="shared" si="229"/>
        <v>0.39277681840602746</v>
      </c>
      <c r="H280" s="783">
        <f t="shared" si="229"/>
        <v>0.34536408455763878</v>
      </c>
      <c r="I280" s="783">
        <f t="shared" si="229"/>
        <v>0.34046927711527625</v>
      </c>
      <c r="J280" s="783">
        <f t="shared" si="229"/>
        <v>0.32185053553947113</v>
      </c>
      <c r="K280" s="781">
        <f t="shared" si="229"/>
        <v>0.30374575080203831</v>
      </c>
      <c r="L280" s="783"/>
      <c r="M280" s="782">
        <f t="shared" si="220"/>
        <v>0</v>
      </c>
      <c r="N280" s="782">
        <f t="shared" si="220"/>
        <v>0.34493943263867449</v>
      </c>
      <c r="O280" s="783">
        <f t="shared" si="220"/>
        <v>0.34121434081742164</v>
      </c>
      <c r="P280" s="783">
        <f t="shared" si="220"/>
        <v>0.323428782923596</v>
      </c>
      <c r="Q280" s="781">
        <f t="shared" si="220"/>
        <v>0.3051033104776098</v>
      </c>
      <c r="R280" s="865">
        <f t="shared" si="224"/>
        <v>-7.4506370214538764E-4</v>
      </c>
      <c r="S280" s="866">
        <f t="shared" si="224"/>
        <v>-1.5782473841248756E-3</v>
      </c>
      <c r="T280" s="866">
        <f t="shared" si="224"/>
        <v>-1.3575596755714958E-3</v>
      </c>
      <c r="U280" s="782"/>
      <c r="V280" s="783"/>
      <c r="W280" s="784">
        <f t="shared" si="206"/>
        <v>0.34121434081742164</v>
      </c>
      <c r="X280" s="781">
        <f t="shared" si="206"/>
        <v>0.33993110875793681</v>
      </c>
      <c r="Y280" s="783"/>
      <c r="Z280" s="781"/>
    </row>
    <row r="281" spans="1:26" s="204" customFormat="1" x14ac:dyDescent="0.2">
      <c r="A281" s="622" t="s">
        <v>497</v>
      </c>
      <c r="B281" s="623"/>
      <c r="C281" s="782">
        <f t="shared" ref="C281:K281" si="230">C42/C$193*100</f>
        <v>1.0851450470351504E-4</v>
      </c>
      <c r="D281" s="783">
        <f t="shared" si="230"/>
        <v>2.9846258605719489E-5</v>
      </c>
      <c r="E281" s="783">
        <f t="shared" si="230"/>
        <v>-2.4873465248630826E-7</v>
      </c>
      <c r="F281" s="783">
        <f t="shared" si="230"/>
        <v>-6.4057463539329789E-7</v>
      </c>
      <c r="G281" s="781">
        <f t="shared" si="230"/>
        <v>2.3976667884156646E-7</v>
      </c>
      <c r="H281" s="783">
        <f t="shared" si="230"/>
        <v>4.8334531513887339E-17</v>
      </c>
      <c r="I281" s="783">
        <f t="shared" si="230"/>
        <v>-2.4912844145087539E-7</v>
      </c>
      <c r="J281" s="783">
        <f t="shared" si="230"/>
        <v>-6.4158832191088781E-7</v>
      </c>
      <c r="K281" s="781">
        <f t="shared" si="230"/>
        <v>2.4014622629352827E-7</v>
      </c>
      <c r="L281" s="783"/>
      <c r="M281" s="782">
        <f t="shared" si="220"/>
        <v>0</v>
      </c>
      <c r="N281" s="782">
        <f t="shared" si="220"/>
        <v>4.8275100459885588E-17</v>
      </c>
      <c r="O281" s="783">
        <f t="shared" si="220"/>
        <v>-2.4967362003635533E-7</v>
      </c>
      <c r="P281" s="783">
        <f t="shared" si="220"/>
        <v>-6.4473445646382147E-7</v>
      </c>
      <c r="Q281" s="781">
        <f t="shared" si="220"/>
        <v>2.4121953458572962E-7</v>
      </c>
      <c r="R281" s="834">
        <f t="shared" si="224"/>
        <v>5.4517858547993947E-10</v>
      </c>
      <c r="S281" s="835">
        <f t="shared" si="224"/>
        <v>3.1461345529336618E-9</v>
      </c>
      <c r="T281" s="835">
        <f t="shared" si="224"/>
        <v>-1.0733082922013575E-9</v>
      </c>
      <c r="U281" s="782"/>
      <c r="V281" s="783"/>
      <c r="W281" s="784">
        <f t="shared" si="206"/>
        <v>-2.4967362003635533E-7</v>
      </c>
      <c r="X281" s="781">
        <f t="shared" si="206"/>
        <v>-2.4873465248630826E-7</v>
      </c>
      <c r="Y281" s="783"/>
      <c r="Z281" s="781"/>
    </row>
    <row r="282" spans="1:26" s="204" customFormat="1" x14ac:dyDescent="0.2">
      <c r="A282" s="479" t="s">
        <v>398</v>
      </c>
      <c r="B282" s="641" t="s">
        <v>559</v>
      </c>
      <c r="C282" s="841">
        <f t="shared" ref="C282:K282" si="231">C43/C$193*100</f>
        <v>0.75579657553085433</v>
      </c>
      <c r="D282" s="842">
        <f t="shared" si="231"/>
        <v>0.47123926087398688</v>
      </c>
      <c r="E282" s="842">
        <f t="shared" si="231"/>
        <v>0.60400927233244983</v>
      </c>
      <c r="F282" s="842">
        <f t="shared" si="231"/>
        <v>0.56605671556741732</v>
      </c>
      <c r="G282" s="843">
        <f t="shared" si="231"/>
        <v>0.54590296404689542</v>
      </c>
      <c r="H282" s="842">
        <f t="shared" si="231"/>
        <v>0.68588567592419836</v>
      </c>
      <c r="I282" s="842">
        <f t="shared" si="231"/>
        <v>0.63021797090871468</v>
      </c>
      <c r="J282" s="842">
        <f t="shared" si="231"/>
        <v>0.59206627819437785</v>
      </c>
      <c r="K282" s="843">
        <f t="shared" si="231"/>
        <v>0.57208149872735137</v>
      </c>
      <c r="L282" s="842"/>
      <c r="M282" s="841">
        <f t="shared" si="220"/>
        <v>0</v>
      </c>
      <c r="N282" s="841">
        <f t="shared" si="220"/>
        <v>0.68504232630709971</v>
      </c>
      <c r="O282" s="842">
        <f t="shared" si="220"/>
        <v>0.65075481812286984</v>
      </c>
      <c r="P282" s="842">
        <f t="shared" si="220"/>
        <v>0.64793480398281966</v>
      </c>
      <c r="Q282" s="843">
        <f t="shared" si="220"/>
        <v>0.63991266788169399</v>
      </c>
      <c r="R282" s="863">
        <f t="shared" ref="R282:T282" si="232">SUM(R283:R291)</f>
        <v>-2.0536847214155135E-2</v>
      </c>
      <c r="S282" s="864">
        <f t="shared" si="232"/>
        <v>-5.5868525788441904E-2</v>
      </c>
      <c r="T282" s="864">
        <f t="shared" si="232"/>
        <v>-6.7831169154342674E-2</v>
      </c>
      <c r="U282" s="841"/>
      <c r="V282" s="842"/>
      <c r="W282" s="844">
        <f t="shared" si="206"/>
        <v>0.65075481812286984</v>
      </c>
      <c r="X282" s="843">
        <f t="shared" si="206"/>
        <v>0.6998944428158187</v>
      </c>
      <c r="Y282" s="842"/>
      <c r="Z282" s="843"/>
    </row>
    <row r="283" spans="1:26" s="204" customFormat="1" x14ac:dyDescent="0.2">
      <c r="A283" s="622" t="s">
        <v>560</v>
      </c>
      <c r="B283" s="623"/>
      <c r="C283" s="782">
        <f t="shared" ref="C283:K283" si="233">C44/C$193*100</f>
        <v>2.7510618217085191E-2</v>
      </c>
      <c r="D283" s="783">
        <f t="shared" si="233"/>
        <v>0</v>
      </c>
      <c r="E283" s="783">
        <f t="shared" si="233"/>
        <v>0</v>
      </c>
      <c r="F283" s="783">
        <f t="shared" si="233"/>
        <v>0</v>
      </c>
      <c r="G283" s="781">
        <f t="shared" si="233"/>
        <v>0</v>
      </c>
      <c r="H283" s="783">
        <f t="shared" si="233"/>
        <v>2.5844595270902472E-2</v>
      </c>
      <c r="I283" s="783">
        <f t="shared" si="233"/>
        <v>2.4130312096433088E-2</v>
      </c>
      <c r="J283" s="783">
        <f t="shared" si="233"/>
        <v>2.2657482963319184E-2</v>
      </c>
      <c r="K283" s="781">
        <f t="shared" si="233"/>
        <v>2.1395928594733361E-2</v>
      </c>
      <c r="L283" s="783"/>
      <c r="M283" s="782">
        <f t="shared" ref="M283:Q292" si="234">M44/M$193*100</f>
        <v>0</v>
      </c>
      <c r="N283" s="782">
        <f t="shared" si="234"/>
        <v>2.581281733721634E-2</v>
      </c>
      <c r="O283" s="783">
        <f t="shared" si="234"/>
        <v>2.4183117506121801E-2</v>
      </c>
      <c r="P283" s="783">
        <f t="shared" si="234"/>
        <v>2.2768587682028992E-2</v>
      </c>
      <c r="Q283" s="781">
        <f t="shared" si="234"/>
        <v>2.149155544648329E-2</v>
      </c>
      <c r="R283" s="834">
        <f t="shared" ref="R283:R291" si="235">I283-O283</f>
        <v>-5.2805409688713029E-5</v>
      </c>
      <c r="S283" s="835">
        <f t="shared" ref="S283:S291" si="236">J283-P283</f>
        <v>-1.111047187098077E-4</v>
      </c>
      <c r="T283" s="835">
        <f t="shared" ref="T283:T291" si="237">K283-Q283</f>
        <v>-9.5626851749928965E-5</v>
      </c>
      <c r="U283" s="782"/>
      <c r="V283" s="783"/>
      <c r="W283" s="784">
        <f t="shared" ref="W283:X302" si="238">W44/W$193*100</f>
        <v>2.4183117506121801E-2</v>
      </c>
      <c r="X283" s="781">
        <f t="shared" si="238"/>
        <v>2.4092170122117364E-2</v>
      </c>
      <c r="Y283" s="783"/>
      <c r="Z283" s="781"/>
    </row>
    <row r="284" spans="1:26" s="204" customFormat="1" x14ac:dyDescent="0.2">
      <c r="A284" s="622" t="s">
        <v>561</v>
      </c>
      <c r="B284" s="623"/>
      <c r="C284" s="782">
        <f t="shared" ref="C284:K284" si="239">C45/C$193*100</f>
        <v>2.2279086954366555E-2</v>
      </c>
      <c r="D284" s="783">
        <f t="shared" si="239"/>
        <v>0</v>
      </c>
      <c r="E284" s="783">
        <f t="shared" si="239"/>
        <v>0</v>
      </c>
      <c r="F284" s="783">
        <f t="shared" si="239"/>
        <v>0</v>
      </c>
      <c r="G284" s="781">
        <f t="shared" si="239"/>
        <v>0</v>
      </c>
      <c r="H284" s="783">
        <f t="shared" si="239"/>
        <v>2.0929881720478959E-2</v>
      </c>
      <c r="I284" s="783">
        <f t="shared" si="239"/>
        <v>1.9541593619970488E-2</v>
      </c>
      <c r="J284" s="783">
        <f t="shared" si="239"/>
        <v>1.8348843676416308E-2</v>
      </c>
      <c r="K284" s="781">
        <f t="shared" si="239"/>
        <v>1.7327191627247544E-2</v>
      </c>
      <c r="L284" s="783"/>
      <c r="M284" s="782">
        <f t="shared" si="234"/>
        <v>0</v>
      </c>
      <c r="N284" s="782">
        <f t="shared" si="234"/>
        <v>2.0904146808153955E-2</v>
      </c>
      <c r="O284" s="783">
        <f t="shared" si="234"/>
        <v>1.9584357337776914E-2</v>
      </c>
      <c r="P284" s="783">
        <f t="shared" si="234"/>
        <v>1.8438820269077498E-2</v>
      </c>
      <c r="Q284" s="781">
        <f t="shared" si="234"/>
        <v>1.7404633687200452E-2</v>
      </c>
      <c r="R284" s="834">
        <f t="shared" si="235"/>
        <v>-4.2763717806426627E-5</v>
      </c>
      <c r="S284" s="835">
        <f t="shared" si="236"/>
        <v>-8.9976592661189514E-5</v>
      </c>
      <c r="T284" s="835">
        <f t="shared" si="237"/>
        <v>-7.7442059952907705E-5</v>
      </c>
      <c r="U284" s="782"/>
      <c r="V284" s="783"/>
      <c r="W284" s="784">
        <f t="shared" si="238"/>
        <v>1.9584357337776914E-2</v>
      </c>
      <c r="X284" s="781">
        <f t="shared" si="238"/>
        <v>1.9510704878914733E-2</v>
      </c>
      <c r="Y284" s="783"/>
      <c r="Z284" s="781"/>
    </row>
    <row r="285" spans="1:26" s="204" customFormat="1" x14ac:dyDescent="0.2">
      <c r="A285" s="622" t="s">
        <v>562</v>
      </c>
      <c r="B285" s="623"/>
      <c r="C285" s="782">
        <f t="shared" ref="C285:K285" si="240">C46/C$193*100</f>
        <v>6.0125923039991321E-3</v>
      </c>
      <c r="D285" s="783">
        <f t="shared" si="240"/>
        <v>3.097488934775976E-2</v>
      </c>
      <c r="E285" s="783">
        <f t="shared" si="240"/>
        <v>2.3021280746080109E-2</v>
      </c>
      <c r="F285" s="783">
        <f t="shared" si="240"/>
        <v>2.3390857129566636E-2</v>
      </c>
      <c r="G285" s="781">
        <f t="shared" si="240"/>
        <v>2.2123844978947205E-2</v>
      </c>
      <c r="H285" s="783">
        <f t="shared" si="240"/>
        <v>6.1447758965646514E-4</v>
      </c>
      <c r="I285" s="783">
        <f t="shared" si="240"/>
        <v>0</v>
      </c>
      <c r="J285" s="783">
        <f t="shared" si="240"/>
        <v>0</v>
      </c>
      <c r="K285" s="781">
        <f t="shared" si="240"/>
        <v>0</v>
      </c>
      <c r="L285" s="783"/>
      <c r="M285" s="782">
        <f t="shared" si="234"/>
        <v>0</v>
      </c>
      <c r="N285" s="782">
        <f t="shared" si="234"/>
        <v>6.1372204181789239E-4</v>
      </c>
      <c r="O285" s="783">
        <f t="shared" si="234"/>
        <v>6.0450724224717838E-4</v>
      </c>
      <c r="P285" s="783">
        <f t="shared" si="234"/>
        <v>5.986869492059651E-4</v>
      </c>
      <c r="Q285" s="781">
        <f t="shared" si="234"/>
        <v>5.871154482958575E-4</v>
      </c>
      <c r="R285" s="834">
        <f t="shared" si="235"/>
        <v>-6.0450724224717838E-4</v>
      </c>
      <c r="S285" s="835">
        <f t="shared" si="236"/>
        <v>-5.986869492059651E-4</v>
      </c>
      <c r="T285" s="835">
        <f t="shared" si="237"/>
        <v>-5.871154482958575E-4</v>
      </c>
      <c r="U285" s="782"/>
      <c r="V285" s="783"/>
      <c r="W285" s="784">
        <f t="shared" si="238"/>
        <v>6.0450724224717838E-4</v>
      </c>
      <c r="X285" s="781">
        <f t="shared" si="238"/>
        <v>0</v>
      </c>
      <c r="Y285" s="783"/>
      <c r="Z285" s="781"/>
    </row>
    <row r="286" spans="1:26" s="204" customFormat="1" x14ac:dyDescent="0.2">
      <c r="A286" s="622" t="s">
        <v>563</v>
      </c>
      <c r="B286" s="623"/>
      <c r="C286" s="782">
        <f t="shared" ref="C286:K286" si="241">C47/C$193*100</f>
        <v>2.4313089574068501E-2</v>
      </c>
      <c r="D286" s="783">
        <f t="shared" si="241"/>
        <v>2.4127936540221703E-2</v>
      </c>
      <c r="E286" s="783">
        <f t="shared" si="241"/>
        <v>2.7175421920025103E-2</v>
      </c>
      <c r="F286" s="783">
        <f t="shared" si="241"/>
        <v>2.1325435174040539E-2</v>
      </c>
      <c r="G286" s="781">
        <f t="shared" si="241"/>
        <v>1.919087166168373E-2</v>
      </c>
      <c r="H286" s="783">
        <f t="shared" si="241"/>
        <v>0</v>
      </c>
      <c r="I286" s="783">
        <f t="shared" si="241"/>
        <v>0</v>
      </c>
      <c r="J286" s="783">
        <f t="shared" si="241"/>
        <v>0</v>
      </c>
      <c r="K286" s="781">
        <f t="shared" si="241"/>
        <v>0</v>
      </c>
      <c r="L286" s="783"/>
      <c r="M286" s="782">
        <f t="shared" si="234"/>
        <v>0</v>
      </c>
      <c r="N286" s="782">
        <f t="shared" si="234"/>
        <v>0</v>
      </c>
      <c r="O286" s="783">
        <f t="shared" si="234"/>
        <v>0</v>
      </c>
      <c r="P286" s="783">
        <f t="shared" si="234"/>
        <v>0</v>
      </c>
      <c r="Q286" s="781">
        <f t="shared" si="234"/>
        <v>0</v>
      </c>
      <c r="R286" s="834">
        <f t="shared" si="235"/>
        <v>0</v>
      </c>
      <c r="S286" s="835">
        <f t="shared" si="236"/>
        <v>0</v>
      </c>
      <c r="T286" s="835">
        <f t="shared" si="237"/>
        <v>0</v>
      </c>
      <c r="U286" s="782"/>
      <c r="V286" s="783"/>
      <c r="W286" s="784">
        <f t="shared" si="238"/>
        <v>0</v>
      </c>
      <c r="X286" s="781">
        <f t="shared" si="238"/>
        <v>0</v>
      </c>
      <c r="Y286" s="783"/>
      <c r="Z286" s="781"/>
    </row>
    <row r="287" spans="1:26" s="204" customFormat="1" x14ac:dyDescent="0.2">
      <c r="A287" s="622" t="s">
        <v>564</v>
      </c>
      <c r="B287" s="623"/>
      <c r="C287" s="782">
        <f t="shared" ref="C287:K287" si="242">C48/C$193*100</f>
        <v>5.5627005091308786E-4</v>
      </c>
      <c r="D287" s="783">
        <f t="shared" si="242"/>
        <v>0</v>
      </c>
      <c r="E287" s="783">
        <f t="shared" si="242"/>
        <v>0</v>
      </c>
      <c r="F287" s="783">
        <f t="shared" si="242"/>
        <v>0</v>
      </c>
      <c r="G287" s="781">
        <f t="shared" si="242"/>
        <v>0</v>
      </c>
      <c r="H287" s="783">
        <f t="shared" si="242"/>
        <v>5.2258274291504812E-4</v>
      </c>
      <c r="I287" s="783">
        <f t="shared" si="242"/>
        <v>4.8791960371487889E-4</v>
      </c>
      <c r="J287" s="783">
        <f t="shared" si="242"/>
        <v>4.5813871219152014E-4</v>
      </c>
      <c r="K287" s="781">
        <f t="shared" si="242"/>
        <v>4.3262983749792851E-4</v>
      </c>
      <c r="L287" s="783"/>
      <c r="M287" s="782">
        <f t="shared" si="234"/>
        <v>0</v>
      </c>
      <c r="N287" s="782">
        <f t="shared" si="234"/>
        <v>5.2194018691539704E-4</v>
      </c>
      <c r="O287" s="783">
        <f t="shared" si="234"/>
        <v>5.2160607819545497E-4</v>
      </c>
      <c r="P287" s="783">
        <f t="shared" si="234"/>
        <v>5.2011427618540659E-4</v>
      </c>
      <c r="Q287" s="781">
        <f t="shared" si="234"/>
        <v>5.1957966626664162E-4</v>
      </c>
      <c r="R287" s="834">
        <f t="shared" si="235"/>
        <v>-3.3686474480576088E-5</v>
      </c>
      <c r="S287" s="835">
        <f t="shared" si="236"/>
        <v>-6.1975563993886453E-5</v>
      </c>
      <c r="T287" s="835">
        <f t="shared" si="237"/>
        <v>-8.6949828768713119E-5</v>
      </c>
      <c r="U287" s="782"/>
      <c r="V287" s="783"/>
      <c r="W287" s="784">
        <f t="shared" si="238"/>
        <v>5.2160607819545497E-4</v>
      </c>
      <c r="X287" s="781">
        <f t="shared" si="238"/>
        <v>4.8714836557594974E-4</v>
      </c>
      <c r="Y287" s="783"/>
      <c r="Z287" s="781"/>
    </row>
    <row r="288" spans="1:26" s="204" customFormat="1" x14ac:dyDescent="0.2">
      <c r="A288" s="622" t="s">
        <v>565</v>
      </c>
      <c r="B288" s="623"/>
      <c r="C288" s="782">
        <f t="shared" ref="C288:K288" si="243">C49/C$193*100</f>
        <v>7.0501642799813708E-3</v>
      </c>
      <c r="D288" s="783">
        <f t="shared" si="243"/>
        <v>9.7992927542127455E-3</v>
      </c>
      <c r="E288" s="783">
        <f t="shared" si="243"/>
        <v>0</v>
      </c>
      <c r="F288" s="783">
        <f t="shared" si="243"/>
        <v>0</v>
      </c>
      <c r="G288" s="781">
        <f t="shared" si="243"/>
        <v>0</v>
      </c>
      <c r="H288" s="783">
        <f t="shared" si="243"/>
        <v>2.9918836338695906E-5</v>
      </c>
      <c r="I288" s="783">
        <f t="shared" si="243"/>
        <v>6.1838910003637077E-3</v>
      </c>
      <c r="J288" s="783">
        <f t="shared" si="243"/>
        <v>5.8064481067559258E-3</v>
      </c>
      <c r="K288" s="781">
        <f t="shared" si="243"/>
        <v>5.4831487364373557E-3</v>
      </c>
      <c r="L288" s="783"/>
      <c r="M288" s="782">
        <f t="shared" si="234"/>
        <v>0</v>
      </c>
      <c r="N288" s="782">
        <f t="shared" si="234"/>
        <v>2.9882048809730125E-5</v>
      </c>
      <c r="O288" s="783">
        <f t="shared" si="234"/>
        <v>2.9862920462598878E-5</v>
      </c>
      <c r="P288" s="783">
        <f t="shared" si="234"/>
        <v>2.9777512016197821E-5</v>
      </c>
      <c r="Q288" s="781">
        <f t="shared" si="234"/>
        <v>2.9746904601618167E-5</v>
      </c>
      <c r="R288" s="834">
        <f t="shared" si="235"/>
        <v>6.1540280799011089E-3</v>
      </c>
      <c r="S288" s="835">
        <f t="shared" si="236"/>
        <v>5.7766705947397282E-3</v>
      </c>
      <c r="T288" s="835">
        <f t="shared" si="237"/>
        <v>5.4534018318357375E-3</v>
      </c>
      <c r="U288" s="782"/>
      <c r="V288" s="783"/>
      <c r="W288" s="784">
        <f t="shared" si="238"/>
        <v>2.9862920462598878E-5</v>
      </c>
      <c r="X288" s="781">
        <f t="shared" si="238"/>
        <v>6.1741163314425369E-3</v>
      </c>
      <c r="Y288" s="783"/>
      <c r="Z288" s="781"/>
    </row>
    <row r="289" spans="1:26" s="204" customFormat="1" x14ac:dyDescent="0.2">
      <c r="A289" s="622" t="s">
        <v>566</v>
      </c>
      <c r="B289" s="623"/>
      <c r="C289" s="782">
        <f t="shared" ref="C289:K289" si="244">C50/C$193*100</f>
        <v>0.4398196782274747</v>
      </c>
      <c r="D289" s="783">
        <f t="shared" si="244"/>
        <v>0.31187594457881396</v>
      </c>
      <c r="E289" s="783">
        <f t="shared" si="244"/>
        <v>0.46462254980885631</v>
      </c>
      <c r="F289" s="783">
        <f t="shared" si="244"/>
        <v>0.43548892416410345</v>
      </c>
      <c r="G289" s="781">
        <f t="shared" si="244"/>
        <v>0.41179314358820901</v>
      </c>
      <c r="H289" s="783">
        <f t="shared" si="244"/>
        <v>0.41528964911042149</v>
      </c>
      <c r="I289" s="783">
        <f t="shared" si="244"/>
        <v>0.39457360275921438</v>
      </c>
      <c r="J289" s="783">
        <f t="shared" si="244"/>
        <v>0.36971398443899989</v>
      </c>
      <c r="K289" s="781">
        <f t="shared" si="244"/>
        <v>0.34968159959792766</v>
      </c>
      <c r="L289" s="783"/>
      <c r="M289" s="782">
        <f t="shared" si="234"/>
        <v>0</v>
      </c>
      <c r="N289" s="782">
        <f t="shared" si="234"/>
        <v>0.41477901828832364</v>
      </c>
      <c r="O289" s="783">
        <f t="shared" si="234"/>
        <v>0.4145135064723468</v>
      </c>
      <c r="P289" s="783">
        <f t="shared" si="234"/>
        <v>0.4257243171112044</v>
      </c>
      <c r="Q289" s="781">
        <f t="shared" si="234"/>
        <v>0.4252867278101447</v>
      </c>
      <c r="R289" s="834">
        <f t="shared" si="235"/>
        <v>-1.9939903713132423E-2</v>
      </c>
      <c r="S289" s="835">
        <f t="shared" si="236"/>
        <v>-5.601033267220451E-2</v>
      </c>
      <c r="T289" s="835">
        <f t="shared" si="237"/>
        <v>-7.5605128212217043E-2</v>
      </c>
      <c r="U289" s="782"/>
      <c r="V289" s="783"/>
      <c r="W289" s="784">
        <f t="shared" si="238"/>
        <v>0.4145135064723468</v>
      </c>
      <c r="X289" s="781">
        <f t="shared" si="238"/>
        <v>0.46462254980885631</v>
      </c>
      <c r="Y289" s="783"/>
      <c r="Z289" s="781"/>
    </row>
    <row r="290" spans="1:26" s="204" customFormat="1" x14ac:dyDescent="0.2">
      <c r="A290" s="622" t="s">
        <v>567</v>
      </c>
      <c r="B290" s="623"/>
      <c r="C290" s="782">
        <f t="shared" ref="C290:K290" si="245">C51/C$193*100</f>
        <v>0.17392985250806023</v>
      </c>
      <c r="D290" s="783">
        <f t="shared" si="245"/>
        <v>4.1505091550634726E-2</v>
      </c>
      <c r="E290" s="783">
        <f t="shared" si="245"/>
        <v>3.8333003063254989E-2</v>
      </c>
      <c r="F290" s="783">
        <f t="shared" si="245"/>
        <v>3.8110799061136597E-2</v>
      </c>
      <c r="G290" s="781">
        <f t="shared" si="245"/>
        <v>4.6138612592875272E-2</v>
      </c>
      <c r="H290" s="783">
        <f t="shared" si="245"/>
        <v>0.16383079707069581</v>
      </c>
      <c r="I290" s="783">
        <f t="shared" si="245"/>
        <v>0.13436311978777682</v>
      </c>
      <c r="J290" s="783">
        <f t="shared" si="245"/>
        <v>0.12726513230274933</v>
      </c>
      <c r="K290" s="781">
        <f t="shared" si="245"/>
        <v>0.131030652505535</v>
      </c>
      <c r="L290" s="783"/>
      <c r="M290" s="782">
        <f t="shared" si="234"/>
        <v>0</v>
      </c>
      <c r="N290" s="782">
        <f t="shared" si="234"/>
        <v>0.16362935440345777</v>
      </c>
      <c r="O290" s="783">
        <f t="shared" si="234"/>
        <v>0.13627570518293822</v>
      </c>
      <c r="P290" s="783">
        <f t="shared" si="234"/>
        <v>0.12803189539596158</v>
      </c>
      <c r="Q290" s="781">
        <f t="shared" si="234"/>
        <v>0.12567730236977201</v>
      </c>
      <c r="R290" s="834">
        <f t="shared" si="235"/>
        <v>-1.912585395161398E-3</v>
      </c>
      <c r="S290" s="835">
        <f t="shared" si="236"/>
        <v>-7.6676309321224712E-4</v>
      </c>
      <c r="T290" s="835">
        <f t="shared" si="237"/>
        <v>5.3533501357629909E-3</v>
      </c>
      <c r="U290" s="782"/>
      <c r="V290" s="783"/>
      <c r="W290" s="784">
        <f t="shared" si="238"/>
        <v>0.13627570518293822</v>
      </c>
      <c r="X290" s="781">
        <f t="shared" si="238"/>
        <v>0.1341507365146784</v>
      </c>
      <c r="Y290" s="783"/>
      <c r="Z290" s="781"/>
    </row>
    <row r="291" spans="1:26" s="204" customFormat="1" x14ac:dyDescent="0.2">
      <c r="A291" s="622" t="s">
        <v>568</v>
      </c>
      <c r="B291" s="623"/>
      <c r="C291" s="782">
        <f t="shared" ref="C291:K291" si="246">C52/C$193*100</f>
        <v>5.4325223414905519E-2</v>
      </c>
      <c r="D291" s="783">
        <f t="shared" si="246"/>
        <v>5.2956106102344053E-2</v>
      </c>
      <c r="E291" s="783">
        <f t="shared" si="246"/>
        <v>5.0857016794233392E-2</v>
      </c>
      <c r="F291" s="783">
        <f t="shared" si="246"/>
        <v>4.7740700038570165E-2</v>
      </c>
      <c r="G291" s="781">
        <f t="shared" si="246"/>
        <v>4.6656491225180341E-2</v>
      </c>
      <c r="H291" s="783">
        <f t="shared" si="246"/>
        <v>5.882377358278934E-2</v>
      </c>
      <c r="I291" s="783">
        <f t="shared" si="246"/>
        <v>5.0937532041241358E-2</v>
      </c>
      <c r="J291" s="783">
        <f t="shared" si="246"/>
        <v>4.7816247993945724E-2</v>
      </c>
      <c r="K291" s="781">
        <f t="shared" si="246"/>
        <v>4.6730347827972495E-2</v>
      </c>
      <c r="L291" s="783"/>
      <c r="M291" s="782">
        <f t="shared" si="234"/>
        <v>0</v>
      </c>
      <c r="N291" s="782">
        <f t="shared" si="234"/>
        <v>5.8751445192404897E-2</v>
      </c>
      <c r="O291" s="783">
        <f t="shared" si="234"/>
        <v>5.5042155382780886E-2</v>
      </c>
      <c r="P291" s="783">
        <f t="shared" si="234"/>
        <v>5.182260478713975E-2</v>
      </c>
      <c r="Q291" s="781">
        <f t="shared" si="234"/>
        <v>4.8916006548929442E-2</v>
      </c>
      <c r="R291" s="834">
        <f t="shared" si="235"/>
        <v>-4.1046233415395275E-3</v>
      </c>
      <c r="S291" s="835">
        <f t="shared" si="236"/>
        <v>-4.0063567931940269E-3</v>
      </c>
      <c r="T291" s="835">
        <f t="shared" si="237"/>
        <v>-2.185658720956947E-3</v>
      </c>
      <c r="U291" s="782"/>
      <c r="V291" s="783"/>
      <c r="W291" s="784">
        <f t="shared" si="238"/>
        <v>5.5042155382780886E-2</v>
      </c>
      <c r="X291" s="781">
        <f t="shared" si="238"/>
        <v>5.0857016794233392E-2</v>
      </c>
      <c r="Y291" s="783"/>
      <c r="Z291" s="781"/>
    </row>
    <row r="292" spans="1:26" s="204" customFormat="1" x14ac:dyDescent="0.2">
      <c r="A292" s="479" t="s">
        <v>394</v>
      </c>
      <c r="B292" s="641" t="s">
        <v>569</v>
      </c>
      <c r="C292" s="841">
        <f t="shared" ref="C292:K292" si="247">C53/C$193*100</f>
        <v>4.2984825353714093</v>
      </c>
      <c r="D292" s="842">
        <f t="shared" si="247"/>
        <v>3.885444532386507</v>
      </c>
      <c r="E292" s="842">
        <f t="shared" si="247"/>
        <v>3.7122315523519358</v>
      </c>
      <c r="F292" s="842">
        <f t="shared" si="247"/>
        <v>3.6308933351164758</v>
      </c>
      <c r="G292" s="843">
        <f t="shared" si="247"/>
        <v>3.5013841492263866</v>
      </c>
      <c r="H292" s="842">
        <f t="shared" si="247"/>
        <v>4.1240230323845157</v>
      </c>
      <c r="I292" s="842">
        <f t="shared" si="247"/>
        <v>3.995521036613412</v>
      </c>
      <c r="J292" s="842">
        <f t="shared" si="247"/>
        <v>3.9055831243377845</v>
      </c>
      <c r="K292" s="843">
        <f t="shared" si="247"/>
        <v>3.8301117839293091</v>
      </c>
      <c r="L292" s="842"/>
      <c r="M292" s="841">
        <f t="shared" si="234"/>
        <v>0</v>
      </c>
      <c r="N292" s="841">
        <f t="shared" si="234"/>
        <v>4.118952226319669</v>
      </c>
      <c r="O292" s="842">
        <f t="shared" si="234"/>
        <v>4.0096982935696701</v>
      </c>
      <c r="P292" s="842">
        <f t="shared" si="234"/>
        <v>3.9241441647808504</v>
      </c>
      <c r="Q292" s="843">
        <f t="shared" si="234"/>
        <v>3.8310197006238127</v>
      </c>
      <c r="R292" s="863">
        <f t="shared" ref="R292:T292" si="248">SUM(R293:R303)</f>
        <v>-1.4177256956257878E-2</v>
      </c>
      <c r="S292" s="864">
        <f t="shared" si="248"/>
        <v>-1.8561040443066085E-2</v>
      </c>
      <c r="T292" s="864">
        <f t="shared" si="248"/>
        <v>-9.0791669450310253E-4</v>
      </c>
      <c r="U292" s="841"/>
      <c r="V292" s="842"/>
      <c r="W292" s="844">
        <f t="shared" si="238"/>
        <v>4.0096982935696701</v>
      </c>
      <c r="X292" s="843">
        <f t="shared" si="238"/>
        <v>3.8758932181760706</v>
      </c>
      <c r="Y292" s="842"/>
      <c r="Z292" s="843"/>
    </row>
    <row r="293" spans="1:26" s="204" customFormat="1" x14ac:dyDescent="0.2">
      <c r="A293" s="622" t="s">
        <v>570</v>
      </c>
      <c r="B293" s="641"/>
      <c r="C293" s="782">
        <f t="shared" ref="C293:K293" si="249">C54/C$193*100</f>
        <v>0.20656475500770918</v>
      </c>
      <c r="D293" s="783">
        <f t="shared" si="249"/>
        <v>0.28719728155854951</v>
      </c>
      <c r="E293" s="783">
        <f t="shared" si="249"/>
        <v>0.2653300234078918</v>
      </c>
      <c r="F293" s="783">
        <f t="shared" si="249"/>
        <v>0.3017986114745233</v>
      </c>
      <c r="G293" s="781">
        <f t="shared" si="249"/>
        <v>0.28927543700222103</v>
      </c>
      <c r="H293" s="783">
        <f t="shared" si="249"/>
        <v>0.19929002907777257</v>
      </c>
      <c r="I293" s="783">
        <f t="shared" si="249"/>
        <v>0.1986103588636525</v>
      </c>
      <c r="J293" s="783">
        <f t="shared" si="249"/>
        <v>0.19807369935916203</v>
      </c>
      <c r="K293" s="781">
        <f t="shared" si="249"/>
        <v>0.19815933423984866</v>
      </c>
      <c r="L293" s="783"/>
      <c r="M293" s="782">
        <f t="shared" ref="M293:Q302" si="250">M54/M$193*100</f>
        <v>0</v>
      </c>
      <c r="N293" s="782">
        <f t="shared" si="250"/>
        <v>0.19904498653553282</v>
      </c>
      <c r="O293" s="783">
        <f t="shared" si="250"/>
        <v>0.19904498653553279</v>
      </c>
      <c r="P293" s="783">
        <f t="shared" si="250"/>
        <v>0.19904498653553279</v>
      </c>
      <c r="Q293" s="781">
        <f t="shared" si="250"/>
        <v>0.19904498653553279</v>
      </c>
      <c r="R293" s="834">
        <f t="shared" ref="R293:R303" si="251">I293-O293</f>
        <v>-4.3462767188029439E-4</v>
      </c>
      <c r="S293" s="835">
        <f t="shared" ref="S293:S303" si="252">J293-P293</f>
        <v>-9.7128717637076645E-4</v>
      </c>
      <c r="T293" s="835">
        <f t="shared" ref="T293:T303" si="253">K293-Q293</f>
        <v>-8.8565229568413062E-4</v>
      </c>
      <c r="U293" s="782"/>
      <c r="V293" s="783"/>
      <c r="W293" s="784">
        <f t="shared" si="238"/>
        <v>0.19904498653553279</v>
      </c>
      <c r="X293" s="781">
        <f t="shared" si="238"/>
        <v>0.1982964221364216</v>
      </c>
      <c r="Y293" s="783"/>
      <c r="Z293" s="781"/>
    </row>
    <row r="294" spans="1:26" s="204" customFormat="1" x14ac:dyDescent="0.2">
      <c r="A294" s="622" t="s">
        <v>571</v>
      </c>
      <c r="B294" s="641"/>
      <c r="C294" s="782">
        <f t="shared" ref="C294:K294" si="254">C55/C$193*100</f>
        <v>8.2904957466908361E-2</v>
      </c>
      <c r="D294" s="783">
        <f t="shared" si="254"/>
        <v>8.3374970706449891E-2</v>
      </c>
      <c r="E294" s="783">
        <f t="shared" si="254"/>
        <v>7.077742170534955E-2</v>
      </c>
      <c r="F294" s="783">
        <f t="shared" si="254"/>
        <v>7.3673293367678208E-2</v>
      </c>
      <c r="G294" s="781">
        <f t="shared" si="254"/>
        <v>7.6375080189141145E-2</v>
      </c>
      <c r="H294" s="783">
        <f t="shared" si="254"/>
        <v>8.3506950850899556E-2</v>
      </c>
      <c r="I294" s="783">
        <f t="shared" si="254"/>
        <v>7.0889474317759937E-2</v>
      </c>
      <c r="J294" s="783">
        <f t="shared" si="254"/>
        <v>7.3789878727239647E-2</v>
      </c>
      <c r="K294" s="781">
        <f t="shared" si="254"/>
        <v>7.6495980921549925E-2</v>
      </c>
      <c r="L294" s="783"/>
      <c r="M294" s="782">
        <f t="shared" si="250"/>
        <v>0</v>
      </c>
      <c r="N294" s="782">
        <f t="shared" si="250"/>
        <v>8.3404272580311259E-2</v>
      </c>
      <c r="O294" s="783">
        <f t="shared" si="250"/>
        <v>8.3404272580311245E-2</v>
      </c>
      <c r="P294" s="783">
        <f t="shared" si="250"/>
        <v>8.3404272580311245E-2</v>
      </c>
      <c r="Q294" s="781">
        <f t="shared" si="250"/>
        <v>8.3404272580311245E-2</v>
      </c>
      <c r="R294" s="834">
        <f t="shared" si="251"/>
        <v>-1.2514798262551308E-2</v>
      </c>
      <c r="S294" s="835">
        <f t="shared" si="252"/>
        <v>-9.6143938530715983E-3</v>
      </c>
      <c r="T294" s="835">
        <f t="shared" si="253"/>
        <v>-6.9082916587613202E-3</v>
      </c>
      <c r="U294" s="782"/>
      <c r="V294" s="783"/>
      <c r="W294" s="784">
        <f t="shared" si="238"/>
        <v>8.3404272580311245E-2</v>
      </c>
      <c r="X294" s="781">
        <f t="shared" si="238"/>
        <v>7.077742170534955E-2</v>
      </c>
      <c r="Y294" s="783"/>
      <c r="Z294" s="781"/>
    </row>
    <row r="295" spans="1:26" s="204" customFormat="1" x14ac:dyDescent="0.2">
      <c r="A295" s="622" t="s">
        <v>545</v>
      </c>
      <c r="B295" s="641"/>
      <c r="C295" s="782">
        <f t="shared" ref="C295:K295" si="255">C56/C$193*100</f>
        <v>0.10508064477921582</v>
      </c>
      <c r="D295" s="783">
        <f t="shared" si="255"/>
        <v>0</v>
      </c>
      <c r="E295" s="783">
        <f t="shared" si="255"/>
        <v>0</v>
      </c>
      <c r="F295" s="783">
        <f t="shared" si="255"/>
        <v>0</v>
      </c>
      <c r="G295" s="781">
        <f t="shared" si="255"/>
        <v>0</v>
      </c>
      <c r="H295" s="783">
        <f t="shared" si="255"/>
        <v>0.10537349570804405</v>
      </c>
      <c r="I295" s="783">
        <f t="shared" si="255"/>
        <v>0.1027132623063093</v>
      </c>
      <c r="J295" s="783">
        <f t="shared" si="255"/>
        <v>0.10068754339762623</v>
      </c>
      <c r="K295" s="781">
        <f t="shared" si="255"/>
        <v>9.9264902728519858E-2</v>
      </c>
      <c r="L295" s="783"/>
      <c r="M295" s="782">
        <f t="shared" si="250"/>
        <v>0</v>
      </c>
      <c r="N295" s="782">
        <f t="shared" si="250"/>
        <v>0.10524393082518221</v>
      </c>
      <c r="O295" s="783">
        <f t="shared" si="250"/>
        <v>0.1029380341979812</v>
      </c>
      <c r="P295" s="783">
        <f t="shared" si="250"/>
        <v>0.10118128143573421</v>
      </c>
      <c r="Q295" s="781">
        <f t="shared" si="250"/>
        <v>9.9708556767425571E-2</v>
      </c>
      <c r="R295" s="834">
        <f t="shared" si="251"/>
        <v>-2.2477189167190159E-4</v>
      </c>
      <c r="S295" s="835">
        <f t="shared" si="252"/>
        <v>-4.9373803810798256E-4</v>
      </c>
      <c r="T295" s="835">
        <f t="shared" si="253"/>
        <v>-4.4365403890571364E-4</v>
      </c>
      <c r="U295" s="782"/>
      <c r="V295" s="783"/>
      <c r="W295" s="784">
        <f t="shared" si="238"/>
        <v>0.1029380341979812</v>
      </c>
      <c r="X295" s="781">
        <f t="shared" si="238"/>
        <v>0.13524559708701792</v>
      </c>
      <c r="Y295" s="783"/>
      <c r="Z295" s="781"/>
    </row>
    <row r="296" spans="1:26" s="204" customFormat="1" x14ac:dyDescent="0.2">
      <c r="A296" s="622" t="s">
        <v>523</v>
      </c>
      <c r="B296" s="623"/>
      <c r="C296" s="782">
        <f t="shared" ref="C296:K296" si="256">C57/C$193*100</f>
        <v>0.73913955657074315</v>
      </c>
      <c r="D296" s="783">
        <f t="shared" si="256"/>
        <v>0.67340565708196443</v>
      </c>
      <c r="E296" s="783">
        <f t="shared" si="256"/>
        <v>0.61335743788858343</v>
      </c>
      <c r="F296" s="783">
        <f t="shared" si="256"/>
        <v>0.5826678237712305</v>
      </c>
      <c r="G296" s="781">
        <f t="shared" si="256"/>
        <v>0.55663093685625631</v>
      </c>
      <c r="H296" s="783">
        <f t="shared" si="256"/>
        <v>0.67871208752871615</v>
      </c>
      <c r="I296" s="783">
        <f t="shared" si="256"/>
        <v>0.61432848630488313</v>
      </c>
      <c r="J296" s="783">
        <f t="shared" si="256"/>
        <v>0.58358987482438796</v>
      </c>
      <c r="K296" s="781">
        <f t="shared" si="256"/>
        <v>0.55751207619883558</v>
      </c>
      <c r="L296" s="783"/>
      <c r="M296" s="782">
        <f t="shared" si="250"/>
        <v>0</v>
      </c>
      <c r="N296" s="782">
        <f t="shared" si="250"/>
        <v>0.67787755839473729</v>
      </c>
      <c r="O296" s="783">
        <f t="shared" si="250"/>
        <v>0.65034554067437467</v>
      </c>
      <c r="P296" s="783">
        <f t="shared" si="250"/>
        <v>0.62741924974713725</v>
      </c>
      <c r="Q296" s="781">
        <f t="shared" si="250"/>
        <v>0.60737948600296421</v>
      </c>
      <c r="R296" s="834">
        <f t="shared" si="251"/>
        <v>-3.6017054369491541E-2</v>
      </c>
      <c r="S296" s="835">
        <f t="shared" si="252"/>
        <v>-4.3829374922749298E-2</v>
      </c>
      <c r="T296" s="835">
        <f t="shared" si="253"/>
        <v>-4.9867409804128626E-2</v>
      </c>
      <c r="U296" s="782"/>
      <c r="V296" s="783"/>
      <c r="W296" s="784">
        <f t="shared" si="238"/>
        <v>0.65034554067437467</v>
      </c>
      <c r="X296" s="781">
        <f t="shared" si="238"/>
        <v>0.61335743788858343</v>
      </c>
      <c r="Y296" s="783"/>
      <c r="Z296" s="781"/>
    </row>
    <row r="297" spans="1:26" s="204" customFormat="1" x14ac:dyDescent="0.2">
      <c r="A297" s="622" t="s">
        <v>572</v>
      </c>
      <c r="B297" s="623"/>
      <c r="C297" s="782">
        <f t="shared" ref="C297:K297" si="257">C58/C$193*100</f>
        <v>0.73064704790194623</v>
      </c>
      <c r="D297" s="783">
        <f t="shared" si="257"/>
        <v>0.61402044579256188</v>
      </c>
      <c r="E297" s="783">
        <f t="shared" si="257"/>
        <v>0.5782728268228845</v>
      </c>
      <c r="F297" s="783">
        <f t="shared" si="257"/>
        <v>0.55468490123909031</v>
      </c>
      <c r="G297" s="781">
        <f t="shared" si="257"/>
        <v>0.54130291499539229</v>
      </c>
      <c r="H297" s="783">
        <f t="shared" si="257"/>
        <v>0.70309522258638169</v>
      </c>
      <c r="I297" s="783">
        <f t="shared" si="257"/>
        <v>0.65453632078692137</v>
      </c>
      <c r="J297" s="783">
        <f t="shared" si="257"/>
        <v>0.64325687889557748</v>
      </c>
      <c r="K297" s="781">
        <f t="shared" si="257"/>
        <v>0.6506116441778057</v>
      </c>
      <c r="L297" s="783"/>
      <c r="M297" s="782">
        <f t="shared" si="250"/>
        <v>0</v>
      </c>
      <c r="N297" s="782">
        <f t="shared" si="250"/>
        <v>0.7022307124973598</v>
      </c>
      <c r="O297" s="783">
        <f t="shared" si="250"/>
        <v>0.67370959067995662</v>
      </c>
      <c r="P297" s="783">
        <f t="shared" si="250"/>
        <v>0.6499596591275969</v>
      </c>
      <c r="Q297" s="781">
        <f t="shared" si="250"/>
        <v>0.62919995496262315</v>
      </c>
      <c r="R297" s="834">
        <f t="shared" si="251"/>
        <v>-1.917326989303525E-2</v>
      </c>
      <c r="S297" s="835">
        <f t="shared" si="252"/>
        <v>-6.702780232019423E-3</v>
      </c>
      <c r="T297" s="835">
        <f t="shared" si="253"/>
        <v>2.141168921518255E-2</v>
      </c>
      <c r="U297" s="782"/>
      <c r="V297" s="783"/>
      <c r="W297" s="784">
        <f t="shared" si="238"/>
        <v>0.67370959067995662</v>
      </c>
      <c r="X297" s="781">
        <f t="shared" si="238"/>
        <v>0.5782728268228845</v>
      </c>
      <c r="Y297" s="783"/>
      <c r="Z297" s="781"/>
    </row>
    <row r="298" spans="1:26" s="204" customFormat="1" x14ac:dyDescent="0.2">
      <c r="A298" s="622" t="s">
        <v>573</v>
      </c>
      <c r="B298" s="623"/>
      <c r="C298" s="782">
        <f t="shared" ref="C298:K298" si="258">C59/C$193*100</f>
        <v>9.7246246396943421E-3</v>
      </c>
      <c r="D298" s="783">
        <f t="shared" si="258"/>
        <v>0</v>
      </c>
      <c r="E298" s="783">
        <f t="shared" si="258"/>
        <v>0</v>
      </c>
      <c r="F298" s="783">
        <f t="shared" si="258"/>
        <v>0</v>
      </c>
      <c r="G298" s="781">
        <f t="shared" si="258"/>
        <v>0</v>
      </c>
      <c r="H298" s="783">
        <f t="shared" si="258"/>
        <v>0</v>
      </c>
      <c r="I298" s="783">
        <f t="shared" si="258"/>
        <v>0</v>
      </c>
      <c r="J298" s="783">
        <f t="shared" si="258"/>
        <v>0</v>
      </c>
      <c r="K298" s="781">
        <f t="shared" si="258"/>
        <v>0</v>
      </c>
      <c r="L298" s="783"/>
      <c r="M298" s="782">
        <f t="shared" si="250"/>
        <v>0</v>
      </c>
      <c r="N298" s="782">
        <f t="shared" si="250"/>
        <v>0</v>
      </c>
      <c r="O298" s="783">
        <f t="shared" si="250"/>
        <v>0</v>
      </c>
      <c r="P298" s="783">
        <f t="shared" si="250"/>
        <v>0</v>
      </c>
      <c r="Q298" s="781">
        <f t="shared" si="250"/>
        <v>0</v>
      </c>
      <c r="R298" s="834">
        <f t="shared" si="251"/>
        <v>0</v>
      </c>
      <c r="S298" s="835">
        <f t="shared" si="252"/>
        <v>0</v>
      </c>
      <c r="T298" s="835">
        <f t="shared" si="253"/>
        <v>0</v>
      </c>
      <c r="U298" s="782"/>
      <c r="V298" s="783"/>
      <c r="W298" s="784">
        <f t="shared" si="238"/>
        <v>0</v>
      </c>
      <c r="X298" s="781">
        <f t="shared" si="238"/>
        <v>0</v>
      </c>
      <c r="Y298" s="783"/>
      <c r="Z298" s="781"/>
    </row>
    <row r="299" spans="1:26" s="204" customFormat="1" x14ac:dyDescent="0.2">
      <c r="A299" s="622" t="s">
        <v>562</v>
      </c>
      <c r="B299" s="623"/>
      <c r="C299" s="782">
        <f t="shared" ref="C299:K299" si="259">C60/C$193*100</f>
        <v>1.7203487417112522</v>
      </c>
      <c r="D299" s="783">
        <f t="shared" si="259"/>
        <v>1.6201090825481184</v>
      </c>
      <c r="E299" s="783">
        <f t="shared" si="259"/>
        <v>1.6175490709089861</v>
      </c>
      <c r="F299" s="783">
        <f t="shared" si="259"/>
        <v>1.5695432266742644</v>
      </c>
      <c r="G299" s="781">
        <f t="shared" si="259"/>
        <v>1.5107820182314189</v>
      </c>
      <c r="H299" s="783">
        <f t="shared" si="259"/>
        <v>1.7441929774896348</v>
      </c>
      <c r="I299" s="783">
        <f t="shared" si="259"/>
        <v>1.714057737453454</v>
      </c>
      <c r="J299" s="783">
        <f t="shared" si="259"/>
        <v>1.6928744105300213</v>
      </c>
      <c r="K299" s="781">
        <f t="shared" si="259"/>
        <v>1.6608060262868169</v>
      </c>
      <c r="L299" s="783"/>
      <c r="M299" s="782">
        <f t="shared" si="250"/>
        <v>0</v>
      </c>
      <c r="N299" s="782">
        <f t="shared" si="250"/>
        <v>1.7420483569918674</v>
      </c>
      <c r="O299" s="783">
        <f t="shared" si="250"/>
        <v>1.7158921733152592</v>
      </c>
      <c r="P299" s="783">
        <f t="shared" si="250"/>
        <v>1.6993712872482973</v>
      </c>
      <c r="Q299" s="781">
        <f t="shared" si="250"/>
        <v>1.6665256131892834</v>
      </c>
      <c r="R299" s="834">
        <f t="shared" si="251"/>
        <v>-1.8344358618052059E-3</v>
      </c>
      <c r="S299" s="835">
        <f t="shared" si="252"/>
        <v>-6.4968767182760345E-3</v>
      </c>
      <c r="T299" s="835">
        <f t="shared" si="253"/>
        <v>-5.7195869024664336E-3</v>
      </c>
      <c r="U299" s="782"/>
      <c r="V299" s="783"/>
      <c r="W299" s="784">
        <f t="shared" si="238"/>
        <v>1.7158921733152592</v>
      </c>
      <c r="X299" s="781">
        <f t="shared" si="238"/>
        <v>1.640570351655066</v>
      </c>
      <c r="Y299" s="783"/>
      <c r="Z299" s="781"/>
    </row>
    <row r="300" spans="1:26" s="204" customFormat="1" x14ac:dyDescent="0.2">
      <c r="A300" s="622" t="s">
        <v>564</v>
      </c>
      <c r="B300" s="623"/>
      <c r="C300" s="782">
        <f t="shared" ref="C300:K300" si="260">C61/C$193*100</f>
        <v>1.7636096005328124E-2</v>
      </c>
      <c r="D300" s="783">
        <f t="shared" si="260"/>
        <v>0</v>
      </c>
      <c r="E300" s="783">
        <f t="shared" si="260"/>
        <v>0</v>
      </c>
      <c r="F300" s="783">
        <f t="shared" si="260"/>
        <v>0</v>
      </c>
      <c r="G300" s="781">
        <f t="shared" si="260"/>
        <v>0</v>
      </c>
      <c r="H300" s="783">
        <f t="shared" si="260"/>
        <v>1.6568066912193802E-2</v>
      </c>
      <c r="I300" s="783">
        <f t="shared" si="260"/>
        <v>1.5469099873114883E-2</v>
      </c>
      <c r="J300" s="783">
        <f t="shared" si="260"/>
        <v>1.4524920582556101E-2</v>
      </c>
      <c r="K300" s="781">
        <f t="shared" si="260"/>
        <v>1.3716182160730917E-2</v>
      </c>
      <c r="L300" s="783"/>
      <c r="M300" s="782">
        <f t="shared" si="250"/>
        <v>0</v>
      </c>
      <c r="N300" s="782">
        <f t="shared" si="250"/>
        <v>1.6547695189358745E-2</v>
      </c>
      <c r="O300" s="783">
        <f t="shared" si="250"/>
        <v>1.5875610044272286E-2</v>
      </c>
      <c r="P300" s="783">
        <f t="shared" si="250"/>
        <v>1.5315955473342281E-2</v>
      </c>
      <c r="Q300" s="781">
        <f t="shared" si="250"/>
        <v>1.482676402866513E-2</v>
      </c>
      <c r="R300" s="834">
        <f t="shared" si="251"/>
        <v>-4.0651017115740304E-4</v>
      </c>
      <c r="S300" s="835">
        <f t="shared" si="252"/>
        <v>-7.9103489078618042E-4</v>
      </c>
      <c r="T300" s="835">
        <f t="shared" si="253"/>
        <v>-1.1105818679342135E-3</v>
      </c>
      <c r="U300" s="782"/>
      <c r="V300" s="783"/>
      <c r="W300" s="784">
        <f t="shared" si="238"/>
        <v>1.5875610044272286E-2</v>
      </c>
      <c r="X300" s="781">
        <f t="shared" si="238"/>
        <v>1.544464838621783E-2</v>
      </c>
      <c r="Y300" s="783"/>
      <c r="Z300" s="781"/>
    </row>
    <row r="301" spans="1:26" s="204" customFormat="1" x14ac:dyDescent="0.2">
      <c r="A301" s="622" t="s">
        <v>565</v>
      </c>
      <c r="B301" s="623"/>
      <c r="C301" s="782">
        <f t="shared" ref="C301:K301" si="261">C62/C$193*100</f>
        <v>3.4037833800038407E-2</v>
      </c>
      <c r="D301" s="783">
        <f t="shared" si="261"/>
        <v>2.9334890497393424E-2</v>
      </c>
      <c r="E301" s="783">
        <f t="shared" si="261"/>
        <v>0</v>
      </c>
      <c r="F301" s="783">
        <f t="shared" si="261"/>
        <v>0</v>
      </c>
      <c r="G301" s="781">
        <f t="shared" si="261"/>
        <v>0</v>
      </c>
      <c r="H301" s="783">
        <f t="shared" si="261"/>
        <v>2.9381326772602349E-2</v>
      </c>
      <c r="I301" s="783">
        <f t="shared" si="261"/>
        <v>2.9855510559604902E-2</v>
      </c>
      <c r="J301" s="783">
        <f t="shared" si="261"/>
        <v>2.8033235507361559E-2</v>
      </c>
      <c r="K301" s="781">
        <f t="shared" si="261"/>
        <v>2.6472362625887414E-2</v>
      </c>
      <c r="L301" s="783"/>
      <c r="M301" s="782">
        <f t="shared" si="250"/>
        <v>0</v>
      </c>
      <c r="N301" s="782">
        <f t="shared" si="250"/>
        <v>2.9345200153322638E-2</v>
      </c>
      <c r="O301" s="783">
        <f t="shared" si="250"/>
        <v>2.81533439535952E-2</v>
      </c>
      <c r="P301" s="783">
        <f t="shared" si="250"/>
        <v>2.7160868855841156E-2</v>
      </c>
      <c r="Q301" s="781">
        <f t="shared" si="250"/>
        <v>2.6293351011629509E-2</v>
      </c>
      <c r="R301" s="834">
        <f t="shared" si="251"/>
        <v>1.7021666060097022E-3</v>
      </c>
      <c r="S301" s="835">
        <f t="shared" si="252"/>
        <v>8.7236665152040302E-4</v>
      </c>
      <c r="T301" s="835">
        <f t="shared" si="253"/>
        <v>1.7901161425790471E-4</v>
      </c>
      <c r="U301" s="782"/>
      <c r="V301" s="783"/>
      <c r="W301" s="784">
        <f t="shared" si="238"/>
        <v>2.81533439535952E-2</v>
      </c>
      <c r="X301" s="781">
        <f t="shared" si="238"/>
        <v>2.9808318956263988E-2</v>
      </c>
      <c r="Y301" s="783"/>
      <c r="Z301" s="781"/>
    </row>
    <row r="302" spans="1:26" s="204" customFormat="1" x14ac:dyDescent="0.2">
      <c r="A302" s="622" t="s">
        <v>574</v>
      </c>
      <c r="B302" s="623"/>
      <c r="C302" s="782">
        <f t="shared" ref="C302:K302" si="262">C63/C$193*100</f>
        <v>8.2705571188341574E-3</v>
      </c>
      <c r="D302" s="783">
        <f t="shared" si="262"/>
        <v>1.552005447494904E-2</v>
      </c>
      <c r="E302" s="783">
        <f t="shared" si="262"/>
        <v>1.7233837408040426E-2</v>
      </c>
      <c r="F302" s="783">
        <f t="shared" si="262"/>
        <v>1.6185754046474123E-2</v>
      </c>
      <c r="G302" s="781">
        <f t="shared" si="262"/>
        <v>1.5292952781522227E-2</v>
      </c>
      <c r="H302" s="783">
        <f t="shared" si="262"/>
        <v>1.5544622268066259E-2</v>
      </c>
      <c r="I302" s="783">
        <f t="shared" si="262"/>
        <v>1.7261121483341531E-2</v>
      </c>
      <c r="J302" s="783">
        <f t="shared" si="262"/>
        <v>1.6211367425067961E-2</v>
      </c>
      <c r="K302" s="781">
        <f t="shared" si="262"/>
        <v>1.5317161321629812E-2</v>
      </c>
      <c r="L302" s="783"/>
      <c r="M302" s="782">
        <f t="shared" si="250"/>
        <v>0</v>
      </c>
      <c r="N302" s="782">
        <f t="shared" si="250"/>
        <v>1.5525508949771555E-2</v>
      </c>
      <c r="O302" s="783">
        <f t="shared" si="250"/>
        <v>1.4894939929999037E-2</v>
      </c>
      <c r="P302" s="783">
        <f t="shared" si="250"/>
        <v>1.4369856409283602E-2</v>
      </c>
      <c r="Q302" s="781">
        <f t="shared" si="250"/>
        <v>1.3910883358017177E-2</v>
      </c>
      <c r="R302" s="834">
        <f t="shared" si="251"/>
        <v>2.3661815533424935E-3</v>
      </c>
      <c r="S302" s="835">
        <f t="shared" si="252"/>
        <v>1.8415110157843587E-3</v>
      </c>
      <c r="T302" s="835">
        <f t="shared" si="253"/>
        <v>1.406277963612635E-3</v>
      </c>
      <c r="U302" s="782"/>
      <c r="V302" s="783"/>
      <c r="W302" s="784">
        <f t="shared" si="238"/>
        <v>1.4894939929999037E-2</v>
      </c>
      <c r="X302" s="781">
        <f t="shared" si="238"/>
        <v>1.7233837408040426E-2</v>
      </c>
      <c r="Y302" s="783"/>
      <c r="Z302" s="781"/>
    </row>
    <row r="303" spans="1:26" s="204" customFormat="1" x14ac:dyDescent="0.2">
      <c r="A303" s="622" t="s">
        <v>497</v>
      </c>
      <c r="B303" s="623"/>
      <c r="C303" s="782">
        <f t="shared" ref="C303:K303" si="263">C64/C$193*100</f>
        <v>0.64412772036974009</v>
      </c>
      <c r="D303" s="783">
        <f t="shared" si="263"/>
        <v>0.56248214972652022</v>
      </c>
      <c r="E303" s="783">
        <f t="shared" si="263"/>
        <v>0.54971093421020034</v>
      </c>
      <c r="F303" s="783">
        <f t="shared" si="263"/>
        <v>0.53233972454321543</v>
      </c>
      <c r="G303" s="781">
        <f t="shared" si="263"/>
        <v>0.51172480917043439</v>
      </c>
      <c r="H303" s="783">
        <f t="shared" si="263"/>
        <v>0.54835825319020426</v>
      </c>
      <c r="I303" s="783">
        <f t="shared" si="263"/>
        <v>0.57779966466437083</v>
      </c>
      <c r="J303" s="783">
        <f t="shared" si="263"/>
        <v>0.55454131508878435</v>
      </c>
      <c r="K303" s="781">
        <f t="shared" si="263"/>
        <v>0.53175611326768424</v>
      </c>
      <c r="L303" s="783"/>
      <c r="M303" s="782">
        <f t="shared" ref="M303:Q312" si="264">M64/M$193*100</f>
        <v>0</v>
      </c>
      <c r="N303" s="782">
        <f t="shared" si="264"/>
        <v>0.54768400420222585</v>
      </c>
      <c r="O303" s="783">
        <f t="shared" si="264"/>
        <v>0.52543980165838799</v>
      </c>
      <c r="P303" s="783">
        <f t="shared" si="264"/>
        <v>0.50691674736777392</v>
      </c>
      <c r="Q303" s="781">
        <f t="shared" si="264"/>
        <v>0.49072583218735999</v>
      </c>
      <c r="R303" s="834">
        <f t="shared" si="251"/>
        <v>5.2359863005982832E-2</v>
      </c>
      <c r="S303" s="835">
        <f t="shared" si="252"/>
        <v>4.7624567721010425E-2</v>
      </c>
      <c r="T303" s="835">
        <f t="shared" si="253"/>
        <v>4.1030281080324249E-2</v>
      </c>
      <c r="U303" s="782"/>
      <c r="V303" s="783"/>
      <c r="W303" s="784">
        <f t="shared" ref="W303:X322" si="265">W64/W$193*100</f>
        <v>0.52543980165838799</v>
      </c>
      <c r="X303" s="781">
        <f t="shared" si="265"/>
        <v>0.57688635613022554</v>
      </c>
      <c r="Y303" s="783"/>
      <c r="Z303" s="781"/>
    </row>
    <row r="304" spans="1:26" s="204" customFormat="1" x14ac:dyDescent="0.2">
      <c r="A304" s="479" t="s">
        <v>575</v>
      </c>
      <c r="B304" s="641" t="s">
        <v>576</v>
      </c>
      <c r="C304" s="841">
        <f t="shared" ref="C304:K304" si="266">C65/C$193*100</f>
        <v>1.3450656972608204</v>
      </c>
      <c r="D304" s="842">
        <f t="shared" si="266"/>
        <v>1.4626733846541589</v>
      </c>
      <c r="E304" s="842">
        <f t="shared" si="266"/>
        <v>1.2371906814297393</v>
      </c>
      <c r="F304" s="842">
        <f t="shared" si="266"/>
        <v>2.0006822459070093</v>
      </c>
      <c r="G304" s="843">
        <f t="shared" si="266"/>
        <v>1.858361954336345</v>
      </c>
      <c r="H304" s="842">
        <f t="shared" si="266"/>
        <v>1.6937149567701797</v>
      </c>
      <c r="I304" s="842">
        <f t="shared" si="266"/>
        <v>1.972199409181256</v>
      </c>
      <c r="J304" s="842">
        <f t="shared" si="266"/>
        <v>1.7967080530706419</v>
      </c>
      <c r="K304" s="843">
        <f t="shared" si="266"/>
        <v>1.7436600878464819</v>
      </c>
      <c r="L304" s="842"/>
      <c r="M304" s="841">
        <f t="shared" si="264"/>
        <v>0</v>
      </c>
      <c r="N304" s="841">
        <f t="shared" si="264"/>
        <v>1.6916324029125827</v>
      </c>
      <c r="O304" s="842">
        <f t="shared" si="264"/>
        <v>1.9143629354618952</v>
      </c>
      <c r="P304" s="842">
        <f t="shared" si="264"/>
        <v>1.8252911419655486</v>
      </c>
      <c r="Q304" s="843">
        <f t="shared" si="264"/>
        <v>1.7774445429796972</v>
      </c>
      <c r="R304" s="863">
        <f>SUM(R305:R314)</f>
        <v>5.7836473719360418E-2</v>
      </c>
      <c r="S304" s="864">
        <f>SUM(S305:S314)</f>
        <v>-2.8583088894907016E-2</v>
      </c>
      <c r="T304" s="864">
        <f>SUM(T305:T314)</f>
        <v>-3.3784455133214972E-2</v>
      </c>
      <c r="U304" s="841"/>
      <c r="V304" s="842"/>
      <c r="W304" s="844">
        <f t="shared" si="265"/>
        <v>1.9143629354618952</v>
      </c>
      <c r="X304" s="843">
        <f t="shared" si="265"/>
        <v>1.2871159602292901</v>
      </c>
      <c r="Y304" s="842"/>
      <c r="Z304" s="843"/>
    </row>
    <row r="305" spans="1:26" s="204" customFormat="1" x14ac:dyDescent="0.2">
      <c r="A305" s="622" t="s">
        <v>153</v>
      </c>
      <c r="B305" s="641"/>
      <c r="C305" s="782">
        <f t="shared" ref="C305:K305" si="267">C66/C$193*100</f>
        <v>0.74461575931439439</v>
      </c>
      <c r="D305" s="783">
        <f t="shared" si="267"/>
        <v>0.74174032428512682</v>
      </c>
      <c r="E305" s="783">
        <f t="shared" si="267"/>
        <v>0.30784783631814916</v>
      </c>
      <c r="F305" s="783">
        <f t="shared" si="267"/>
        <v>1.2304828246531108</v>
      </c>
      <c r="G305" s="781">
        <f t="shared" si="267"/>
        <v>1.1425650824678395</v>
      </c>
      <c r="H305" s="783">
        <f t="shared" si="267"/>
        <v>0.98779622368713027</v>
      </c>
      <c r="I305" s="783">
        <f t="shared" si="267"/>
        <v>1.1244516421913513</v>
      </c>
      <c r="J305" s="783">
        <f t="shared" si="267"/>
        <v>1.0099275979520814</v>
      </c>
      <c r="K305" s="781">
        <f t="shared" si="267"/>
        <v>1.0007239308193241</v>
      </c>
      <c r="L305" s="783"/>
      <c r="M305" s="782">
        <f t="shared" si="264"/>
        <v>0</v>
      </c>
      <c r="N305" s="782">
        <f t="shared" si="264"/>
        <v>0.98658165164362521</v>
      </c>
      <c r="O305" s="783">
        <f t="shared" si="264"/>
        <v>1.1269123285431801</v>
      </c>
      <c r="P305" s="783">
        <f t="shared" si="264"/>
        <v>1.0148799451245099</v>
      </c>
      <c r="Q305" s="781">
        <f t="shared" si="264"/>
        <v>1.0051965611401514</v>
      </c>
      <c r="R305" s="834">
        <f t="shared" ref="R305:R314" si="268">I305-O305</f>
        <v>-2.4606863518288336E-3</v>
      </c>
      <c r="S305" s="835">
        <f t="shared" ref="S305:S314" si="269">J305-P305</f>
        <v>-4.9523471724284285E-3</v>
      </c>
      <c r="T305" s="835">
        <f t="shared" ref="T305:T314" si="270">K305-Q305</f>
        <v>-4.4726303208273421E-3</v>
      </c>
      <c r="U305" s="782"/>
      <c r="V305" s="783"/>
      <c r="W305" s="784">
        <f t="shared" si="265"/>
        <v>1.1269123285431801</v>
      </c>
      <c r="X305" s="781">
        <f t="shared" si="265"/>
        <v>0.30784783631814916</v>
      </c>
      <c r="Y305" s="783"/>
      <c r="Z305" s="781"/>
    </row>
    <row r="306" spans="1:26" s="204" customFormat="1" x14ac:dyDescent="0.2">
      <c r="A306" s="622" t="s">
        <v>577</v>
      </c>
      <c r="B306" s="641"/>
      <c r="C306" s="782">
        <f t="shared" ref="C306:K306" si="271">C67/C$193*100</f>
        <v>6.7311738745319233E-2</v>
      </c>
      <c r="D306" s="783">
        <f t="shared" si="271"/>
        <v>6.3820144234808251E-2</v>
      </c>
      <c r="E306" s="783">
        <f t="shared" si="271"/>
        <v>0.11214134733678466</v>
      </c>
      <c r="F306" s="783">
        <f t="shared" si="271"/>
        <v>0.10856916364792235</v>
      </c>
      <c r="G306" s="781">
        <f t="shared" si="271"/>
        <v>0.10252404759093976</v>
      </c>
      <c r="H306" s="783">
        <f t="shared" si="271"/>
        <v>6.7639035868996014E-2</v>
      </c>
      <c r="I306" s="783">
        <f t="shared" si="271"/>
        <v>8.8823347517154538E-2</v>
      </c>
      <c r="J306" s="783">
        <f t="shared" si="271"/>
        <v>0.10432867973385992</v>
      </c>
      <c r="K306" s="781">
        <f t="shared" si="271"/>
        <v>0.10268634178968314</v>
      </c>
      <c r="L306" s="783"/>
      <c r="M306" s="782">
        <f t="shared" si="264"/>
        <v>0</v>
      </c>
      <c r="N306" s="782">
        <f t="shared" si="264"/>
        <v>6.7555868430159829E-2</v>
      </c>
      <c r="O306" s="783">
        <f t="shared" si="264"/>
        <v>8.9017723505199042E-2</v>
      </c>
      <c r="P306" s="783">
        <f t="shared" si="264"/>
        <v>0.10484027268679127</v>
      </c>
      <c r="Q306" s="781">
        <f t="shared" si="264"/>
        <v>0.10314528759049692</v>
      </c>
      <c r="R306" s="834">
        <f t="shared" si="268"/>
        <v>-1.9437598804450396E-4</v>
      </c>
      <c r="S306" s="835">
        <f t="shared" si="269"/>
        <v>-5.115929529313501E-4</v>
      </c>
      <c r="T306" s="835">
        <f t="shared" si="270"/>
        <v>-4.5894580081377867E-4</v>
      </c>
      <c r="U306" s="782"/>
      <c r="V306" s="783"/>
      <c r="W306" s="784">
        <f t="shared" si="265"/>
        <v>8.9017723505199042E-2</v>
      </c>
      <c r="X306" s="781">
        <f t="shared" si="265"/>
        <v>0.11214134733678466</v>
      </c>
      <c r="Y306" s="783"/>
      <c r="Z306" s="781"/>
    </row>
    <row r="307" spans="1:26" s="204" customFormat="1" x14ac:dyDescent="0.2">
      <c r="A307" s="622" t="s">
        <v>578</v>
      </c>
      <c r="B307" s="641"/>
      <c r="C307" s="782">
        <f t="shared" ref="C307:K307" si="272">C68/C$193*100</f>
        <v>1.2021305755789859E-2</v>
      </c>
      <c r="D307" s="783">
        <f t="shared" si="272"/>
        <v>0</v>
      </c>
      <c r="E307" s="783">
        <f t="shared" si="272"/>
        <v>9.7084935143213369E-2</v>
      </c>
      <c r="F307" s="783">
        <f t="shared" si="272"/>
        <v>0.1351422191986324</v>
      </c>
      <c r="G307" s="781">
        <f t="shared" si="272"/>
        <v>0.12761751907380514</v>
      </c>
      <c r="H307" s="783">
        <f t="shared" si="272"/>
        <v>0</v>
      </c>
      <c r="I307" s="783">
        <f t="shared" si="272"/>
        <v>9.7238636992565533E-2</v>
      </c>
      <c r="J307" s="783">
        <f t="shared" si="272"/>
        <v>0.13535607694133669</v>
      </c>
      <c r="K307" s="781">
        <f t="shared" si="272"/>
        <v>0.12781953590293324</v>
      </c>
      <c r="L307" s="783"/>
      <c r="M307" s="782">
        <f t="shared" si="264"/>
        <v>0</v>
      </c>
      <c r="N307" s="782">
        <f t="shared" si="264"/>
        <v>0</v>
      </c>
      <c r="O307" s="783">
        <f t="shared" si="264"/>
        <v>9.7451428523957426E-2</v>
      </c>
      <c r="P307" s="783">
        <f t="shared" si="264"/>
        <v>0.13601981787313289</v>
      </c>
      <c r="Q307" s="781">
        <f t="shared" si="264"/>
        <v>0.1283908118705275</v>
      </c>
      <c r="R307" s="834">
        <f t="shared" si="268"/>
        <v>-2.1279153139189266E-4</v>
      </c>
      <c r="S307" s="835">
        <f t="shared" si="269"/>
        <v>-6.6374093179619176E-4</v>
      </c>
      <c r="T307" s="835">
        <f t="shared" si="270"/>
        <v>-5.7127596759426469E-4</v>
      </c>
      <c r="U307" s="782"/>
      <c r="V307" s="783"/>
      <c r="W307" s="784">
        <f t="shared" si="265"/>
        <v>9.7451428523957426E-2</v>
      </c>
      <c r="X307" s="781">
        <f t="shared" si="265"/>
        <v>9.7084935143213369E-2</v>
      </c>
      <c r="Y307" s="783"/>
      <c r="Z307" s="781"/>
    </row>
    <row r="308" spans="1:26" s="204" customFormat="1" x14ac:dyDescent="0.2">
      <c r="A308" s="622" t="s">
        <v>562</v>
      </c>
      <c r="B308" s="623"/>
      <c r="C308" s="782">
        <f t="shared" ref="C308:K308" si="273">C69/C$193*100</f>
        <v>5.1520247510944903E-2</v>
      </c>
      <c r="D308" s="783">
        <f t="shared" si="273"/>
        <v>9.6730618723995063E-2</v>
      </c>
      <c r="E308" s="783">
        <f t="shared" si="273"/>
        <v>8.4879205783029071E-2</v>
      </c>
      <c r="F308" s="783">
        <f t="shared" si="273"/>
        <v>4.1641162880395696E-2</v>
      </c>
      <c r="G308" s="781">
        <f t="shared" si="273"/>
        <v>3.6111397244879564E-2</v>
      </c>
      <c r="H308" s="783">
        <f t="shared" si="273"/>
        <v>5.0600845549674672E-2</v>
      </c>
      <c r="I308" s="783">
        <f t="shared" si="273"/>
        <v>8.5013583901334955E-2</v>
      </c>
      <c r="J308" s="783">
        <f t="shared" si="273"/>
        <v>4.170705853572821E-2</v>
      </c>
      <c r="K308" s="781">
        <f t="shared" si="273"/>
        <v>3.6168561104667318E-2</v>
      </c>
      <c r="L308" s="783"/>
      <c r="M308" s="782">
        <f t="shared" si="264"/>
        <v>0</v>
      </c>
      <c r="N308" s="782">
        <f t="shared" si="264"/>
        <v>5.0538627886852532E-2</v>
      </c>
      <c r="O308" s="783">
        <f t="shared" si="264"/>
        <v>4.9779809896257306E-2</v>
      </c>
      <c r="P308" s="783">
        <f t="shared" si="264"/>
        <v>4.9300521873081517E-2</v>
      </c>
      <c r="Q308" s="781">
        <f t="shared" si="264"/>
        <v>4.8347634835073136E-2</v>
      </c>
      <c r="R308" s="834">
        <f t="shared" si="268"/>
        <v>3.5233774005077649E-2</v>
      </c>
      <c r="S308" s="835">
        <f t="shared" si="269"/>
        <v>-7.5934633373533067E-3</v>
      </c>
      <c r="T308" s="835">
        <f t="shared" si="270"/>
        <v>-1.2179073730405818E-2</v>
      </c>
      <c r="U308" s="782"/>
      <c r="V308" s="783"/>
      <c r="W308" s="784">
        <f t="shared" si="265"/>
        <v>4.9779809896257306E-2</v>
      </c>
      <c r="X308" s="781">
        <f t="shared" si="265"/>
        <v>8.4879205783029071E-2</v>
      </c>
      <c r="Y308" s="783"/>
      <c r="Z308" s="781"/>
    </row>
    <row r="309" spans="1:26" s="204" customFormat="1" x14ac:dyDescent="0.2">
      <c r="A309" s="622" t="s">
        <v>564</v>
      </c>
      <c r="B309" s="623"/>
      <c r="C309" s="782">
        <f t="shared" ref="C309:K309" si="274">C70/C$193*100</f>
        <v>2.0030630951426619E-2</v>
      </c>
      <c r="D309" s="783">
        <f t="shared" si="274"/>
        <v>0</v>
      </c>
      <c r="E309" s="783">
        <f t="shared" si="274"/>
        <v>0</v>
      </c>
      <c r="F309" s="783">
        <f t="shared" si="274"/>
        <v>0</v>
      </c>
      <c r="G309" s="781">
        <f t="shared" si="274"/>
        <v>0</v>
      </c>
      <c r="H309" s="783">
        <f t="shared" si="274"/>
        <v>1.8817590570862963E-2</v>
      </c>
      <c r="I309" s="783">
        <f t="shared" si="274"/>
        <v>1.7569411655250264E-2</v>
      </c>
      <c r="J309" s="783">
        <f t="shared" si="274"/>
        <v>1.6497036742148804E-2</v>
      </c>
      <c r="K309" s="781">
        <f t="shared" si="274"/>
        <v>1.5578492135739008E-2</v>
      </c>
      <c r="L309" s="783"/>
      <c r="M309" s="782">
        <f t="shared" si="264"/>
        <v>0</v>
      </c>
      <c r="N309" s="782">
        <f t="shared" si="264"/>
        <v>1.8794452884277991E-2</v>
      </c>
      <c r="O309" s="783">
        <f t="shared" si="264"/>
        <v>1.8031115606850164E-2</v>
      </c>
      <c r="P309" s="783">
        <f t="shared" si="264"/>
        <v>1.7395474126604697E-2</v>
      </c>
      <c r="Q309" s="781">
        <f t="shared" si="264"/>
        <v>1.6839862879650561E-2</v>
      </c>
      <c r="R309" s="865">
        <f t="shared" si="268"/>
        <v>-4.6170395159990038E-4</v>
      </c>
      <c r="S309" s="866">
        <f t="shared" si="269"/>
        <v>-8.9843738445589266E-4</v>
      </c>
      <c r="T309" s="866">
        <f t="shared" si="270"/>
        <v>-1.2613707439115534E-3</v>
      </c>
      <c r="U309" s="782"/>
      <c r="V309" s="783"/>
      <c r="W309" s="784">
        <f t="shared" si="265"/>
        <v>1.8031115606850164E-2</v>
      </c>
      <c r="X309" s="781">
        <f t="shared" si="265"/>
        <v>1.7541640276023219E-2</v>
      </c>
      <c r="Y309" s="783"/>
      <c r="Z309" s="781"/>
    </row>
    <row r="310" spans="1:26" s="204" customFormat="1" x14ac:dyDescent="0.2">
      <c r="A310" s="622" t="s">
        <v>565</v>
      </c>
      <c r="B310" s="623"/>
      <c r="C310" s="782">
        <f t="shared" ref="C310:K310" si="275">C71/C$193*100</f>
        <v>3.6978566537806075E-2</v>
      </c>
      <c r="D310" s="783">
        <f t="shared" si="275"/>
        <v>2.4801024942628859E-3</v>
      </c>
      <c r="E310" s="783">
        <f t="shared" si="275"/>
        <v>0</v>
      </c>
      <c r="F310" s="783">
        <f t="shared" si="275"/>
        <v>0</v>
      </c>
      <c r="G310" s="781">
        <f t="shared" si="275"/>
        <v>0</v>
      </c>
      <c r="H310" s="783">
        <f t="shared" si="275"/>
        <v>3.4739171556465061E-2</v>
      </c>
      <c r="I310" s="783">
        <f t="shared" si="275"/>
        <v>3.2434907292698399E-2</v>
      </c>
      <c r="J310" s="783">
        <f t="shared" si="275"/>
        <v>3.0455194962429939E-2</v>
      </c>
      <c r="K310" s="781">
        <f t="shared" si="275"/>
        <v>2.8759468905251075E-2</v>
      </c>
      <c r="L310" s="783"/>
      <c r="M310" s="782">
        <f t="shared" si="264"/>
        <v>0</v>
      </c>
      <c r="N310" s="782">
        <f t="shared" si="264"/>
        <v>3.4696457051615559E-2</v>
      </c>
      <c r="O310" s="783">
        <f t="shared" si="264"/>
        <v>3.328725938966462E-2</v>
      </c>
      <c r="P310" s="783">
        <f t="shared" si="264"/>
        <v>3.211380105834967E-2</v>
      </c>
      <c r="Q310" s="781">
        <f t="shared" si="264"/>
        <v>3.1088086615581035E-2</v>
      </c>
      <c r="R310" s="865">
        <f t="shared" si="268"/>
        <v>-8.5235209696622044E-4</v>
      </c>
      <c r="S310" s="866">
        <f t="shared" si="269"/>
        <v>-1.6586060959197305E-3</v>
      </c>
      <c r="T310" s="866">
        <f t="shared" si="270"/>
        <v>-2.3286177103299596E-3</v>
      </c>
      <c r="U310" s="782"/>
      <c r="V310" s="783"/>
      <c r="W310" s="784">
        <f t="shared" si="265"/>
        <v>3.328725938966462E-2</v>
      </c>
      <c r="X310" s="781">
        <f t="shared" si="265"/>
        <v>3.2383638523527616E-2</v>
      </c>
      <c r="Y310" s="783"/>
      <c r="Z310" s="781"/>
    </row>
    <row r="311" spans="1:26" s="204" customFormat="1" x14ac:dyDescent="0.2">
      <c r="A311" s="622" t="s">
        <v>574</v>
      </c>
      <c r="B311" s="623"/>
      <c r="C311" s="782">
        <f t="shared" ref="C311:K311" si="276">C72/C$193*100</f>
        <v>7.8710314580849233E-2</v>
      </c>
      <c r="D311" s="783">
        <f t="shared" si="276"/>
        <v>4.3686079262819514E-3</v>
      </c>
      <c r="E311" s="783">
        <f t="shared" si="276"/>
        <v>4.0083393194785032E-3</v>
      </c>
      <c r="F311" s="783">
        <f t="shared" si="276"/>
        <v>3.4472635543073555E-3</v>
      </c>
      <c r="G311" s="781">
        <f t="shared" si="276"/>
        <v>3.2467455334305212E-3</v>
      </c>
      <c r="H311" s="783">
        <f t="shared" si="276"/>
        <v>4.3755233050853173E-3</v>
      </c>
      <c r="I311" s="783">
        <f t="shared" si="276"/>
        <v>4.0146851976039415E-3</v>
      </c>
      <c r="J311" s="783">
        <f t="shared" si="276"/>
        <v>3.4527187259524757E-3</v>
      </c>
      <c r="K311" s="781">
        <f t="shared" si="276"/>
        <v>3.2518850882691489E-3</v>
      </c>
      <c r="L311" s="783"/>
      <c r="M311" s="782">
        <f t="shared" si="264"/>
        <v>0</v>
      </c>
      <c r="N311" s="782">
        <f t="shared" si="264"/>
        <v>4.3701432599356979E-3</v>
      </c>
      <c r="O311" s="783">
        <f t="shared" si="264"/>
        <v>4.1926497580738039E-3</v>
      </c>
      <c r="P311" s="783">
        <f t="shared" si="264"/>
        <v>4.0448484707613103E-3</v>
      </c>
      <c r="Q311" s="781">
        <f t="shared" si="264"/>
        <v>3.9156560563307621E-3</v>
      </c>
      <c r="R311" s="865">
        <f t="shared" si="268"/>
        <v>-1.7796456046986243E-4</v>
      </c>
      <c r="S311" s="866">
        <f t="shared" si="269"/>
        <v>-5.9212974480883467E-4</v>
      </c>
      <c r="T311" s="866">
        <f t="shared" si="270"/>
        <v>-6.6377096806161323E-4</v>
      </c>
      <c r="U311" s="782"/>
      <c r="V311" s="783"/>
      <c r="W311" s="784">
        <f t="shared" si="265"/>
        <v>4.1926497580738039E-3</v>
      </c>
      <c r="X311" s="781">
        <f t="shared" si="265"/>
        <v>4.0083393194785032E-3</v>
      </c>
      <c r="Y311" s="783"/>
      <c r="Z311" s="781"/>
    </row>
    <row r="312" spans="1:26" s="204" customFormat="1" x14ac:dyDescent="0.2">
      <c r="A312" s="622" t="s">
        <v>579</v>
      </c>
      <c r="B312" s="641"/>
      <c r="C312" s="782">
        <f t="shared" ref="C312:K312" si="277">C73/C$193*100</f>
        <v>7.546400514389516E-2</v>
      </c>
      <c r="D312" s="783">
        <f t="shared" si="277"/>
        <v>2.4270535331337686E-2</v>
      </c>
      <c r="E312" s="783">
        <f t="shared" si="277"/>
        <v>2.4315050820308309E-2</v>
      </c>
      <c r="F312" s="783">
        <f t="shared" si="277"/>
        <v>2.1736217954308905E-2</v>
      </c>
      <c r="G312" s="781">
        <f t="shared" si="277"/>
        <v>1.9896555321584769E-2</v>
      </c>
      <c r="H312" s="783">
        <f t="shared" si="277"/>
        <v>4.7119913041782903E-2</v>
      </c>
      <c r="I312" s="783">
        <f t="shared" si="277"/>
        <v>2.4353545652412382E-2</v>
      </c>
      <c r="J312" s="783">
        <f t="shared" si="277"/>
        <v>2.1770614744107099E-2</v>
      </c>
      <c r="K312" s="781">
        <f t="shared" si="277"/>
        <v>1.9928051303059802E-2</v>
      </c>
      <c r="L312" s="783"/>
      <c r="M312" s="782">
        <f t="shared" si="264"/>
        <v>0</v>
      </c>
      <c r="N312" s="782">
        <f t="shared" si="264"/>
        <v>4.7061975455365217E-2</v>
      </c>
      <c r="O312" s="783">
        <f t="shared" si="264"/>
        <v>4.4090703763142593E-2</v>
      </c>
      <c r="P312" s="783">
        <f t="shared" si="264"/>
        <v>4.1511730418518265E-2</v>
      </c>
      <c r="Q312" s="781">
        <f t="shared" si="264"/>
        <v>3.9183442927082306E-2</v>
      </c>
      <c r="R312" s="834">
        <f t="shared" si="268"/>
        <v>-1.9737158110730211E-2</v>
      </c>
      <c r="S312" s="835">
        <f t="shared" si="269"/>
        <v>-1.9741115674411166E-2</v>
      </c>
      <c r="T312" s="835">
        <f t="shared" si="270"/>
        <v>-1.9255391624022504E-2</v>
      </c>
      <c r="U312" s="782"/>
      <c r="V312" s="783"/>
      <c r="W312" s="784">
        <f t="shared" si="265"/>
        <v>4.4090703763142593E-2</v>
      </c>
      <c r="X312" s="781">
        <f t="shared" si="265"/>
        <v>2.4315050820308309E-2</v>
      </c>
      <c r="Y312" s="783"/>
      <c r="Z312" s="781"/>
    </row>
    <row r="313" spans="1:26" s="204" customFormat="1" x14ac:dyDescent="0.2">
      <c r="A313" s="622" t="s">
        <v>668</v>
      </c>
      <c r="B313" s="641"/>
      <c r="C313" s="782">
        <f t="shared" ref="C313:K313" si="278">C74/C$193*100</f>
        <v>0.22385067868599681</v>
      </c>
      <c r="D313" s="783">
        <f t="shared" si="278"/>
        <v>0.229456930743415</v>
      </c>
      <c r="E313" s="783">
        <f t="shared" si="278"/>
        <v>0.38816716103969023</v>
      </c>
      <c r="F313" s="783">
        <f t="shared" si="278"/>
        <v>0.25462467559400942</v>
      </c>
      <c r="G313" s="781">
        <f t="shared" si="278"/>
        <v>0.23173235449960605</v>
      </c>
      <c r="H313" s="783">
        <f t="shared" si="278"/>
        <v>0.2412760095371464</v>
      </c>
      <c r="I313" s="783">
        <f t="shared" si="278"/>
        <v>0.27920652997349704</v>
      </c>
      <c r="J313" s="783">
        <f t="shared" si="278"/>
        <v>0.22784988984845847</v>
      </c>
      <c r="K313" s="781">
        <f t="shared" si="278"/>
        <v>0.21376741094804871</v>
      </c>
      <c r="L313" s="783"/>
      <c r="M313" s="782">
        <f t="shared" ref="M313:Q322" si="279">M74/M$193*100</f>
        <v>0</v>
      </c>
      <c r="N313" s="782">
        <f t="shared" si="279"/>
        <v>0.24097934197664655</v>
      </c>
      <c r="O313" s="783">
        <f t="shared" si="279"/>
        <v>0.22576504019059568</v>
      </c>
      <c r="P313" s="783">
        <f t="shared" si="279"/>
        <v>0.21255948956188669</v>
      </c>
      <c r="Q313" s="781">
        <f t="shared" si="279"/>
        <v>0.20063756783654765</v>
      </c>
      <c r="R313" s="834">
        <f t="shared" si="268"/>
        <v>5.3441489782901364E-2</v>
      </c>
      <c r="S313" s="835">
        <f t="shared" si="269"/>
        <v>1.5290400286571776E-2</v>
      </c>
      <c r="T313" s="835">
        <f t="shared" si="270"/>
        <v>1.3129843111501061E-2</v>
      </c>
      <c r="U313" s="782"/>
      <c r="V313" s="783"/>
      <c r="W313" s="784">
        <f t="shared" si="265"/>
        <v>0.22576504019059568</v>
      </c>
      <c r="X313" s="781">
        <f t="shared" si="265"/>
        <v>0.38816716103969023</v>
      </c>
      <c r="Y313" s="783"/>
      <c r="Z313" s="781"/>
    </row>
    <row r="314" spans="1:26" s="204" customFormat="1" x14ac:dyDescent="0.2">
      <c r="A314" s="845" t="s">
        <v>497</v>
      </c>
      <c r="B314" s="817"/>
      <c r="C314" s="846">
        <f t="shared" ref="C314:K314" si="280">C75/C$193*100</f>
        <v>3.4562450034398222E-2</v>
      </c>
      <c r="D314" s="847">
        <f t="shared" si="280"/>
        <v>0.29980612091493125</v>
      </c>
      <c r="E314" s="847">
        <f t="shared" si="280"/>
        <v>0.21874680566908605</v>
      </c>
      <c r="F314" s="847">
        <f t="shared" si="280"/>
        <v>0.20503871842432209</v>
      </c>
      <c r="G314" s="848">
        <f t="shared" si="280"/>
        <v>0.19466825260425974</v>
      </c>
      <c r="H314" s="847">
        <f t="shared" si="280"/>
        <v>0.2413506436530358</v>
      </c>
      <c r="I314" s="847">
        <f t="shared" si="280"/>
        <v>0.21909311880738724</v>
      </c>
      <c r="J314" s="847">
        <f t="shared" si="280"/>
        <v>0.205363184884539</v>
      </c>
      <c r="K314" s="848">
        <f t="shared" si="280"/>
        <v>0.19497640984950659</v>
      </c>
      <c r="L314" s="847"/>
      <c r="M314" s="846">
        <f t="shared" si="279"/>
        <v>0</v>
      </c>
      <c r="N314" s="846">
        <f t="shared" si="279"/>
        <v>0.24105388432410385</v>
      </c>
      <c r="O314" s="847">
        <f t="shared" si="279"/>
        <v>0.22583487628497442</v>
      </c>
      <c r="P314" s="847">
        <f t="shared" si="279"/>
        <v>0.21262524077191289</v>
      </c>
      <c r="Q314" s="848">
        <f t="shared" si="279"/>
        <v>0.20069963122825579</v>
      </c>
      <c r="R314" s="867">
        <f t="shared" si="268"/>
        <v>-6.7417574775871791E-3</v>
      </c>
      <c r="S314" s="868">
        <f t="shared" si="269"/>
        <v>-7.2620558873738861E-3</v>
      </c>
      <c r="T314" s="868">
        <f t="shared" si="270"/>
        <v>-5.7232213787491992E-3</v>
      </c>
      <c r="U314" s="846"/>
      <c r="V314" s="847"/>
      <c r="W314" s="849">
        <f t="shared" si="265"/>
        <v>0.22583487628497442</v>
      </c>
      <c r="X314" s="848">
        <f t="shared" si="265"/>
        <v>0.21874680566908605</v>
      </c>
      <c r="Y314" s="847"/>
      <c r="Z314" s="848"/>
    </row>
    <row r="315" spans="1:26" s="204" customFormat="1" x14ac:dyDescent="0.2">
      <c r="A315" s="818" t="s">
        <v>580</v>
      </c>
      <c r="B315" s="819" t="s">
        <v>419</v>
      </c>
      <c r="C315" s="850">
        <f t="shared" ref="C315:K315" si="281">C76/C$193*100</f>
        <v>40.191878282833017</v>
      </c>
      <c r="D315" s="851">
        <f t="shared" si="281"/>
        <v>39.718627160537494</v>
      </c>
      <c r="E315" s="851">
        <f t="shared" si="281"/>
        <v>38.453991313896942</v>
      </c>
      <c r="F315" s="851">
        <f t="shared" si="281"/>
        <v>38.516623929387542</v>
      </c>
      <c r="G315" s="852">
        <f t="shared" si="281"/>
        <v>37.391042060748823</v>
      </c>
      <c r="H315" s="851">
        <f t="shared" si="281"/>
        <v>40.531689813465114</v>
      </c>
      <c r="I315" s="851">
        <f t="shared" si="281"/>
        <v>39.758258874804</v>
      </c>
      <c r="J315" s="851">
        <f t="shared" si="281"/>
        <v>39.00374752406141</v>
      </c>
      <c r="K315" s="852">
        <f t="shared" si="281"/>
        <v>37.945234326361224</v>
      </c>
      <c r="L315" s="851"/>
      <c r="M315" s="850">
        <f t="shared" si="279"/>
        <v>-0.32994393625582796</v>
      </c>
      <c r="N315" s="850">
        <f t="shared" si="279"/>
        <v>40.151909022053381</v>
      </c>
      <c r="O315" s="851">
        <f t="shared" si="279"/>
        <v>39.421975438523283</v>
      </c>
      <c r="P315" s="851">
        <f t="shared" si="279"/>
        <v>38.654411855967631</v>
      </c>
      <c r="Q315" s="852">
        <f t="shared" si="279"/>
        <v>37.883682263613053</v>
      </c>
      <c r="R315" s="869">
        <f>R316+R327+R347+R365+R371+R379+R399+R411</f>
        <v>0.3362834362807221</v>
      </c>
      <c r="S315" s="870">
        <f>S316+S327+S347+S365+S371+S379+S399+S411</f>
        <v>0.3493356680937667</v>
      </c>
      <c r="T315" s="870">
        <f>T316+T327+T347+T365+T371+T379+T399+T411</f>
        <v>6.1552062748175408E-2</v>
      </c>
      <c r="U315" s="850"/>
      <c r="V315" s="851"/>
      <c r="W315" s="853">
        <f t="shared" si="265"/>
        <v>39.421975438523283</v>
      </c>
      <c r="X315" s="852">
        <f t="shared" si="265"/>
        <v>38.58093167924936</v>
      </c>
      <c r="Y315" s="851"/>
      <c r="Z315" s="852"/>
    </row>
    <row r="316" spans="1:26" s="204" customFormat="1" x14ac:dyDescent="0.2">
      <c r="A316" s="479" t="s">
        <v>409</v>
      </c>
      <c r="B316" s="641" t="s">
        <v>581</v>
      </c>
      <c r="C316" s="841">
        <f t="shared" ref="C316:K316" si="282">C77/C$193*100</f>
        <v>9.1968410366639244</v>
      </c>
      <c r="D316" s="842">
        <f t="shared" si="282"/>
        <v>9.0928284967655504</v>
      </c>
      <c r="E316" s="842">
        <f t="shared" si="282"/>
        <v>9.1857397636917604</v>
      </c>
      <c r="F316" s="842">
        <f t="shared" si="282"/>
        <v>9.471298186039931</v>
      </c>
      <c r="G316" s="843">
        <f t="shared" si="282"/>
        <v>9.2366908904220537</v>
      </c>
      <c r="H316" s="842">
        <f t="shared" si="282"/>
        <v>9.2320731522426804</v>
      </c>
      <c r="I316" s="842">
        <f t="shared" si="282"/>
        <v>9.5722656203390564</v>
      </c>
      <c r="J316" s="842">
        <f t="shared" si="282"/>
        <v>9.8444904346702486</v>
      </c>
      <c r="K316" s="843">
        <f t="shared" si="282"/>
        <v>9.6643925280902128</v>
      </c>
      <c r="L316" s="842"/>
      <c r="M316" s="841">
        <f t="shared" si="279"/>
        <v>0</v>
      </c>
      <c r="N316" s="841">
        <f t="shared" si="279"/>
        <v>9.2207216025146899</v>
      </c>
      <c r="O316" s="842">
        <f t="shared" si="279"/>
        <v>9.1293384704360161</v>
      </c>
      <c r="P316" s="842">
        <f t="shared" si="279"/>
        <v>9.0864844808978908</v>
      </c>
      <c r="Q316" s="843">
        <f t="shared" si="279"/>
        <v>9.0278900395754302</v>
      </c>
      <c r="R316" s="863">
        <f t="shared" ref="R316:T316" si="283">SUM(R317:R326)</f>
        <v>0.442927149903038</v>
      </c>
      <c r="S316" s="864">
        <f t="shared" si="283"/>
        <v>0.75800595377235758</v>
      </c>
      <c r="T316" s="864">
        <f t="shared" si="283"/>
        <v>0.63650248851478231</v>
      </c>
      <c r="U316" s="841"/>
      <c r="V316" s="842"/>
      <c r="W316" s="844">
        <f t="shared" si="265"/>
        <v>9.1293384704360161</v>
      </c>
      <c r="X316" s="843">
        <f t="shared" si="265"/>
        <v>9.2581664114397633</v>
      </c>
      <c r="Y316" s="842"/>
      <c r="Z316" s="843"/>
    </row>
    <row r="317" spans="1:26" s="204" customFormat="1" x14ac:dyDescent="0.2">
      <c r="A317" s="622" t="s">
        <v>153</v>
      </c>
      <c r="B317" s="641"/>
      <c r="C317" s="782">
        <f t="shared" ref="C317:K317" si="284">C78/C$193*100</f>
        <v>0.11021692787469345</v>
      </c>
      <c r="D317" s="783">
        <f t="shared" si="284"/>
        <v>0.11395301535645277</v>
      </c>
      <c r="E317" s="783">
        <f t="shared" si="284"/>
        <v>2.162856175637628E-3</v>
      </c>
      <c r="F317" s="783">
        <f t="shared" si="284"/>
        <v>3.8336652498434903E-2</v>
      </c>
      <c r="G317" s="781">
        <f t="shared" si="284"/>
        <v>3.8529161393172508E-2</v>
      </c>
      <c r="H317" s="783">
        <f t="shared" si="284"/>
        <v>0.16959247137601044</v>
      </c>
      <c r="I317" s="783">
        <f t="shared" si="284"/>
        <v>0.16758907751477825</v>
      </c>
      <c r="J317" s="783">
        <f t="shared" si="284"/>
        <v>0.16658949866301906</v>
      </c>
      <c r="K317" s="781">
        <f t="shared" si="284"/>
        <v>0.16595654973928187</v>
      </c>
      <c r="L317" s="783"/>
      <c r="M317" s="782">
        <f t="shared" si="279"/>
        <v>0</v>
      </c>
      <c r="N317" s="782">
        <f t="shared" si="279"/>
        <v>0.16938394428349601</v>
      </c>
      <c r="O317" s="783">
        <f t="shared" si="279"/>
        <v>0.1679558199697517</v>
      </c>
      <c r="P317" s="783">
        <f t="shared" si="279"/>
        <v>0.16740639784899339</v>
      </c>
      <c r="Q317" s="781">
        <f t="shared" si="279"/>
        <v>0.1666982750777537</v>
      </c>
      <c r="R317" s="834">
        <f t="shared" ref="R317:R326" si="285">I317-O317</f>
        <v>-3.6674245497345104E-4</v>
      </c>
      <c r="S317" s="835">
        <f t="shared" ref="S317:S326" si="286">J317-P317</f>
        <v>-8.1689918597432909E-4</v>
      </c>
      <c r="T317" s="835">
        <f t="shared" ref="T317:T326" si="287">K317-Q317</f>
        <v>-7.4172533847183253E-4</v>
      </c>
      <c r="U317" s="782"/>
      <c r="V317" s="783"/>
      <c r="W317" s="784">
        <f t="shared" si="265"/>
        <v>0.1679558199697517</v>
      </c>
      <c r="X317" s="781">
        <f t="shared" si="265"/>
        <v>2.162856175637628E-3</v>
      </c>
      <c r="Y317" s="783"/>
      <c r="Z317" s="781"/>
    </row>
    <row r="318" spans="1:26" s="204" customFormat="1" x14ac:dyDescent="0.2">
      <c r="A318" s="622" t="s">
        <v>117</v>
      </c>
      <c r="B318" s="641"/>
      <c r="C318" s="782">
        <f t="shared" ref="C318:K318" si="288">C79/C$193*100</f>
        <v>3.4014383784601442E-2</v>
      </c>
      <c r="D318" s="783">
        <f t="shared" si="288"/>
        <v>2.18563046352345E-2</v>
      </c>
      <c r="E318" s="783">
        <f t="shared" si="288"/>
        <v>0</v>
      </c>
      <c r="F318" s="783">
        <f t="shared" si="288"/>
        <v>4.7364728274247349E-3</v>
      </c>
      <c r="G318" s="781">
        <f t="shared" si="288"/>
        <v>4.6269477610642717E-3</v>
      </c>
      <c r="H318" s="783">
        <f t="shared" si="288"/>
        <v>3.36052705031432E-2</v>
      </c>
      <c r="I318" s="783">
        <f t="shared" si="288"/>
        <v>3.3208291839616474E-2</v>
      </c>
      <c r="J318" s="783">
        <f t="shared" si="288"/>
        <v>3.3010222211701717E-2</v>
      </c>
      <c r="K318" s="781">
        <f t="shared" si="288"/>
        <v>3.2884801433147801E-2</v>
      </c>
      <c r="L318" s="783"/>
      <c r="M318" s="782">
        <f t="shared" si="279"/>
        <v>0</v>
      </c>
      <c r="N318" s="782">
        <f t="shared" si="279"/>
        <v>3.3563950217553137E-2</v>
      </c>
      <c r="O318" s="783">
        <f t="shared" si="279"/>
        <v>3.3280962986539285E-2</v>
      </c>
      <c r="P318" s="783">
        <f t="shared" si="279"/>
        <v>3.3172093301236105E-2</v>
      </c>
      <c r="Q318" s="781">
        <f t="shared" si="279"/>
        <v>3.3031776593283997E-2</v>
      </c>
      <c r="R318" s="834">
        <f t="shared" si="285"/>
        <v>-7.267114692281057E-5</v>
      </c>
      <c r="S318" s="835">
        <f t="shared" si="286"/>
        <v>-1.6187108953438778E-4</v>
      </c>
      <c r="T318" s="835">
        <f t="shared" si="287"/>
        <v>-1.4697516013619655E-4</v>
      </c>
      <c r="U318" s="782"/>
      <c r="V318" s="783"/>
      <c r="W318" s="784">
        <f t="shared" si="265"/>
        <v>3.3280962986539285E-2</v>
      </c>
      <c r="X318" s="781">
        <f t="shared" si="265"/>
        <v>0</v>
      </c>
      <c r="Y318" s="783"/>
      <c r="Z318" s="781"/>
    </row>
    <row r="319" spans="1:26" s="204" customFormat="1" x14ac:dyDescent="0.2">
      <c r="A319" s="622" t="s">
        <v>472</v>
      </c>
      <c r="B319" s="623"/>
      <c r="C319" s="782">
        <f t="shared" ref="C319:K319" si="289">C80/C$193*100</f>
        <v>0.22302186303938365</v>
      </c>
      <c r="D319" s="783">
        <f t="shared" si="289"/>
        <v>0.18392591053197085</v>
      </c>
      <c r="E319" s="783">
        <f t="shared" si="289"/>
        <v>0.17955029600455777</v>
      </c>
      <c r="F319" s="783">
        <f t="shared" si="289"/>
        <v>0.17103536630984431</v>
      </c>
      <c r="G319" s="781">
        <f t="shared" si="289"/>
        <v>0.16129067682838108</v>
      </c>
      <c r="H319" s="783">
        <f t="shared" si="289"/>
        <v>0.22372613371268432</v>
      </c>
      <c r="I319" s="783">
        <f t="shared" si="289"/>
        <v>0.21390713418717225</v>
      </c>
      <c r="J319" s="783">
        <f t="shared" si="289"/>
        <v>0.20580913815621843</v>
      </c>
      <c r="K319" s="781">
        <f t="shared" si="289"/>
        <v>0.19932165596392568</v>
      </c>
      <c r="L319" s="783"/>
      <c r="M319" s="782">
        <f t="shared" si="279"/>
        <v>0</v>
      </c>
      <c r="N319" s="782">
        <f t="shared" si="279"/>
        <v>0.22345104508519942</v>
      </c>
      <c r="O319" s="783">
        <f t="shared" si="279"/>
        <v>0.21437557407021587</v>
      </c>
      <c r="P319" s="783">
        <f t="shared" si="279"/>
        <v>0.20681830417069313</v>
      </c>
      <c r="Q319" s="781">
        <f t="shared" si="279"/>
        <v>0.20021252987348823</v>
      </c>
      <c r="R319" s="834">
        <f t="shared" si="285"/>
        <v>-4.6843988304362538E-4</v>
      </c>
      <c r="S319" s="835">
        <f t="shared" si="286"/>
        <v>-1.009166014474705E-3</v>
      </c>
      <c r="T319" s="835">
        <f t="shared" si="287"/>
        <v>-8.9087390956255064E-4</v>
      </c>
      <c r="U319" s="782"/>
      <c r="V319" s="783"/>
      <c r="W319" s="784">
        <f t="shared" si="265"/>
        <v>0.21437557407021587</v>
      </c>
      <c r="X319" s="781">
        <f t="shared" si="265"/>
        <v>0.21356901836067518</v>
      </c>
      <c r="Y319" s="783"/>
      <c r="Z319" s="781"/>
    </row>
    <row r="320" spans="1:26" s="204" customFormat="1" x14ac:dyDescent="0.2">
      <c r="A320" s="622" t="s">
        <v>74</v>
      </c>
      <c r="B320" s="623"/>
      <c r="C320" s="782">
        <f t="shared" ref="C320:K320" si="290">C81/C$193*100</f>
        <v>0</v>
      </c>
      <c r="D320" s="783">
        <f t="shared" si="290"/>
        <v>2.1001242488691584E-3</v>
      </c>
      <c r="E320" s="783">
        <f t="shared" si="290"/>
        <v>0.33687364279639676</v>
      </c>
      <c r="F320" s="783">
        <f t="shared" si="290"/>
        <v>0.59024543408864927</v>
      </c>
      <c r="G320" s="781">
        <f t="shared" si="290"/>
        <v>0.62534626609159261</v>
      </c>
      <c r="H320" s="783">
        <f t="shared" si="290"/>
        <v>0</v>
      </c>
      <c r="I320" s="783">
        <f t="shared" si="290"/>
        <v>0</v>
      </c>
      <c r="J320" s="783">
        <f t="shared" si="290"/>
        <v>0</v>
      </c>
      <c r="K320" s="781">
        <f t="shared" si="290"/>
        <v>0</v>
      </c>
      <c r="L320" s="783"/>
      <c r="M320" s="782">
        <f t="shared" si="279"/>
        <v>0</v>
      </c>
      <c r="N320" s="782">
        <f t="shared" si="279"/>
        <v>0</v>
      </c>
      <c r="O320" s="783">
        <f t="shared" si="279"/>
        <v>0</v>
      </c>
      <c r="P320" s="783">
        <f t="shared" si="279"/>
        <v>0</v>
      </c>
      <c r="Q320" s="781">
        <f t="shared" si="279"/>
        <v>0</v>
      </c>
      <c r="R320" s="834">
        <f t="shared" si="285"/>
        <v>0</v>
      </c>
      <c r="S320" s="835">
        <f t="shared" si="286"/>
        <v>0</v>
      </c>
      <c r="T320" s="835">
        <f t="shared" si="287"/>
        <v>0</v>
      </c>
      <c r="U320" s="782"/>
      <c r="V320" s="783"/>
      <c r="W320" s="784">
        <f t="shared" si="265"/>
        <v>0</v>
      </c>
      <c r="X320" s="781">
        <f t="shared" si="265"/>
        <v>0.33687364279639676</v>
      </c>
      <c r="Y320" s="783"/>
      <c r="Z320" s="781"/>
    </row>
    <row r="321" spans="1:26" s="204" customFormat="1" x14ac:dyDescent="0.2">
      <c r="A321" s="622" t="s">
        <v>582</v>
      </c>
      <c r="B321" s="623"/>
      <c r="C321" s="782">
        <f t="shared" ref="C321:K321" si="291">C82/C$193*100</f>
        <v>0</v>
      </c>
      <c r="D321" s="783">
        <f t="shared" si="291"/>
        <v>1.5618436586649215E-2</v>
      </c>
      <c r="E321" s="783">
        <f t="shared" si="291"/>
        <v>0.27426969028923398</v>
      </c>
      <c r="F321" s="783">
        <f t="shared" si="291"/>
        <v>0.51217091810529447</v>
      </c>
      <c r="G321" s="781">
        <f t="shared" si="291"/>
        <v>0.53266936815990062</v>
      </c>
      <c r="H321" s="783">
        <f t="shared" si="291"/>
        <v>0</v>
      </c>
      <c r="I321" s="783">
        <f t="shared" si="291"/>
        <v>0</v>
      </c>
      <c r="J321" s="783">
        <f t="shared" si="291"/>
        <v>0</v>
      </c>
      <c r="K321" s="781">
        <f t="shared" si="291"/>
        <v>0</v>
      </c>
      <c r="L321" s="783"/>
      <c r="M321" s="782">
        <f t="shared" si="279"/>
        <v>0</v>
      </c>
      <c r="N321" s="782">
        <f t="shared" si="279"/>
        <v>0</v>
      </c>
      <c r="O321" s="783">
        <f t="shared" si="279"/>
        <v>0</v>
      </c>
      <c r="P321" s="783">
        <f t="shared" si="279"/>
        <v>0</v>
      </c>
      <c r="Q321" s="781">
        <f t="shared" si="279"/>
        <v>0</v>
      </c>
      <c r="R321" s="834">
        <f t="shared" si="285"/>
        <v>0</v>
      </c>
      <c r="S321" s="835">
        <f t="shared" si="286"/>
        <v>0</v>
      </c>
      <c r="T321" s="835">
        <f t="shared" si="287"/>
        <v>0</v>
      </c>
      <c r="U321" s="782"/>
      <c r="V321" s="783"/>
      <c r="W321" s="784">
        <f t="shared" si="265"/>
        <v>0</v>
      </c>
      <c r="X321" s="781">
        <f t="shared" si="265"/>
        <v>0.27426969028923398</v>
      </c>
      <c r="Y321" s="783"/>
      <c r="Z321" s="781"/>
    </row>
    <row r="322" spans="1:26" s="204" customFormat="1" x14ac:dyDescent="0.2">
      <c r="A322" s="622" t="s">
        <v>562</v>
      </c>
      <c r="B322" s="623"/>
      <c r="C322" s="782">
        <f t="shared" ref="C322:K322" si="292">C83/C$193*100</f>
        <v>0.99882303213942136</v>
      </c>
      <c r="D322" s="783">
        <f t="shared" si="292"/>
        <v>0.94510830875622898</v>
      </c>
      <c r="E322" s="783">
        <f t="shared" si="292"/>
        <v>0.96587524460627683</v>
      </c>
      <c r="F322" s="783">
        <f t="shared" si="292"/>
        <v>0.93648526290694911</v>
      </c>
      <c r="G322" s="781">
        <f t="shared" si="292"/>
        <v>0.90798621890697506</v>
      </c>
      <c r="H322" s="783">
        <f t="shared" si="292"/>
        <v>0.98081805694136803</v>
      </c>
      <c r="I322" s="783">
        <f t="shared" si="292"/>
        <v>1.0146644454818974</v>
      </c>
      <c r="J322" s="783">
        <f t="shared" si="292"/>
        <v>1.002913594335507</v>
      </c>
      <c r="K322" s="781">
        <f t="shared" si="292"/>
        <v>0.99307261134262914</v>
      </c>
      <c r="L322" s="783"/>
      <c r="M322" s="782">
        <f t="shared" si="279"/>
        <v>0</v>
      </c>
      <c r="N322" s="782">
        <f t="shared" si="279"/>
        <v>0.97961206509491294</v>
      </c>
      <c r="O322" s="783">
        <f t="shared" si="279"/>
        <v>0.96490356805256383</v>
      </c>
      <c r="P322" s="783">
        <f t="shared" si="279"/>
        <v>0.95561332117032416</v>
      </c>
      <c r="Q322" s="781">
        <f t="shared" si="279"/>
        <v>0.93714309991312228</v>
      </c>
      <c r="R322" s="834">
        <f t="shared" si="285"/>
        <v>4.976087742933355E-2</v>
      </c>
      <c r="S322" s="835">
        <f t="shared" si="286"/>
        <v>4.7300273165182816E-2</v>
      </c>
      <c r="T322" s="835">
        <f t="shared" si="287"/>
        <v>5.5929511429506862E-2</v>
      </c>
      <c r="U322" s="782"/>
      <c r="V322" s="783"/>
      <c r="W322" s="784">
        <f t="shared" si="265"/>
        <v>0.96490356805256383</v>
      </c>
      <c r="X322" s="781">
        <f t="shared" si="265"/>
        <v>0.96587524460627683</v>
      </c>
      <c r="Y322" s="783"/>
      <c r="Z322" s="781"/>
    </row>
    <row r="323" spans="1:26" s="204" customFormat="1" x14ac:dyDescent="0.2">
      <c r="A323" s="622" t="s">
        <v>564</v>
      </c>
      <c r="B323" s="623"/>
      <c r="C323" s="782">
        <f t="shared" ref="C323:K323" si="293">C84/C$193*100</f>
        <v>1.7291405861063966E-2</v>
      </c>
      <c r="D323" s="783">
        <f t="shared" si="293"/>
        <v>0</v>
      </c>
      <c r="E323" s="783">
        <f t="shared" si="293"/>
        <v>0</v>
      </c>
      <c r="F323" s="783">
        <f t="shared" si="293"/>
        <v>0</v>
      </c>
      <c r="G323" s="781">
        <f t="shared" si="293"/>
        <v>0</v>
      </c>
      <c r="H323" s="783">
        <f t="shared" si="293"/>
        <v>1.2922750466683975E-2</v>
      </c>
      <c r="I323" s="783">
        <f t="shared" si="293"/>
        <v>1.5166762764874501E-2</v>
      </c>
      <c r="J323" s="783">
        <f t="shared" si="293"/>
        <v>1.4241037064938929E-2</v>
      </c>
      <c r="K323" s="781">
        <f t="shared" si="293"/>
        <v>1.3448105098420329E-2</v>
      </c>
      <c r="L323" s="783"/>
      <c r="M323" s="782">
        <f t="shared" ref="M323:Q332" si="294">M84/M$193*100</f>
        <v>0</v>
      </c>
      <c r="N323" s="782">
        <f t="shared" si="294"/>
        <v>1.2906860943049799E-2</v>
      </c>
      <c r="O323" s="783">
        <f t="shared" si="294"/>
        <v>1.279803951959755E-2</v>
      </c>
      <c r="P323" s="783">
        <f t="shared" si="294"/>
        <v>1.2756174188490404E-2</v>
      </c>
      <c r="Q323" s="781">
        <f t="shared" si="294"/>
        <v>1.2702216051090433E-2</v>
      </c>
      <c r="R323" s="834">
        <f t="shared" si="285"/>
        <v>2.3687232452769512E-3</v>
      </c>
      <c r="S323" s="835">
        <f t="shared" si="286"/>
        <v>1.4848628764485249E-3</v>
      </c>
      <c r="T323" s="835">
        <f t="shared" si="287"/>
        <v>7.4588904732989653E-4</v>
      </c>
      <c r="U323" s="782"/>
      <c r="V323" s="783"/>
      <c r="W323" s="784">
        <f t="shared" ref="W323:X342" si="295">W84/W$193*100</f>
        <v>1.279803951959755E-2</v>
      </c>
      <c r="X323" s="781">
        <f t="shared" si="295"/>
        <v>1.5142789172095482E-2</v>
      </c>
      <c r="Y323" s="783"/>
      <c r="Z323" s="781"/>
    </row>
    <row r="324" spans="1:26" s="204" customFormat="1" x14ac:dyDescent="0.2">
      <c r="A324" s="622" t="s">
        <v>565</v>
      </c>
      <c r="B324" s="623"/>
      <c r="C324" s="782">
        <f t="shared" ref="C324:K324" si="296">C85/C$193*100</f>
        <v>2.6566236128457561E-2</v>
      </c>
      <c r="D324" s="783">
        <f t="shared" si="296"/>
        <v>1.3940278730892864E-2</v>
      </c>
      <c r="E324" s="783">
        <f t="shared" si="296"/>
        <v>0</v>
      </c>
      <c r="F324" s="783">
        <f t="shared" si="296"/>
        <v>0</v>
      </c>
      <c r="G324" s="781">
        <f t="shared" si="296"/>
        <v>0</v>
      </c>
      <c r="H324" s="783">
        <f t="shared" si="296"/>
        <v>2.4957404271809883E-2</v>
      </c>
      <c r="I324" s="783">
        <f t="shared" si="296"/>
        <v>2.3301968859758253E-2</v>
      </c>
      <c r="J324" s="783">
        <f t="shared" si="296"/>
        <v>2.1879698875913411E-2</v>
      </c>
      <c r="K324" s="781">
        <f t="shared" si="296"/>
        <v>2.0661451035015231E-2</v>
      </c>
      <c r="L324" s="783"/>
      <c r="M324" s="782">
        <f t="shared" si="294"/>
        <v>0</v>
      </c>
      <c r="N324" s="782">
        <f t="shared" si="294"/>
        <v>2.492671720824343E-2</v>
      </c>
      <c r="O324" s="783">
        <f t="shared" si="294"/>
        <v>2.4716552950600799E-2</v>
      </c>
      <c r="P324" s="783">
        <f t="shared" si="294"/>
        <v>2.4635699420533189E-2</v>
      </c>
      <c r="Q324" s="781">
        <f t="shared" si="294"/>
        <v>2.4531491337871789E-2</v>
      </c>
      <c r="R324" s="865">
        <f t="shared" si="285"/>
        <v>-1.4145840908425453E-3</v>
      </c>
      <c r="S324" s="866">
        <f t="shared" si="286"/>
        <v>-2.7560005446197779E-3</v>
      </c>
      <c r="T324" s="866">
        <f t="shared" si="287"/>
        <v>-3.8700403028565575E-3</v>
      </c>
      <c r="U324" s="782"/>
      <c r="V324" s="783"/>
      <c r="W324" s="784">
        <f t="shared" si="295"/>
        <v>2.4716552950600799E-2</v>
      </c>
      <c r="X324" s="781">
        <f t="shared" si="295"/>
        <v>2.3265136219790615E-2</v>
      </c>
      <c r="Y324" s="783"/>
      <c r="Z324" s="781"/>
    </row>
    <row r="325" spans="1:26" s="204" customFormat="1" x14ac:dyDescent="0.2">
      <c r="A325" s="622" t="s">
        <v>574</v>
      </c>
      <c r="B325" s="623"/>
      <c r="C325" s="782">
        <f t="shared" ref="C325:K325" si="297">C86/C$193*100</f>
        <v>2.0494820315580961E-2</v>
      </c>
      <c r="D325" s="783">
        <f t="shared" si="297"/>
        <v>1.2281182707741013E-3</v>
      </c>
      <c r="E325" s="783">
        <f t="shared" si="297"/>
        <v>3.8564847497791314E-2</v>
      </c>
      <c r="F325" s="783">
        <f t="shared" si="297"/>
        <v>3.7254367245994222E-2</v>
      </c>
      <c r="G325" s="781">
        <f t="shared" si="297"/>
        <v>3.5402759513108922E-2</v>
      </c>
      <c r="H325" s="783">
        <f t="shared" si="297"/>
        <v>4.7018053693587594E-2</v>
      </c>
      <c r="I325" s="783">
        <f t="shared" si="297"/>
        <v>3.8625902164734764E-2</v>
      </c>
      <c r="J325" s="783">
        <f t="shared" si="297"/>
        <v>3.731332095366862E-2</v>
      </c>
      <c r="K325" s="781">
        <f t="shared" si="297"/>
        <v>3.545880160882689E-2</v>
      </c>
      <c r="L325" s="783"/>
      <c r="M325" s="782">
        <f t="shared" si="294"/>
        <v>0</v>
      </c>
      <c r="N325" s="782">
        <f t="shared" si="294"/>
        <v>4.6960241351135946E-2</v>
      </c>
      <c r="O325" s="783">
        <f t="shared" si="294"/>
        <v>4.6564306171231216E-2</v>
      </c>
      <c r="P325" s="783">
        <f t="shared" si="294"/>
        <v>4.6411983614901557E-2</v>
      </c>
      <c r="Q325" s="781">
        <f t="shared" si="294"/>
        <v>4.6215662668519571E-2</v>
      </c>
      <c r="R325" s="865">
        <f t="shared" si="285"/>
        <v>-7.9384040064964523E-3</v>
      </c>
      <c r="S325" s="866">
        <f t="shared" si="286"/>
        <v>-9.0986626612329369E-3</v>
      </c>
      <c r="T325" s="866">
        <f t="shared" si="287"/>
        <v>-1.0756861059692681E-2</v>
      </c>
      <c r="U325" s="782"/>
      <c r="V325" s="783"/>
      <c r="W325" s="784">
        <f t="shared" si="295"/>
        <v>4.6564306171231216E-2</v>
      </c>
      <c r="X325" s="781">
        <f t="shared" si="295"/>
        <v>3.8564847497791314E-2</v>
      </c>
      <c r="Y325" s="783"/>
      <c r="Z325" s="781"/>
    </row>
    <row r="326" spans="1:26" s="204" customFormat="1" x14ac:dyDescent="0.2">
      <c r="A326" s="622" t="s">
        <v>497</v>
      </c>
      <c r="B326" s="623"/>
      <c r="C326" s="782">
        <f t="shared" ref="C326:K326" si="298">C87/C$193*100</f>
        <v>7.7664123675207222</v>
      </c>
      <c r="D326" s="783">
        <f t="shared" si="298"/>
        <v>7.795097999648477</v>
      </c>
      <c r="E326" s="783">
        <f t="shared" si="298"/>
        <v>7.3884431863218651</v>
      </c>
      <c r="F326" s="783">
        <f t="shared" si="298"/>
        <v>7.1810337120573404</v>
      </c>
      <c r="G326" s="781">
        <f t="shared" si="298"/>
        <v>6.9308394917678591</v>
      </c>
      <c r="H326" s="783">
        <f t="shared" si="298"/>
        <v>7.7394330112773941</v>
      </c>
      <c r="I326" s="783">
        <f t="shared" si="298"/>
        <v>8.0658020375262236</v>
      </c>
      <c r="J326" s="783">
        <f t="shared" si="298"/>
        <v>8.3627339244092802</v>
      </c>
      <c r="K326" s="781">
        <f t="shared" si="298"/>
        <v>8.2035885518689646</v>
      </c>
      <c r="L326" s="783"/>
      <c r="M326" s="782">
        <f t="shared" si="294"/>
        <v>0</v>
      </c>
      <c r="N326" s="782">
        <f t="shared" si="294"/>
        <v>7.7299167783311002</v>
      </c>
      <c r="O326" s="783">
        <f t="shared" si="294"/>
        <v>7.6647436467155172</v>
      </c>
      <c r="P326" s="783">
        <f t="shared" si="294"/>
        <v>7.6396705071827178</v>
      </c>
      <c r="Q326" s="781">
        <f t="shared" si="294"/>
        <v>7.6073549880602993</v>
      </c>
      <c r="R326" s="834">
        <f t="shared" si="285"/>
        <v>0.40105839081070638</v>
      </c>
      <c r="S326" s="835">
        <f t="shared" si="286"/>
        <v>0.72306341722656242</v>
      </c>
      <c r="T326" s="835">
        <f t="shared" si="287"/>
        <v>0.59623356380866532</v>
      </c>
      <c r="U326" s="782"/>
      <c r="V326" s="783"/>
      <c r="W326" s="784">
        <f t="shared" si="295"/>
        <v>7.6647436467155172</v>
      </c>
      <c r="X326" s="781">
        <f t="shared" si="295"/>
        <v>7.3884431863218651</v>
      </c>
      <c r="Y326" s="783"/>
      <c r="Z326" s="781"/>
    </row>
    <row r="327" spans="1:26" s="204" customFormat="1" x14ac:dyDescent="0.2">
      <c r="A327" s="479" t="s">
        <v>134</v>
      </c>
      <c r="B327" s="641" t="s">
        <v>64</v>
      </c>
      <c r="C327" s="841">
        <f t="shared" ref="C327:K327" si="299">C88/C$193*100</f>
        <v>5.6593406450945931</v>
      </c>
      <c r="D327" s="842">
        <f t="shared" si="299"/>
        <v>5.4620864082349136</v>
      </c>
      <c r="E327" s="842">
        <f t="shared" si="299"/>
        <v>5.6093224922180118</v>
      </c>
      <c r="F327" s="842">
        <f t="shared" si="299"/>
        <v>5.8224803902756701</v>
      </c>
      <c r="G327" s="843">
        <f t="shared" si="299"/>
        <v>5.566711417011903</v>
      </c>
      <c r="H327" s="842">
        <f t="shared" si="299"/>
        <v>5.3196462221618264</v>
      </c>
      <c r="I327" s="842">
        <f t="shared" si="299"/>
        <v>5.0570111542394098</v>
      </c>
      <c r="J327" s="842">
        <f t="shared" si="299"/>
        <v>5.2345194404016242</v>
      </c>
      <c r="K327" s="843">
        <f t="shared" si="299"/>
        <v>5.1739053749945016</v>
      </c>
      <c r="L327" s="842"/>
      <c r="M327" s="841">
        <f t="shared" si="294"/>
        <v>0.12285498891165385</v>
      </c>
      <c r="N327" s="841">
        <f t="shared" si="294"/>
        <v>5.4359602935969411</v>
      </c>
      <c r="O327" s="842">
        <f t="shared" si="294"/>
        <v>5.2094959429813033</v>
      </c>
      <c r="P327" s="842">
        <f t="shared" si="294"/>
        <v>5.0634363704362118</v>
      </c>
      <c r="Q327" s="843">
        <f t="shared" si="294"/>
        <v>4.9396749719815096</v>
      </c>
      <c r="R327" s="863">
        <f>SUM(R328:R346)</f>
        <v>-0.15248478874189192</v>
      </c>
      <c r="S327" s="864">
        <f>SUM(S328:S346)</f>
        <v>0.17108306996541234</v>
      </c>
      <c r="T327" s="864">
        <f>SUM(T328:T346)</f>
        <v>0.23423040301299208</v>
      </c>
      <c r="U327" s="841"/>
      <c r="V327" s="842"/>
      <c r="W327" s="844">
        <f t="shared" si="295"/>
        <v>5.2094959429813033</v>
      </c>
      <c r="X327" s="843">
        <f t="shared" si="295"/>
        <v>5.704431334723151</v>
      </c>
      <c r="Y327" s="842"/>
      <c r="Z327" s="843"/>
    </row>
    <row r="328" spans="1:26" s="204" customFormat="1" x14ac:dyDescent="0.2">
      <c r="A328" s="622" t="s">
        <v>153</v>
      </c>
      <c r="B328" s="641"/>
      <c r="C328" s="782">
        <f t="shared" ref="C328:K328" si="300">C89/C$193*100</f>
        <v>0.11529156908127189</v>
      </c>
      <c r="D328" s="783">
        <f t="shared" si="300"/>
        <v>0.10017509805048659</v>
      </c>
      <c r="E328" s="783">
        <f t="shared" si="300"/>
        <v>0.19383437265198619</v>
      </c>
      <c r="F328" s="783">
        <f t="shared" si="300"/>
        <v>0.52691884533756628</v>
      </c>
      <c r="G328" s="781">
        <f t="shared" si="300"/>
        <v>0.44832069474682196</v>
      </c>
      <c r="H328" s="783">
        <f t="shared" si="300"/>
        <v>9.2960414731562926E-2</v>
      </c>
      <c r="I328" s="783">
        <f t="shared" si="300"/>
        <v>8.8880663578537966E-2</v>
      </c>
      <c r="J328" s="783">
        <f t="shared" si="300"/>
        <v>8.5515704414043409E-2</v>
      </c>
      <c r="K328" s="781">
        <f t="shared" si="300"/>
        <v>8.2820124634223918E-2</v>
      </c>
      <c r="L328" s="783"/>
      <c r="M328" s="782">
        <f t="shared" si="294"/>
        <v>0</v>
      </c>
      <c r="N328" s="782">
        <f t="shared" si="294"/>
        <v>9.2846112694181041E-2</v>
      </c>
      <c r="O328" s="783">
        <f t="shared" si="294"/>
        <v>8.9075164993808228E-2</v>
      </c>
      <c r="P328" s="783">
        <f t="shared" si="294"/>
        <v>8.5935044827962062E-2</v>
      </c>
      <c r="Q328" s="781">
        <f t="shared" si="294"/>
        <v>8.3190280467621919E-2</v>
      </c>
      <c r="R328" s="834">
        <f t="shared" ref="R328:R346" si="301">I328-O328</f>
        <v>-1.9450141527026232E-4</v>
      </c>
      <c r="S328" s="835">
        <f t="shared" ref="S328:S346" si="302">J328-P328</f>
        <v>-4.1934041391865351E-4</v>
      </c>
      <c r="T328" s="835">
        <f t="shared" ref="T328:T346" si="303">K328-Q328</f>
        <v>-3.701558333980004E-4</v>
      </c>
      <c r="U328" s="782"/>
      <c r="V328" s="783"/>
      <c r="W328" s="784">
        <f t="shared" si="295"/>
        <v>8.9075164993808228E-2</v>
      </c>
      <c r="X328" s="781">
        <f t="shared" si="295"/>
        <v>0.19383437265198619</v>
      </c>
      <c r="Y328" s="783"/>
      <c r="Z328" s="781"/>
    </row>
    <row r="329" spans="1:26" s="204" customFormat="1" x14ac:dyDescent="0.2">
      <c r="A329" s="622" t="s">
        <v>117</v>
      </c>
      <c r="B329" s="641"/>
      <c r="C329" s="782">
        <f t="shared" ref="C329:K329" si="304">C90/C$193*100</f>
        <v>2.8811148474736276E-2</v>
      </c>
      <c r="D329" s="783">
        <f t="shared" si="304"/>
        <v>3.0445394611755442E-2</v>
      </c>
      <c r="E329" s="783">
        <f t="shared" si="304"/>
        <v>4.6378502018775858E-2</v>
      </c>
      <c r="F329" s="783">
        <f t="shared" si="304"/>
        <v>9.7623182502718328E-2</v>
      </c>
      <c r="G329" s="781">
        <f t="shared" si="304"/>
        <v>8.1411738171129344E-2</v>
      </c>
      <c r="H329" s="783">
        <f t="shared" si="304"/>
        <v>3.8686208886935192E-2</v>
      </c>
      <c r="I329" s="783">
        <f t="shared" si="304"/>
        <v>1.5684822984447875E-2</v>
      </c>
      <c r="J329" s="783">
        <f t="shared" si="304"/>
        <v>1.5091006661301776E-2</v>
      </c>
      <c r="K329" s="781">
        <f t="shared" si="304"/>
        <v>1.4615316111921876E-2</v>
      </c>
      <c r="L329" s="783"/>
      <c r="M329" s="782">
        <f t="shared" si="294"/>
        <v>0</v>
      </c>
      <c r="N329" s="782">
        <f t="shared" si="294"/>
        <v>3.8638641193663517E-2</v>
      </c>
      <c r="O329" s="783">
        <f t="shared" si="294"/>
        <v>1.5719146763613214E-2</v>
      </c>
      <c r="P329" s="783">
        <f t="shared" si="294"/>
        <v>1.5165007910816831E-2</v>
      </c>
      <c r="Q329" s="781">
        <f t="shared" si="294"/>
        <v>1.4680637729580346E-2</v>
      </c>
      <c r="R329" s="834">
        <f t="shared" si="301"/>
        <v>-3.4323779165339185E-5</v>
      </c>
      <c r="S329" s="835">
        <f t="shared" si="302"/>
        <v>-7.4001249515055073E-5</v>
      </c>
      <c r="T329" s="835">
        <f t="shared" si="303"/>
        <v>-6.5321617658469638E-5</v>
      </c>
      <c r="U329" s="782"/>
      <c r="V329" s="783"/>
      <c r="W329" s="784">
        <f t="shared" si="295"/>
        <v>1.5719146763613214E-2</v>
      </c>
      <c r="X329" s="781">
        <f t="shared" si="295"/>
        <v>4.6378502018775858E-2</v>
      </c>
      <c r="Y329" s="783"/>
      <c r="Z329" s="781"/>
    </row>
    <row r="330" spans="1:26" s="204" customFormat="1" x14ac:dyDescent="0.2">
      <c r="A330" s="622" t="s">
        <v>583</v>
      </c>
      <c r="B330" s="623"/>
      <c r="C330" s="782">
        <f t="shared" ref="C330:K330" si="305">C91/C$193*100</f>
        <v>3.7713223790717819E-4</v>
      </c>
      <c r="D330" s="783">
        <f t="shared" si="305"/>
        <v>0</v>
      </c>
      <c r="E330" s="783">
        <f t="shared" si="305"/>
        <v>0</v>
      </c>
      <c r="F330" s="783">
        <f t="shared" si="305"/>
        <v>0</v>
      </c>
      <c r="G330" s="781">
        <f t="shared" si="305"/>
        <v>0</v>
      </c>
      <c r="H330" s="783">
        <f t="shared" si="305"/>
        <v>3.5429338502715121E-4</v>
      </c>
      <c r="I330" s="783">
        <f t="shared" si="305"/>
        <v>0</v>
      </c>
      <c r="J330" s="783">
        <f t="shared" si="305"/>
        <v>0</v>
      </c>
      <c r="K330" s="781">
        <f t="shared" si="305"/>
        <v>0</v>
      </c>
      <c r="L330" s="783"/>
      <c r="M330" s="782">
        <f t="shared" si="294"/>
        <v>0</v>
      </c>
      <c r="N330" s="782">
        <f t="shared" si="294"/>
        <v>3.538577538409472E-4</v>
      </c>
      <c r="O330" s="783">
        <f t="shared" si="294"/>
        <v>3.315168402501382E-4</v>
      </c>
      <c r="P330" s="783">
        <f t="shared" si="294"/>
        <v>3.1212560760181967E-4</v>
      </c>
      <c r="Q330" s="781">
        <f t="shared" si="294"/>
        <v>2.9461927528058319E-4</v>
      </c>
      <c r="R330" s="834">
        <f t="shared" si="301"/>
        <v>-3.315168402501382E-4</v>
      </c>
      <c r="S330" s="835">
        <f t="shared" si="302"/>
        <v>-3.1212560760181967E-4</v>
      </c>
      <c r="T330" s="835">
        <f t="shared" si="303"/>
        <v>-2.9461927528058319E-4</v>
      </c>
      <c r="U330" s="782"/>
      <c r="V330" s="783"/>
      <c r="W330" s="784">
        <f t="shared" si="295"/>
        <v>3.315168402501382E-4</v>
      </c>
      <c r="X330" s="781">
        <f t="shared" si="295"/>
        <v>0</v>
      </c>
      <c r="Y330" s="783"/>
      <c r="Z330" s="781"/>
    </row>
    <row r="331" spans="1:26" s="204" customFormat="1" x14ac:dyDescent="0.2">
      <c r="A331" s="622" t="s">
        <v>584</v>
      </c>
      <c r="B331" s="623"/>
      <c r="C331" s="782">
        <f t="shared" ref="C331:K331" si="306">C92/C$193*100</f>
        <v>6.6154887220136363E-2</v>
      </c>
      <c r="D331" s="783">
        <f t="shared" si="306"/>
        <v>0</v>
      </c>
      <c r="E331" s="783">
        <f t="shared" si="306"/>
        <v>0</v>
      </c>
      <c r="F331" s="783">
        <f t="shared" si="306"/>
        <v>0</v>
      </c>
      <c r="G331" s="781">
        <f t="shared" si="306"/>
        <v>0</v>
      </c>
      <c r="H331" s="783">
        <f t="shared" si="306"/>
        <v>6.2148595567903378E-2</v>
      </c>
      <c r="I331" s="783">
        <f t="shared" si="306"/>
        <v>5.8026252362981562E-2</v>
      </c>
      <c r="J331" s="783">
        <f t="shared" si="306"/>
        <v>5.4484534600522466E-2</v>
      </c>
      <c r="K331" s="781">
        <f t="shared" si="306"/>
        <v>5.1450870059896667E-2</v>
      </c>
      <c r="L331" s="783"/>
      <c r="M331" s="782">
        <f t="shared" si="294"/>
        <v>0</v>
      </c>
      <c r="N331" s="782">
        <f t="shared" si="294"/>
        <v>6.2072179051105902E-2</v>
      </c>
      <c r="O331" s="783">
        <f t="shared" si="294"/>
        <v>5.815323373050315E-2</v>
      </c>
      <c r="P331" s="783">
        <f t="shared" si="294"/>
        <v>5.4751708535977953E-2</v>
      </c>
      <c r="Q331" s="781">
        <f t="shared" si="294"/>
        <v>5.1680824310390547E-2</v>
      </c>
      <c r="R331" s="834">
        <f t="shared" si="301"/>
        <v>-1.2698136752158778E-4</v>
      </c>
      <c r="S331" s="835">
        <f t="shared" si="302"/>
        <v>-2.671739354554864E-4</v>
      </c>
      <c r="T331" s="835">
        <f t="shared" si="303"/>
        <v>-2.2995425049388007E-4</v>
      </c>
      <c r="U331" s="782"/>
      <c r="V331" s="783"/>
      <c r="W331" s="784">
        <f t="shared" si="295"/>
        <v>5.815323373050315E-2</v>
      </c>
      <c r="X331" s="781">
        <f t="shared" si="295"/>
        <v>5.793453221371777E-2</v>
      </c>
      <c r="Y331" s="783"/>
      <c r="Z331" s="781"/>
    </row>
    <row r="332" spans="1:26" s="204" customFormat="1" x14ac:dyDescent="0.2">
      <c r="A332" s="622" t="s">
        <v>585</v>
      </c>
      <c r="B332" s="623"/>
      <c r="C332" s="782">
        <f t="shared" ref="C332:K332" si="307">C93/C$193*100</f>
        <v>-9.9228205946352427E-2</v>
      </c>
      <c r="D332" s="783">
        <f t="shared" si="307"/>
        <v>0</v>
      </c>
      <c r="E332" s="783">
        <f t="shared" si="307"/>
        <v>0</v>
      </c>
      <c r="F332" s="783">
        <f t="shared" si="307"/>
        <v>0</v>
      </c>
      <c r="G332" s="781">
        <f t="shared" si="307"/>
        <v>0</v>
      </c>
      <c r="H332" s="783">
        <f t="shared" si="307"/>
        <v>0</v>
      </c>
      <c r="I332" s="783">
        <f t="shared" si="307"/>
        <v>0</v>
      </c>
      <c r="J332" s="783">
        <f t="shared" si="307"/>
        <v>0</v>
      </c>
      <c r="K332" s="781">
        <f t="shared" si="307"/>
        <v>0</v>
      </c>
      <c r="L332" s="783"/>
      <c r="M332" s="782">
        <f t="shared" si="294"/>
        <v>0</v>
      </c>
      <c r="N332" s="782">
        <f t="shared" si="294"/>
        <v>0</v>
      </c>
      <c r="O332" s="783">
        <f t="shared" si="294"/>
        <v>0</v>
      </c>
      <c r="P332" s="783">
        <f t="shared" si="294"/>
        <v>0</v>
      </c>
      <c r="Q332" s="781">
        <f t="shared" si="294"/>
        <v>0</v>
      </c>
      <c r="R332" s="834">
        <f t="shared" si="301"/>
        <v>0</v>
      </c>
      <c r="S332" s="835">
        <f t="shared" si="302"/>
        <v>0</v>
      </c>
      <c r="T332" s="835">
        <f t="shared" si="303"/>
        <v>0</v>
      </c>
      <c r="U332" s="782"/>
      <c r="V332" s="783"/>
      <c r="W332" s="784">
        <f t="shared" si="295"/>
        <v>0</v>
      </c>
      <c r="X332" s="781">
        <f t="shared" si="295"/>
        <v>0</v>
      </c>
      <c r="Y332" s="783"/>
      <c r="Z332" s="781"/>
    </row>
    <row r="333" spans="1:26" s="204" customFormat="1" x14ac:dyDescent="0.2">
      <c r="A333" s="622" t="s">
        <v>586</v>
      </c>
      <c r="B333" s="623"/>
      <c r="C333" s="782">
        <f t="shared" ref="C333:K333" si="308">C94/C$193*100</f>
        <v>0.14635602371049236</v>
      </c>
      <c r="D333" s="783">
        <f t="shared" si="308"/>
        <v>0.13869473799406612</v>
      </c>
      <c r="E333" s="783">
        <f t="shared" si="308"/>
        <v>0.13176590766474286</v>
      </c>
      <c r="F333" s="783">
        <f t="shared" si="308"/>
        <v>0.1456508315841091</v>
      </c>
      <c r="G333" s="781">
        <f t="shared" si="308"/>
        <v>0.1704507512841702</v>
      </c>
      <c r="H333" s="783">
        <f t="shared" si="308"/>
        <v>0.14133344723467922</v>
      </c>
      <c r="I333" s="783">
        <f t="shared" si="308"/>
        <v>0.13197451535098956</v>
      </c>
      <c r="J333" s="783">
        <f t="shared" si="308"/>
        <v>0.1458813188311758</v>
      </c>
      <c r="K333" s="781">
        <f t="shared" si="308"/>
        <v>0.17072057254810669</v>
      </c>
      <c r="L333" s="783"/>
      <c r="M333" s="782">
        <f t="shared" ref="M333:Q342" si="309">M94/M$193*100</f>
        <v>0</v>
      </c>
      <c r="N333" s="782">
        <f t="shared" si="309"/>
        <v>0.14115966680334424</v>
      </c>
      <c r="O333" s="783">
        <f t="shared" si="309"/>
        <v>0.13226332091321055</v>
      </c>
      <c r="P333" s="783">
        <f t="shared" si="309"/>
        <v>0.14659667202905718</v>
      </c>
      <c r="Q333" s="781">
        <f t="shared" si="309"/>
        <v>0.17148359018529113</v>
      </c>
      <c r="R333" s="834">
        <f t="shared" si="301"/>
        <v>-2.8880556222099507E-4</v>
      </c>
      <c r="S333" s="835">
        <f t="shared" si="302"/>
        <v>-7.1535319788137985E-4</v>
      </c>
      <c r="T333" s="835">
        <f t="shared" si="303"/>
        <v>-7.6301763718444882E-4</v>
      </c>
      <c r="U333" s="782"/>
      <c r="V333" s="783"/>
      <c r="W333" s="784">
        <f t="shared" si="295"/>
        <v>0.13226332091321055</v>
      </c>
      <c r="X333" s="781">
        <f t="shared" si="295"/>
        <v>0.13176590766474286</v>
      </c>
      <c r="Y333" s="783"/>
      <c r="Z333" s="781"/>
    </row>
    <row r="334" spans="1:26" s="204" customFormat="1" x14ac:dyDescent="0.2">
      <c r="A334" s="622" t="s">
        <v>587</v>
      </c>
      <c r="B334" s="623"/>
      <c r="C334" s="782">
        <f t="shared" ref="C334:K334" si="310">C95/C$193*100</f>
        <v>0.24537682167363417</v>
      </c>
      <c r="D334" s="783">
        <f t="shared" si="310"/>
        <v>0.25698661892739172</v>
      </c>
      <c r="E334" s="783">
        <f t="shared" si="310"/>
        <v>0.25447056983973648</v>
      </c>
      <c r="F334" s="783">
        <f t="shared" si="310"/>
        <v>0.34368879004076031</v>
      </c>
      <c r="G334" s="781">
        <f t="shared" si="310"/>
        <v>0.42712495531829026</v>
      </c>
      <c r="H334" s="783">
        <f t="shared" si="310"/>
        <v>0.25739342124228654</v>
      </c>
      <c r="I334" s="783">
        <f t="shared" si="310"/>
        <v>0.25487343973023358</v>
      </c>
      <c r="J334" s="783">
        <f t="shared" si="310"/>
        <v>0.34423266529504226</v>
      </c>
      <c r="K334" s="781">
        <f t="shared" si="310"/>
        <v>0.42780108842086989</v>
      </c>
      <c r="L334" s="783"/>
      <c r="M334" s="782">
        <f t="shared" si="309"/>
        <v>0</v>
      </c>
      <c r="N334" s="782">
        <f t="shared" si="309"/>
        <v>0.25707693607446913</v>
      </c>
      <c r="O334" s="783">
        <f t="shared" si="309"/>
        <v>0.24663574847082634</v>
      </c>
      <c r="P334" s="783">
        <f t="shared" si="309"/>
        <v>0.23794122752948832</v>
      </c>
      <c r="Q334" s="781">
        <f t="shared" si="309"/>
        <v>0.23034138741203705</v>
      </c>
      <c r="R334" s="834">
        <f t="shared" si="301"/>
        <v>8.2376912594072371E-3</v>
      </c>
      <c r="S334" s="835">
        <f t="shared" si="302"/>
        <v>0.10629143776555394</v>
      </c>
      <c r="T334" s="835">
        <f t="shared" si="303"/>
        <v>0.19745970100883284</v>
      </c>
      <c r="U334" s="782"/>
      <c r="V334" s="783"/>
      <c r="W334" s="784">
        <f t="shared" si="295"/>
        <v>0.24663574847082634</v>
      </c>
      <c r="X334" s="781">
        <f t="shared" si="295"/>
        <v>0.25447056983973648</v>
      </c>
      <c r="Y334" s="783"/>
      <c r="Z334" s="781"/>
    </row>
    <row r="335" spans="1:26" s="204" customFormat="1" x14ac:dyDescent="0.2">
      <c r="A335" s="622" t="s">
        <v>588</v>
      </c>
      <c r="B335" s="623"/>
      <c r="C335" s="782">
        <f t="shared" ref="C335:K335" si="311">C96/C$193*100</f>
        <v>0</v>
      </c>
      <c r="D335" s="783">
        <f t="shared" si="311"/>
        <v>0</v>
      </c>
      <c r="E335" s="783">
        <f t="shared" si="311"/>
        <v>0.12230726676739903</v>
      </c>
      <c r="F335" s="783">
        <f t="shared" si="311"/>
        <v>0.11484214341506715</v>
      </c>
      <c r="G335" s="781">
        <f t="shared" si="311"/>
        <v>0.10844774870988141</v>
      </c>
      <c r="H335" s="783">
        <f t="shared" si="311"/>
        <v>0</v>
      </c>
      <c r="I335" s="783">
        <f t="shared" si="311"/>
        <v>0</v>
      </c>
      <c r="J335" s="783">
        <f t="shared" si="311"/>
        <v>0</v>
      </c>
      <c r="K335" s="781">
        <f t="shared" si="311"/>
        <v>0</v>
      </c>
      <c r="L335" s="783"/>
      <c r="M335" s="782">
        <f t="shared" si="309"/>
        <v>0</v>
      </c>
      <c r="N335" s="782">
        <f t="shared" si="309"/>
        <v>0</v>
      </c>
      <c r="O335" s="783">
        <f t="shared" si="309"/>
        <v>0</v>
      </c>
      <c r="P335" s="783">
        <f t="shared" si="309"/>
        <v>0</v>
      </c>
      <c r="Q335" s="781">
        <f t="shared" si="309"/>
        <v>0</v>
      </c>
      <c r="R335" s="834">
        <f t="shared" si="301"/>
        <v>0</v>
      </c>
      <c r="S335" s="835">
        <f t="shared" si="302"/>
        <v>0</v>
      </c>
      <c r="T335" s="835">
        <f t="shared" si="303"/>
        <v>0</v>
      </c>
      <c r="U335" s="782"/>
      <c r="V335" s="783"/>
      <c r="W335" s="784">
        <f t="shared" si="295"/>
        <v>0</v>
      </c>
      <c r="X335" s="781">
        <f t="shared" si="295"/>
        <v>0.12230726676739903</v>
      </c>
      <c r="Y335" s="783"/>
      <c r="Z335" s="781"/>
    </row>
    <row r="336" spans="1:26" s="204" customFormat="1" x14ac:dyDescent="0.2">
      <c r="A336" s="622" t="s">
        <v>589</v>
      </c>
      <c r="B336" s="623"/>
      <c r="C336" s="782">
        <f t="shared" ref="C336:K336" si="312">C97/C$193*100</f>
        <v>0.1392458904867615</v>
      </c>
      <c r="D336" s="783">
        <f t="shared" si="312"/>
        <v>0.12153042770793998</v>
      </c>
      <c r="E336" s="783">
        <f t="shared" si="312"/>
        <v>9.1103266164656152E-2</v>
      </c>
      <c r="F336" s="783">
        <f t="shared" si="312"/>
        <v>8.5642239549717697E-2</v>
      </c>
      <c r="G336" s="781">
        <f t="shared" si="312"/>
        <v>7.9812844721792869E-2</v>
      </c>
      <c r="H336" s="783">
        <f t="shared" si="312"/>
        <v>0.11861941820738101</v>
      </c>
      <c r="I336" s="783">
        <f t="shared" si="312"/>
        <v>9.1247498021749876E-2</v>
      </c>
      <c r="J336" s="783">
        <f t="shared" si="312"/>
        <v>8.577776533979907E-2</v>
      </c>
      <c r="K336" s="781">
        <f t="shared" si="312"/>
        <v>7.9939187389566138E-2</v>
      </c>
      <c r="L336" s="783"/>
      <c r="M336" s="782">
        <f t="shared" si="309"/>
        <v>0</v>
      </c>
      <c r="N336" s="782">
        <f t="shared" si="309"/>
        <v>0.11847356643581446</v>
      </c>
      <c r="O336" s="783">
        <f t="shared" si="309"/>
        <v>0.11366175891967599</v>
      </c>
      <c r="P336" s="783">
        <f t="shared" si="309"/>
        <v>0.10965490042781657</v>
      </c>
      <c r="Q336" s="781">
        <f t="shared" si="309"/>
        <v>0.10615252414776159</v>
      </c>
      <c r="R336" s="834">
        <f t="shared" si="301"/>
        <v>-2.2414260897926114E-2</v>
      </c>
      <c r="S336" s="835">
        <f t="shared" si="302"/>
        <v>-2.3877135088017504E-2</v>
      </c>
      <c r="T336" s="835">
        <f t="shared" si="303"/>
        <v>-2.6213336758195455E-2</v>
      </c>
      <c r="U336" s="782"/>
      <c r="V336" s="783"/>
      <c r="W336" s="784">
        <f t="shared" si="295"/>
        <v>0.11366175891967599</v>
      </c>
      <c r="X336" s="781">
        <f t="shared" si="295"/>
        <v>9.1103266164656152E-2</v>
      </c>
      <c r="Y336" s="783"/>
      <c r="Z336" s="781"/>
    </row>
    <row r="337" spans="1:26" s="204" customFormat="1" x14ac:dyDescent="0.2">
      <c r="A337" s="622" t="s">
        <v>590</v>
      </c>
      <c r="B337" s="623"/>
      <c r="C337" s="782">
        <f t="shared" ref="C337:K337" si="313">C98/C$193*100</f>
        <v>0.20840479229088438</v>
      </c>
      <c r="D337" s="783">
        <f t="shared" si="313"/>
        <v>0.19100561509822736</v>
      </c>
      <c r="E337" s="783">
        <f t="shared" si="313"/>
        <v>0.16157589503191236</v>
      </c>
      <c r="F337" s="783">
        <f t="shared" si="313"/>
        <v>0.15167679375434881</v>
      </c>
      <c r="G337" s="781">
        <f t="shared" si="313"/>
        <v>0.14840061900068546</v>
      </c>
      <c r="H337" s="783">
        <f t="shared" si="313"/>
        <v>0.16085091913318797</v>
      </c>
      <c r="I337" s="783">
        <f t="shared" si="313"/>
        <v>0.16183169696287622</v>
      </c>
      <c r="J337" s="783">
        <f t="shared" si="313"/>
        <v>0.15191681687166386</v>
      </c>
      <c r="K337" s="781">
        <f t="shared" si="313"/>
        <v>0.14863553519956429</v>
      </c>
      <c r="L337" s="783"/>
      <c r="M337" s="782">
        <f t="shared" si="309"/>
        <v>0</v>
      </c>
      <c r="N337" s="782">
        <f t="shared" si="309"/>
        <v>0.16065314045691201</v>
      </c>
      <c r="O337" s="783">
        <f t="shared" si="309"/>
        <v>0.15412820825475174</v>
      </c>
      <c r="P337" s="783">
        <f t="shared" si="309"/>
        <v>0.14869480720632119</v>
      </c>
      <c r="Q337" s="781">
        <f t="shared" si="309"/>
        <v>0.14394549674509297</v>
      </c>
      <c r="R337" s="834">
        <f t="shared" si="301"/>
        <v>7.7034887081244841E-3</v>
      </c>
      <c r="S337" s="835">
        <f t="shared" si="302"/>
        <v>3.2220096653426678E-3</v>
      </c>
      <c r="T337" s="835">
        <f t="shared" si="303"/>
        <v>4.6900384544713292E-3</v>
      </c>
      <c r="U337" s="782"/>
      <c r="V337" s="783"/>
      <c r="W337" s="784">
        <f t="shared" si="295"/>
        <v>0.15412820825475174</v>
      </c>
      <c r="X337" s="781">
        <f t="shared" si="295"/>
        <v>0.16157589503191236</v>
      </c>
      <c r="Y337" s="783"/>
      <c r="Z337" s="781"/>
    </row>
    <row r="338" spans="1:26" s="204" customFormat="1" x14ac:dyDescent="0.2">
      <c r="A338" s="622" t="s">
        <v>591</v>
      </c>
      <c r="B338" s="623"/>
      <c r="C338" s="782">
        <f t="shared" ref="C338:K338" si="314">C99/C$193*100</f>
        <v>0</v>
      </c>
      <c r="D338" s="783">
        <f t="shared" si="314"/>
        <v>6.3981535114675959E-3</v>
      </c>
      <c r="E338" s="783">
        <f t="shared" si="314"/>
        <v>5.9737600422745708E-3</v>
      </c>
      <c r="F338" s="783">
        <f t="shared" si="314"/>
        <v>5.6091467468305607E-3</v>
      </c>
      <c r="G338" s="781">
        <f t="shared" si="314"/>
        <v>5.2968302296360764E-3</v>
      </c>
      <c r="H338" s="783">
        <f t="shared" si="314"/>
        <v>0</v>
      </c>
      <c r="I338" s="783">
        <f t="shared" si="314"/>
        <v>0</v>
      </c>
      <c r="J338" s="783">
        <f t="shared" si="314"/>
        <v>0</v>
      </c>
      <c r="K338" s="781">
        <f t="shared" si="314"/>
        <v>0</v>
      </c>
      <c r="L338" s="783"/>
      <c r="M338" s="782">
        <f t="shared" si="309"/>
        <v>0</v>
      </c>
      <c r="N338" s="782">
        <f t="shared" si="309"/>
        <v>0</v>
      </c>
      <c r="O338" s="783">
        <f t="shared" si="309"/>
        <v>0</v>
      </c>
      <c r="P338" s="783">
        <f t="shared" si="309"/>
        <v>0</v>
      </c>
      <c r="Q338" s="781">
        <f t="shared" si="309"/>
        <v>0</v>
      </c>
      <c r="R338" s="834">
        <f t="shared" si="301"/>
        <v>0</v>
      </c>
      <c r="S338" s="835">
        <f t="shared" si="302"/>
        <v>0</v>
      </c>
      <c r="T338" s="835">
        <f t="shared" si="303"/>
        <v>0</v>
      </c>
      <c r="U338" s="782"/>
      <c r="V338" s="783"/>
      <c r="W338" s="784">
        <f t="shared" si="295"/>
        <v>0</v>
      </c>
      <c r="X338" s="781">
        <f t="shared" si="295"/>
        <v>0</v>
      </c>
      <c r="Y338" s="783"/>
      <c r="Z338" s="781"/>
    </row>
    <row r="339" spans="1:26" s="204" customFormat="1" x14ac:dyDescent="0.2">
      <c r="A339" s="622" t="s">
        <v>592</v>
      </c>
      <c r="B339" s="623"/>
      <c r="C339" s="782">
        <f t="shared" ref="C339:K339" si="315">C100/C$193*100</f>
        <v>0</v>
      </c>
      <c r="D339" s="783">
        <f t="shared" si="315"/>
        <v>0</v>
      </c>
      <c r="E339" s="783">
        <f t="shared" si="315"/>
        <v>0.41283759794572011</v>
      </c>
      <c r="F339" s="783">
        <f t="shared" si="315"/>
        <v>0.38763971989153839</v>
      </c>
      <c r="G339" s="781">
        <f t="shared" si="315"/>
        <v>0.36605599375508474</v>
      </c>
      <c r="H339" s="783">
        <f t="shared" si="315"/>
        <v>0</v>
      </c>
      <c r="I339" s="783">
        <f t="shared" si="315"/>
        <v>0</v>
      </c>
      <c r="J339" s="783">
        <f t="shared" si="315"/>
        <v>0</v>
      </c>
      <c r="K339" s="781">
        <f t="shared" si="315"/>
        <v>0</v>
      </c>
      <c r="L339" s="783"/>
      <c r="M339" s="782">
        <f t="shared" si="309"/>
        <v>0</v>
      </c>
      <c r="N339" s="782">
        <f t="shared" si="309"/>
        <v>0</v>
      </c>
      <c r="O339" s="783">
        <f t="shared" si="309"/>
        <v>0</v>
      </c>
      <c r="P339" s="783">
        <f t="shared" si="309"/>
        <v>0</v>
      </c>
      <c r="Q339" s="781">
        <f t="shared" si="309"/>
        <v>0</v>
      </c>
      <c r="R339" s="834">
        <f t="shared" si="301"/>
        <v>0</v>
      </c>
      <c r="S339" s="835">
        <f t="shared" si="302"/>
        <v>0</v>
      </c>
      <c r="T339" s="835">
        <f t="shared" si="303"/>
        <v>0</v>
      </c>
      <c r="U339" s="782"/>
      <c r="V339" s="783"/>
      <c r="W339" s="784">
        <f t="shared" si="295"/>
        <v>0</v>
      </c>
      <c r="X339" s="781">
        <f t="shared" si="295"/>
        <v>0.41283759794572011</v>
      </c>
      <c r="Y339" s="783"/>
      <c r="Z339" s="781"/>
    </row>
    <row r="340" spans="1:26" s="204" customFormat="1" x14ac:dyDescent="0.2">
      <c r="A340" s="622" t="s">
        <v>78</v>
      </c>
      <c r="B340" s="623"/>
      <c r="C340" s="782">
        <f t="shared" ref="C340:K340" si="316">C101/C$193*100</f>
        <v>0</v>
      </c>
      <c r="D340" s="783">
        <f t="shared" si="316"/>
        <v>8.7626404432279929E-3</v>
      </c>
      <c r="E340" s="783">
        <f t="shared" si="316"/>
        <v>0</v>
      </c>
      <c r="F340" s="783">
        <f t="shared" si="316"/>
        <v>0</v>
      </c>
      <c r="G340" s="781">
        <f t="shared" si="316"/>
        <v>0</v>
      </c>
      <c r="H340" s="783">
        <f t="shared" si="316"/>
        <v>0</v>
      </c>
      <c r="I340" s="783">
        <f t="shared" si="316"/>
        <v>0</v>
      </c>
      <c r="J340" s="783">
        <f t="shared" si="316"/>
        <v>0</v>
      </c>
      <c r="K340" s="781">
        <f t="shared" si="316"/>
        <v>0</v>
      </c>
      <c r="L340" s="783"/>
      <c r="M340" s="782">
        <f t="shared" si="309"/>
        <v>0</v>
      </c>
      <c r="N340" s="782">
        <f t="shared" si="309"/>
        <v>0</v>
      </c>
      <c r="O340" s="783">
        <f t="shared" si="309"/>
        <v>0</v>
      </c>
      <c r="P340" s="783">
        <f t="shared" si="309"/>
        <v>0</v>
      </c>
      <c r="Q340" s="781">
        <f t="shared" si="309"/>
        <v>0</v>
      </c>
      <c r="R340" s="834">
        <f t="shared" si="301"/>
        <v>0</v>
      </c>
      <c r="S340" s="835">
        <f t="shared" si="302"/>
        <v>0</v>
      </c>
      <c r="T340" s="835">
        <f t="shared" si="303"/>
        <v>0</v>
      </c>
      <c r="U340" s="782"/>
      <c r="V340" s="783"/>
      <c r="W340" s="784">
        <f t="shared" si="295"/>
        <v>0</v>
      </c>
      <c r="X340" s="781">
        <f t="shared" si="295"/>
        <v>0</v>
      </c>
      <c r="Y340" s="783"/>
      <c r="Z340" s="781"/>
    </row>
    <row r="341" spans="1:26" s="204" customFormat="1" x14ac:dyDescent="0.2">
      <c r="A341" s="622" t="s">
        <v>593</v>
      </c>
      <c r="B341" s="623"/>
      <c r="C341" s="782">
        <f t="shared" ref="C341:K341" si="317">C102/C$193*100</f>
        <v>0</v>
      </c>
      <c r="D341" s="783">
        <f t="shared" si="317"/>
        <v>5.3303639253799315E-2</v>
      </c>
      <c r="E341" s="783">
        <f t="shared" si="317"/>
        <v>9.063570384682075E-2</v>
      </c>
      <c r="F341" s="783">
        <f t="shared" si="317"/>
        <v>0.11361493420784854</v>
      </c>
      <c r="G341" s="781">
        <f t="shared" si="317"/>
        <v>3.5473983942953841E-2</v>
      </c>
      <c r="H341" s="783">
        <f t="shared" si="317"/>
        <v>0</v>
      </c>
      <c r="I341" s="783">
        <f t="shared" si="317"/>
        <v>0</v>
      </c>
      <c r="J341" s="783">
        <f t="shared" si="317"/>
        <v>0</v>
      </c>
      <c r="K341" s="781">
        <f t="shared" si="317"/>
        <v>0</v>
      </c>
      <c r="L341" s="783"/>
      <c r="M341" s="782">
        <f t="shared" si="309"/>
        <v>0</v>
      </c>
      <c r="N341" s="782">
        <f t="shared" si="309"/>
        <v>0</v>
      </c>
      <c r="O341" s="783">
        <f t="shared" si="309"/>
        <v>0</v>
      </c>
      <c r="P341" s="783">
        <f t="shared" si="309"/>
        <v>0</v>
      </c>
      <c r="Q341" s="781">
        <f t="shared" si="309"/>
        <v>0</v>
      </c>
      <c r="R341" s="834">
        <f t="shared" si="301"/>
        <v>0</v>
      </c>
      <c r="S341" s="835">
        <f t="shared" si="302"/>
        <v>0</v>
      </c>
      <c r="T341" s="835">
        <f t="shared" si="303"/>
        <v>0</v>
      </c>
      <c r="U341" s="782"/>
      <c r="V341" s="783"/>
      <c r="W341" s="784">
        <f t="shared" si="295"/>
        <v>0</v>
      </c>
      <c r="X341" s="781">
        <f t="shared" si="295"/>
        <v>9.063570384682075E-2</v>
      </c>
      <c r="Y341" s="783"/>
      <c r="Z341" s="781"/>
    </row>
    <row r="342" spans="1:26" s="204" customFormat="1" x14ac:dyDescent="0.2">
      <c r="A342" s="622" t="s">
        <v>562</v>
      </c>
      <c r="B342" s="623"/>
      <c r="C342" s="782">
        <f t="shared" ref="C342:K342" si="318">C103/C$193*100</f>
        <v>0.76583666775194337</v>
      </c>
      <c r="D342" s="783">
        <f t="shared" si="318"/>
        <v>0.67879456488576617</v>
      </c>
      <c r="E342" s="783">
        <f t="shared" si="318"/>
        <v>0.63090441983932355</v>
      </c>
      <c r="F342" s="783">
        <f t="shared" si="318"/>
        <v>0.60194555600134114</v>
      </c>
      <c r="G342" s="781">
        <f t="shared" si="318"/>
        <v>0.57546872371832358</v>
      </c>
      <c r="H342" s="783">
        <f t="shared" si="318"/>
        <v>0.66844311519706978</v>
      </c>
      <c r="I342" s="783">
        <f t="shared" si="318"/>
        <v>0.42977653057038728</v>
      </c>
      <c r="J342" s="783">
        <f t="shared" si="318"/>
        <v>0.70548717676221195</v>
      </c>
      <c r="K342" s="781">
        <f t="shared" si="318"/>
        <v>0.68225843177579559</v>
      </c>
      <c r="L342" s="783"/>
      <c r="M342" s="782">
        <f t="shared" si="309"/>
        <v>0.12285498891165385</v>
      </c>
      <c r="N342" s="782">
        <f t="shared" si="309"/>
        <v>0.79047620147240738</v>
      </c>
      <c r="O342" s="783">
        <f t="shared" si="309"/>
        <v>0.77860750641884269</v>
      </c>
      <c r="P342" s="783">
        <f t="shared" si="309"/>
        <v>0.77111094800773106</v>
      </c>
      <c r="Q342" s="781">
        <f t="shared" si="309"/>
        <v>0.75620681313641014</v>
      </c>
      <c r="R342" s="834">
        <f t="shared" si="301"/>
        <v>-0.3488309758484554</v>
      </c>
      <c r="S342" s="835">
        <f t="shared" si="302"/>
        <v>-6.5623771245519102E-2</v>
      </c>
      <c r="T342" s="835">
        <f t="shared" si="303"/>
        <v>-7.3948381360614546E-2</v>
      </c>
      <c r="U342" s="782"/>
      <c r="V342" s="783"/>
      <c r="W342" s="784">
        <f t="shared" si="295"/>
        <v>0.77860750641884269</v>
      </c>
      <c r="X342" s="781">
        <f t="shared" si="295"/>
        <v>0.63090441983932355</v>
      </c>
      <c r="Y342" s="783"/>
      <c r="Z342" s="781"/>
    </row>
    <row r="343" spans="1:26" s="204" customFormat="1" x14ac:dyDescent="0.2">
      <c r="A343" s="622" t="s">
        <v>564</v>
      </c>
      <c r="B343" s="623"/>
      <c r="C343" s="782">
        <f t="shared" ref="C343:K343" si="319">C104/C$193*100</f>
        <v>2.4023578118947835E-2</v>
      </c>
      <c r="D343" s="783">
        <f t="shared" si="319"/>
        <v>0</v>
      </c>
      <c r="E343" s="783">
        <f t="shared" si="319"/>
        <v>0</v>
      </c>
      <c r="F343" s="783">
        <f t="shared" si="319"/>
        <v>0</v>
      </c>
      <c r="G343" s="781">
        <f t="shared" si="319"/>
        <v>0</v>
      </c>
      <c r="H343" s="783">
        <f t="shared" si="319"/>
        <v>1.7032893633215185E-2</v>
      </c>
      <c r="I343" s="783">
        <f t="shared" si="319"/>
        <v>2.1071734306691722E-2</v>
      </c>
      <c r="J343" s="783">
        <f t="shared" si="319"/>
        <v>1.9785589973037671E-2</v>
      </c>
      <c r="K343" s="781">
        <f t="shared" si="319"/>
        <v>1.8683940795768378E-2</v>
      </c>
      <c r="L343" s="783"/>
      <c r="M343" s="782">
        <f t="shared" ref="M343:Q352" si="320">M104/M$193*100</f>
        <v>0</v>
      </c>
      <c r="N343" s="782">
        <f t="shared" si="320"/>
        <v>1.7011950369887379E-2</v>
      </c>
      <c r="O343" s="783">
        <f t="shared" si="320"/>
        <v>1.6321009486476499E-2</v>
      </c>
      <c r="P343" s="783">
        <f t="shared" si="320"/>
        <v>1.5745653482151234E-2</v>
      </c>
      <c r="Q343" s="781">
        <f t="shared" si="320"/>
        <v>1.5242737487930312E-2</v>
      </c>
      <c r="R343" s="834">
        <f t="shared" si="301"/>
        <v>4.7507248202152234E-3</v>
      </c>
      <c r="S343" s="835">
        <f t="shared" si="302"/>
        <v>4.0399364908864366E-3</v>
      </c>
      <c r="T343" s="835">
        <f t="shared" si="303"/>
        <v>3.4412033078380661E-3</v>
      </c>
      <c r="U343" s="782"/>
      <c r="V343" s="783"/>
      <c r="W343" s="784">
        <f t="shared" ref="W343:X362" si="321">W104/W$193*100</f>
        <v>1.6321009486476499E-2</v>
      </c>
      <c r="X343" s="781">
        <f t="shared" si="321"/>
        <v>2.1038426923616786E-2</v>
      </c>
      <c r="Y343" s="783"/>
      <c r="Z343" s="781"/>
    </row>
    <row r="344" spans="1:26" s="204" customFormat="1" x14ac:dyDescent="0.2">
      <c r="A344" s="622" t="s">
        <v>574</v>
      </c>
      <c r="B344" s="623"/>
      <c r="C344" s="782">
        <f t="shared" ref="C344:K344" si="322">C105/C$193*100</f>
        <v>6.0260152984753006E-2</v>
      </c>
      <c r="D344" s="783">
        <f t="shared" si="322"/>
        <v>4.1280691902599503E-2</v>
      </c>
      <c r="E344" s="783">
        <f t="shared" si="322"/>
        <v>1.9440709296277031E-2</v>
      </c>
      <c r="F344" s="783">
        <f t="shared" si="322"/>
        <v>1.8174816791777387E-2</v>
      </c>
      <c r="G344" s="781">
        <f t="shared" si="322"/>
        <v>1.7171036002522129E-2</v>
      </c>
      <c r="H344" s="783">
        <f t="shared" si="322"/>
        <v>1.155550018602618E-2</v>
      </c>
      <c r="I344" s="783">
        <f t="shared" si="322"/>
        <v>1.9471487222503667E-2</v>
      </c>
      <c r="J344" s="783">
        <f t="shared" si="322"/>
        <v>1.82035777912356E-2</v>
      </c>
      <c r="K344" s="781">
        <f t="shared" si="322"/>
        <v>1.7198217523298032E-2</v>
      </c>
      <c r="L344" s="783"/>
      <c r="M344" s="782">
        <f t="shared" si="320"/>
        <v>0</v>
      </c>
      <c r="N344" s="782">
        <f t="shared" si="320"/>
        <v>1.1541291802618644E-2</v>
      </c>
      <c r="O344" s="783">
        <f t="shared" si="320"/>
        <v>1.1072541883860396E-2</v>
      </c>
      <c r="P344" s="783">
        <f t="shared" si="320"/>
        <v>1.0682207360661892E-2</v>
      </c>
      <c r="Q344" s="781">
        <f t="shared" si="320"/>
        <v>1.034101777832089E-2</v>
      </c>
      <c r="R344" s="865">
        <f t="shared" si="301"/>
        <v>8.3989453386432711E-3</v>
      </c>
      <c r="S344" s="866">
        <f t="shared" si="302"/>
        <v>7.5213704305737081E-3</v>
      </c>
      <c r="T344" s="866">
        <f t="shared" si="303"/>
        <v>6.8571997449771421E-3</v>
      </c>
      <c r="U344" s="782"/>
      <c r="V344" s="783"/>
      <c r="W344" s="784">
        <f t="shared" si="321"/>
        <v>1.1072541883860396E-2</v>
      </c>
      <c r="X344" s="781">
        <f t="shared" si="321"/>
        <v>1.9440709296277031E-2</v>
      </c>
      <c r="Y344" s="783"/>
      <c r="Z344" s="781"/>
    </row>
    <row r="345" spans="1:26" s="204" customFormat="1" x14ac:dyDescent="0.2">
      <c r="A345" s="622" t="s">
        <v>565</v>
      </c>
      <c r="B345" s="623"/>
      <c r="C345" s="782">
        <f t="shared" ref="C345:K345" si="323">C106/C$193*100</f>
        <v>2.5246789960702114E-2</v>
      </c>
      <c r="D345" s="783">
        <f t="shared" si="323"/>
        <v>2.6514841328445917E-2</v>
      </c>
      <c r="E345" s="783">
        <f t="shared" si="323"/>
        <v>0</v>
      </c>
      <c r="F345" s="783">
        <f t="shared" si="323"/>
        <v>0</v>
      </c>
      <c r="G345" s="781">
        <f t="shared" si="323"/>
        <v>0</v>
      </c>
      <c r="H345" s="783">
        <f t="shared" si="323"/>
        <v>2.3717862800284348E-2</v>
      </c>
      <c r="I345" s="783">
        <f t="shared" si="323"/>
        <v>2.2144646709774413E-2</v>
      </c>
      <c r="J345" s="783">
        <f t="shared" si="323"/>
        <v>2.0793015587626938E-2</v>
      </c>
      <c r="K345" s="781">
        <f t="shared" si="323"/>
        <v>1.9635273587197726E-2</v>
      </c>
      <c r="L345" s="783"/>
      <c r="M345" s="782">
        <f t="shared" si="320"/>
        <v>0</v>
      </c>
      <c r="N345" s="782">
        <f t="shared" si="320"/>
        <v>2.3688699849062099E-2</v>
      </c>
      <c r="O345" s="783">
        <f t="shared" si="320"/>
        <v>2.2726582581806373E-2</v>
      </c>
      <c r="P345" s="783">
        <f t="shared" si="320"/>
        <v>2.1925414262097296E-2</v>
      </c>
      <c r="Q345" s="781">
        <f t="shared" si="320"/>
        <v>2.1225116778424882E-2</v>
      </c>
      <c r="R345" s="865">
        <f t="shared" si="301"/>
        <v>-5.8193587203195923E-4</v>
      </c>
      <c r="S345" s="866">
        <f t="shared" si="302"/>
        <v>-1.1323986744703578E-3</v>
      </c>
      <c r="T345" s="866">
        <f t="shared" si="303"/>
        <v>-1.5898431912271561E-3</v>
      </c>
      <c r="U345" s="782"/>
      <c r="V345" s="783"/>
      <c r="W345" s="784">
        <f t="shared" si="321"/>
        <v>2.2726582581806373E-2</v>
      </c>
      <c r="X345" s="781">
        <f t="shared" si="321"/>
        <v>2.210964341007984E-2</v>
      </c>
      <c r="Y345" s="783"/>
      <c r="Z345" s="781"/>
    </row>
    <row r="346" spans="1:26" s="204" customFormat="1" x14ac:dyDescent="0.2">
      <c r="A346" s="622" t="s">
        <v>497</v>
      </c>
      <c r="B346" s="623"/>
      <c r="C346" s="782">
        <f t="shared" ref="C346:K346" si="324">C107/C$193*100</f>
        <v>3.9331833970487748</v>
      </c>
      <c r="D346" s="783">
        <f t="shared" si="324"/>
        <v>3.8081939845197401</v>
      </c>
      <c r="E346" s="783">
        <f t="shared" si="324"/>
        <v>3.4480945211083873</v>
      </c>
      <c r="F346" s="783">
        <f t="shared" si="324"/>
        <v>3.2294533904520466</v>
      </c>
      <c r="G346" s="781">
        <f t="shared" si="324"/>
        <v>3.1032754974106118</v>
      </c>
      <c r="H346" s="783">
        <f t="shared" si="324"/>
        <v>3.7265501319562682</v>
      </c>
      <c r="I346" s="783">
        <f t="shared" si="324"/>
        <v>3.7620278664382369</v>
      </c>
      <c r="J346" s="783">
        <f t="shared" si="324"/>
        <v>3.5873502682739629</v>
      </c>
      <c r="K346" s="781">
        <f t="shared" si="324"/>
        <v>3.4601468169482925</v>
      </c>
      <c r="L346" s="783"/>
      <c r="M346" s="782">
        <f t="shared" si="320"/>
        <v>0</v>
      </c>
      <c r="N346" s="782">
        <f t="shared" si="320"/>
        <v>3.7219680496396355</v>
      </c>
      <c r="O346" s="783">
        <f t="shared" si="320"/>
        <v>3.5708002037236772</v>
      </c>
      <c r="P346" s="783">
        <f t="shared" si="320"/>
        <v>3.4449206532485279</v>
      </c>
      <c r="Q346" s="781">
        <f t="shared" si="320"/>
        <v>3.3348899265273673</v>
      </c>
      <c r="R346" s="834">
        <f t="shared" si="301"/>
        <v>0.19122766271455971</v>
      </c>
      <c r="S346" s="835">
        <f t="shared" si="302"/>
        <v>0.14242961502543494</v>
      </c>
      <c r="T346" s="835">
        <f t="shared" si="303"/>
        <v>0.12525689042092525</v>
      </c>
      <c r="U346" s="782"/>
      <c r="V346" s="783"/>
      <c r="W346" s="784">
        <f t="shared" si="321"/>
        <v>3.5708002037236772</v>
      </c>
      <c r="X346" s="781">
        <f t="shared" si="321"/>
        <v>3.4480945211083873</v>
      </c>
      <c r="Y346" s="783"/>
      <c r="Z346" s="781"/>
    </row>
    <row r="347" spans="1:26" s="204" customFormat="1" x14ac:dyDescent="0.2">
      <c r="A347" s="479" t="s">
        <v>122</v>
      </c>
      <c r="B347" s="641" t="s">
        <v>594</v>
      </c>
      <c r="C347" s="841">
        <f t="shared" ref="C347:K347" si="325">C108/C$193*100</f>
        <v>18.521082057445867</v>
      </c>
      <c r="D347" s="842">
        <f t="shared" si="325"/>
        <v>18.133481311820447</v>
      </c>
      <c r="E347" s="842">
        <f t="shared" si="325"/>
        <v>17.38990550147383</v>
      </c>
      <c r="F347" s="842">
        <f t="shared" si="325"/>
        <v>16.594911647216843</v>
      </c>
      <c r="G347" s="843">
        <f t="shared" si="325"/>
        <v>15.976652033578317</v>
      </c>
      <c r="H347" s="842">
        <f t="shared" si="325"/>
        <v>18.10824607936528</v>
      </c>
      <c r="I347" s="842">
        <f t="shared" si="325"/>
        <v>17.517151671691124</v>
      </c>
      <c r="J347" s="842">
        <f t="shared" si="325"/>
        <v>16.973894484936011</v>
      </c>
      <c r="K347" s="843">
        <f t="shared" si="325"/>
        <v>16.403913068151518</v>
      </c>
      <c r="L347" s="842"/>
      <c r="M347" s="841">
        <f t="shared" si="320"/>
        <v>0</v>
      </c>
      <c r="N347" s="841">
        <f t="shared" si="320"/>
        <v>18.085980586829979</v>
      </c>
      <c r="O347" s="842">
        <f t="shared" si="320"/>
        <v>17.608459464060424</v>
      </c>
      <c r="P347" s="842">
        <f t="shared" si="320"/>
        <v>17.274050566954134</v>
      </c>
      <c r="Q347" s="843">
        <f t="shared" si="320"/>
        <v>16.913051048806988</v>
      </c>
      <c r="R347" s="863">
        <f t="shared" ref="R347:T347" si="326">SUM(R348:R364)</f>
        <v>-9.1307792369292984E-2</v>
      </c>
      <c r="S347" s="864">
        <f t="shared" si="326"/>
        <v>-0.30015608201811722</v>
      </c>
      <c r="T347" s="864">
        <f t="shared" si="326"/>
        <v>-0.50913798065546301</v>
      </c>
      <c r="U347" s="841"/>
      <c r="V347" s="842"/>
      <c r="W347" s="844">
        <f t="shared" si="321"/>
        <v>17.608459464060424</v>
      </c>
      <c r="X347" s="843">
        <f t="shared" si="321"/>
        <v>17.290503072543824</v>
      </c>
      <c r="Y347" s="842"/>
      <c r="Z347" s="843"/>
    </row>
    <row r="348" spans="1:26" s="204" customFormat="1" x14ac:dyDescent="0.2">
      <c r="A348" s="622" t="s">
        <v>595</v>
      </c>
      <c r="B348" s="623"/>
      <c r="C348" s="782">
        <f t="shared" ref="C348:K348" si="327">C109/C$193*100</f>
        <v>7.9742046821226609</v>
      </c>
      <c r="D348" s="783">
        <f t="shared" si="327"/>
        <v>7.7912522826860746</v>
      </c>
      <c r="E348" s="783">
        <f t="shared" si="327"/>
        <v>7.5621950162245186</v>
      </c>
      <c r="F348" s="783">
        <f t="shared" si="327"/>
        <v>7.3595116127169087</v>
      </c>
      <c r="G348" s="781">
        <f t="shared" si="327"/>
        <v>7.1894202496684905</v>
      </c>
      <c r="H348" s="783">
        <f t="shared" si="327"/>
        <v>7.8303259008145467</v>
      </c>
      <c r="I348" s="783">
        <f t="shared" si="327"/>
        <v>7.5741672481412508</v>
      </c>
      <c r="J348" s="783">
        <f t="shared" si="327"/>
        <v>7.3711577774035213</v>
      </c>
      <c r="K348" s="781">
        <f t="shared" si="327"/>
        <v>7.200801005952175</v>
      </c>
      <c r="L348" s="783"/>
      <c r="M348" s="782">
        <f t="shared" si="320"/>
        <v>0</v>
      </c>
      <c r="N348" s="782">
        <f t="shared" si="320"/>
        <v>7.8206979080133978</v>
      </c>
      <c r="O348" s="783">
        <f t="shared" si="320"/>
        <v>7.5907421271975402</v>
      </c>
      <c r="P348" s="783">
        <f t="shared" si="320"/>
        <v>7.4073034698773883</v>
      </c>
      <c r="Q348" s="781">
        <f t="shared" si="320"/>
        <v>7.232984228439018</v>
      </c>
      <c r="R348" s="834">
        <f t="shared" ref="R348:R364" si="328">I348-O348</f>
        <v>-1.6574879056289404E-2</v>
      </c>
      <c r="S348" s="835">
        <f t="shared" ref="S348:S364" si="329">J348-P348</f>
        <v>-3.6145692473867008E-2</v>
      </c>
      <c r="T348" s="835">
        <f t="shared" ref="T348:T364" si="330">K348-Q348</f>
        <v>-3.2183222486843022E-2</v>
      </c>
      <c r="U348" s="782"/>
      <c r="V348" s="783"/>
      <c r="W348" s="784">
        <f t="shared" si="321"/>
        <v>7.5907421271975402</v>
      </c>
      <c r="X348" s="781">
        <f t="shared" si="321"/>
        <v>7.5621950162245186</v>
      </c>
      <c r="Y348" s="783"/>
      <c r="Z348" s="781"/>
    </row>
    <row r="349" spans="1:26" s="204" customFormat="1" x14ac:dyDescent="0.2">
      <c r="A349" s="622" t="s">
        <v>596</v>
      </c>
      <c r="B349" s="623"/>
      <c r="C349" s="782">
        <f t="shared" ref="C349:K349" si="331">C110/C$193*100</f>
        <v>0.66631838887128025</v>
      </c>
      <c r="D349" s="783">
        <f t="shared" si="331"/>
        <v>0.71476262275655622</v>
      </c>
      <c r="E349" s="783">
        <f t="shared" si="331"/>
        <v>0.71253085961044649</v>
      </c>
      <c r="F349" s="783">
        <f t="shared" si="331"/>
        <v>0.7047328871600157</v>
      </c>
      <c r="G349" s="781">
        <f t="shared" si="331"/>
        <v>0.69966112366378119</v>
      </c>
      <c r="H349" s="783">
        <f t="shared" si="331"/>
        <v>0.74343152447172278</v>
      </c>
      <c r="I349" s="783">
        <f t="shared" si="331"/>
        <v>0.71365891630308431</v>
      </c>
      <c r="J349" s="783">
        <f t="shared" si="331"/>
        <v>0.70584810182314028</v>
      </c>
      <c r="K349" s="781">
        <f t="shared" si="331"/>
        <v>0.70076867788276764</v>
      </c>
      <c r="L349" s="783"/>
      <c r="M349" s="782">
        <f t="shared" si="320"/>
        <v>0</v>
      </c>
      <c r="N349" s="782">
        <f t="shared" si="320"/>
        <v>0.74251741777215152</v>
      </c>
      <c r="O349" s="783">
        <f t="shared" si="320"/>
        <v>0.74376455107344974</v>
      </c>
      <c r="P349" s="783">
        <f t="shared" si="320"/>
        <v>0.74683132673586483</v>
      </c>
      <c r="Q349" s="781">
        <f t="shared" si="320"/>
        <v>0.74793892638169757</v>
      </c>
      <c r="R349" s="834">
        <f t="shared" si="328"/>
        <v>-3.010563477036543E-2</v>
      </c>
      <c r="S349" s="835">
        <f t="shared" si="329"/>
        <v>-4.0983224912724547E-2</v>
      </c>
      <c r="T349" s="835">
        <f t="shared" si="330"/>
        <v>-4.7170248498929923E-2</v>
      </c>
      <c r="U349" s="782"/>
      <c r="V349" s="783"/>
      <c r="W349" s="784">
        <f t="shared" si="321"/>
        <v>0.74376455107344974</v>
      </c>
      <c r="X349" s="781">
        <f t="shared" si="321"/>
        <v>0.71253085961044649</v>
      </c>
      <c r="Y349" s="783"/>
      <c r="Z349" s="781"/>
    </row>
    <row r="350" spans="1:26" s="204" customFormat="1" x14ac:dyDescent="0.2">
      <c r="A350" s="622" t="s">
        <v>597</v>
      </c>
      <c r="B350" s="623"/>
      <c r="C350" s="782">
        <f t="shared" ref="C350:K350" si="332">C111/C$193*100</f>
        <v>5.3431255251419098E-2</v>
      </c>
      <c r="D350" s="783">
        <f t="shared" si="332"/>
        <v>5.6995299766978098E-2</v>
      </c>
      <c r="E350" s="783">
        <f t="shared" si="332"/>
        <v>5.7487635513941537E-2</v>
      </c>
      <c r="F350" s="783">
        <f t="shared" si="332"/>
        <v>5.8083935628548113E-2</v>
      </c>
      <c r="G350" s="781">
        <f t="shared" si="332"/>
        <v>5.8966129754037831E-2</v>
      </c>
      <c r="H350" s="783">
        <f t="shared" si="332"/>
        <v>5.2975718396184784E-2</v>
      </c>
      <c r="I350" s="783">
        <f t="shared" si="332"/>
        <v>5.7578648150251606E-2</v>
      </c>
      <c r="J350" s="783">
        <f t="shared" si="332"/>
        <v>5.8175851385404563E-2</v>
      </c>
      <c r="K350" s="781">
        <f t="shared" si="332"/>
        <v>5.9059472350299846E-2</v>
      </c>
      <c r="L350" s="783"/>
      <c r="M350" s="782">
        <f t="shared" si="320"/>
        <v>0</v>
      </c>
      <c r="N350" s="782">
        <f t="shared" si="320"/>
        <v>5.2910580643067626E-2</v>
      </c>
      <c r="O350" s="783">
        <f t="shared" si="320"/>
        <v>5.1613046126097156E-2</v>
      </c>
      <c r="P350" s="783">
        <f t="shared" si="320"/>
        <v>5.0618883203749777E-2</v>
      </c>
      <c r="Q350" s="781">
        <f t="shared" si="320"/>
        <v>4.9703441938332975E-2</v>
      </c>
      <c r="R350" s="834">
        <f t="shared" si="328"/>
        <v>5.9656020241544497E-3</v>
      </c>
      <c r="S350" s="835">
        <f t="shared" si="329"/>
        <v>7.5569681816547857E-3</v>
      </c>
      <c r="T350" s="835">
        <f t="shared" si="330"/>
        <v>9.3560304119668716E-3</v>
      </c>
      <c r="U350" s="782"/>
      <c r="V350" s="783"/>
      <c r="W350" s="784">
        <f t="shared" si="321"/>
        <v>5.1613046126097156E-2</v>
      </c>
      <c r="X350" s="781">
        <f t="shared" si="321"/>
        <v>5.7487635513941537E-2</v>
      </c>
      <c r="Y350" s="783"/>
      <c r="Z350" s="781"/>
    </row>
    <row r="351" spans="1:26" s="204" customFormat="1" x14ac:dyDescent="0.2">
      <c r="A351" s="622" t="s">
        <v>598</v>
      </c>
      <c r="B351" s="623"/>
      <c r="C351" s="782">
        <f t="shared" ref="C351:K351" si="333">C112/C$193*100</f>
        <v>0.19758836211869779</v>
      </c>
      <c r="D351" s="783">
        <f t="shared" si="333"/>
        <v>0.18803142921572874</v>
      </c>
      <c r="E351" s="783">
        <f t="shared" si="333"/>
        <v>0.17055146846333588</v>
      </c>
      <c r="F351" s="783">
        <f t="shared" si="333"/>
        <v>0.16181051007572539</v>
      </c>
      <c r="G351" s="781">
        <f t="shared" si="333"/>
        <v>0.15430358304758088</v>
      </c>
      <c r="H351" s="783">
        <f t="shared" si="333"/>
        <v>0.20338101050800797</v>
      </c>
      <c r="I351" s="783">
        <f t="shared" si="333"/>
        <v>0.17082148024295826</v>
      </c>
      <c r="J351" s="783">
        <f t="shared" si="333"/>
        <v>0.16206656943775027</v>
      </c>
      <c r="K351" s="781">
        <f t="shared" si="333"/>
        <v>0.15454784355974732</v>
      </c>
      <c r="L351" s="783"/>
      <c r="M351" s="782">
        <f t="shared" si="320"/>
        <v>0</v>
      </c>
      <c r="N351" s="782">
        <f t="shared" si="320"/>
        <v>0.20313093778691499</v>
      </c>
      <c r="O351" s="783">
        <f t="shared" si="320"/>
        <v>0.1872454508880344</v>
      </c>
      <c r="P351" s="783">
        <f t="shared" si="320"/>
        <v>0.17352320476736</v>
      </c>
      <c r="Q351" s="781">
        <f t="shared" si="320"/>
        <v>0.16479399956697063</v>
      </c>
      <c r="R351" s="834">
        <f t="shared" si="328"/>
        <v>-1.6423970645076141E-2</v>
      </c>
      <c r="S351" s="835">
        <f t="shared" si="329"/>
        <v>-1.1456635329609721E-2</v>
      </c>
      <c r="T351" s="835">
        <f t="shared" si="330"/>
        <v>-1.0246156007223312E-2</v>
      </c>
      <c r="U351" s="782"/>
      <c r="V351" s="783"/>
      <c r="W351" s="784">
        <f t="shared" si="321"/>
        <v>0.1872454508880344</v>
      </c>
      <c r="X351" s="781">
        <f t="shared" si="321"/>
        <v>0.17055146846333588</v>
      </c>
      <c r="Y351" s="783"/>
      <c r="Z351" s="781"/>
    </row>
    <row r="352" spans="1:26" s="204" customFormat="1" x14ac:dyDescent="0.2">
      <c r="A352" s="622" t="s">
        <v>599</v>
      </c>
      <c r="B352" s="623"/>
      <c r="C352" s="782">
        <f t="shared" ref="C352:K352" si="334">C113/C$193*100</f>
        <v>5.0047121494588263</v>
      </c>
      <c r="D352" s="783">
        <f t="shared" si="334"/>
        <v>4.9678600011496341</v>
      </c>
      <c r="E352" s="783">
        <f t="shared" si="334"/>
        <v>4.8544551369382312</v>
      </c>
      <c r="F352" s="783">
        <f t="shared" si="334"/>
        <v>4.6616835580674607</v>
      </c>
      <c r="G352" s="781">
        <f t="shared" si="334"/>
        <v>4.5394997295761357</v>
      </c>
      <c r="H352" s="783">
        <f t="shared" si="334"/>
        <v>4.9340546477455121</v>
      </c>
      <c r="I352" s="783">
        <f t="shared" si="334"/>
        <v>4.8488066717013414</v>
      </c>
      <c r="J352" s="783">
        <f t="shared" si="334"/>
        <v>4.7888822860340472</v>
      </c>
      <c r="K352" s="781">
        <f t="shared" si="334"/>
        <v>4.698165741269257</v>
      </c>
      <c r="L352" s="783"/>
      <c r="M352" s="782">
        <f t="shared" si="320"/>
        <v>0</v>
      </c>
      <c r="N352" s="782">
        <f t="shared" si="320"/>
        <v>4.9279878450056627</v>
      </c>
      <c r="O352" s="783">
        <f t="shared" si="320"/>
        <v>4.8539960096397152</v>
      </c>
      <c r="P352" s="783">
        <f t="shared" si="320"/>
        <v>4.8072609546683953</v>
      </c>
      <c r="Q352" s="781">
        <f t="shared" si="320"/>
        <v>4.7143455761289959</v>
      </c>
      <c r="R352" s="834">
        <f t="shared" si="328"/>
        <v>-5.1893379383738392E-3</v>
      </c>
      <c r="S352" s="835">
        <f t="shared" si="329"/>
        <v>-1.8378668634348116E-2</v>
      </c>
      <c r="T352" s="835">
        <f t="shared" si="330"/>
        <v>-1.617983485973884E-2</v>
      </c>
      <c r="U352" s="782"/>
      <c r="V352" s="783"/>
      <c r="W352" s="784">
        <f t="shared" si="321"/>
        <v>4.8539960096397152</v>
      </c>
      <c r="X352" s="781">
        <f t="shared" si="321"/>
        <v>4.8544551369382312</v>
      </c>
      <c r="Y352" s="783"/>
      <c r="Z352" s="781"/>
    </row>
    <row r="353" spans="1:26" s="204" customFormat="1" x14ac:dyDescent="0.2">
      <c r="A353" s="622" t="s">
        <v>600</v>
      </c>
      <c r="B353" s="623"/>
      <c r="C353" s="782">
        <f t="shared" ref="C353:K353" si="335">C114/C$193*100</f>
        <v>1.535196135834735</v>
      </c>
      <c r="D353" s="783">
        <f t="shared" si="335"/>
        <v>1.5059504596323825</v>
      </c>
      <c r="E353" s="783">
        <f t="shared" si="335"/>
        <v>1.5037919133371314</v>
      </c>
      <c r="F353" s="783">
        <f t="shared" si="335"/>
        <v>1.4347166256737662</v>
      </c>
      <c r="G353" s="781">
        <f t="shared" si="335"/>
        <v>1.3744597242317171</v>
      </c>
      <c r="H353" s="783">
        <f t="shared" si="335"/>
        <v>1.4873335948454347</v>
      </c>
      <c r="I353" s="783">
        <f t="shared" si="335"/>
        <v>1.569540194721212</v>
      </c>
      <c r="J353" s="783">
        <f t="shared" si="335"/>
        <v>1.496486808184845</v>
      </c>
      <c r="K353" s="781">
        <f t="shared" si="335"/>
        <v>1.4328223591839235</v>
      </c>
      <c r="L353" s="783"/>
      <c r="M353" s="782">
        <f t="shared" ref="M353:Q362" si="336">M114/M$193*100</f>
        <v>0</v>
      </c>
      <c r="N353" s="782">
        <f t="shared" si="336"/>
        <v>1.4855048028736229</v>
      </c>
      <c r="O353" s="783">
        <f t="shared" si="336"/>
        <v>1.4200089433558716</v>
      </c>
      <c r="P353" s="783">
        <f t="shared" si="336"/>
        <v>1.3662934833275322</v>
      </c>
      <c r="Q353" s="781">
        <f t="shared" si="336"/>
        <v>1.3199348958053372</v>
      </c>
      <c r="R353" s="834">
        <f t="shared" si="328"/>
        <v>0.1495312513653404</v>
      </c>
      <c r="S353" s="835">
        <f t="shared" si="329"/>
        <v>0.13019332485731283</v>
      </c>
      <c r="T353" s="835">
        <f t="shared" si="330"/>
        <v>0.11288746337858635</v>
      </c>
      <c r="U353" s="782"/>
      <c r="V353" s="783"/>
      <c r="W353" s="784">
        <f t="shared" si="321"/>
        <v>1.4200089433558716</v>
      </c>
      <c r="X353" s="781">
        <f t="shared" si="321"/>
        <v>1.5037919133371314</v>
      </c>
      <c r="Y353" s="783"/>
      <c r="Z353" s="781"/>
    </row>
    <row r="354" spans="1:26" s="204" customFormat="1" x14ac:dyDescent="0.2">
      <c r="A354" s="622" t="s">
        <v>601</v>
      </c>
      <c r="B354" s="623"/>
      <c r="C354" s="782">
        <f t="shared" ref="C354:K354" si="337">C115/C$193*100</f>
        <v>0.28992425699704638</v>
      </c>
      <c r="D354" s="783">
        <f t="shared" si="337"/>
        <v>0.26893468754283484</v>
      </c>
      <c r="E354" s="783">
        <f t="shared" si="337"/>
        <v>0.26787896427303426</v>
      </c>
      <c r="F354" s="783">
        <f t="shared" si="337"/>
        <v>0.26708473610456968</v>
      </c>
      <c r="G354" s="781">
        <f t="shared" si="337"/>
        <v>0.26722545114113377</v>
      </c>
      <c r="H354" s="783">
        <f t="shared" si="337"/>
        <v>0.29963366588525925</v>
      </c>
      <c r="I354" s="783">
        <f t="shared" si="337"/>
        <v>0.26830306191651082</v>
      </c>
      <c r="J354" s="783">
        <f t="shared" si="337"/>
        <v>0.26750738817520159</v>
      </c>
      <c r="K354" s="781">
        <f t="shared" si="337"/>
        <v>0.26764846546309878</v>
      </c>
      <c r="L354" s="783"/>
      <c r="M354" s="782">
        <f t="shared" si="336"/>
        <v>0</v>
      </c>
      <c r="N354" s="782">
        <f t="shared" si="336"/>
        <v>0.29926524306165425</v>
      </c>
      <c r="O354" s="783">
        <f t="shared" si="336"/>
        <v>0.29328286811274434</v>
      </c>
      <c r="P354" s="783">
        <f t="shared" si="336"/>
        <v>0.29332724273422117</v>
      </c>
      <c r="Q354" s="781">
        <f t="shared" si="336"/>
        <v>0.29334464444654496</v>
      </c>
      <c r="R354" s="834">
        <f t="shared" si="328"/>
        <v>-2.4979806196233523E-2</v>
      </c>
      <c r="S354" s="835">
        <f t="shared" si="329"/>
        <v>-2.5819854559019584E-2</v>
      </c>
      <c r="T354" s="835">
        <f t="shared" si="330"/>
        <v>-2.5696178983446172E-2</v>
      </c>
      <c r="U354" s="782"/>
      <c r="V354" s="783"/>
      <c r="W354" s="784">
        <f t="shared" si="321"/>
        <v>0.29328286811274434</v>
      </c>
      <c r="X354" s="781">
        <f t="shared" si="321"/>
        <v>0.26787896427303426</v>
      </c>
      <c r="Y354" s="783"/>
      <c r="Z354" s="781"/>
    </row>
    <row r="355" spans="1:26" s="204" customFormat="1" x14ac:dyDescent="0.2">
      <c r="A355" s="622" t="s">
        <v>602</v>
      </c>
      <c r="B355" s="623"/>
      <c r="C355" s="782">
        <f t="shared" ref="C355:K355" si="338">C116/C$193*100</f>
        <v>1.5312499906836552</v>
      </c>
      <c r="D355" s="783">
        <f t="shared" si="338"/>
        <v>1.3331759956490785</v>
      </c>
      <c r="E355" s="783">
        <f t="shared" si="338"/>
        <v>1.0244255364824586</v>
      </c>
      <c r="F355" s="783">
        <f t="shared" si="338"/>
        <v>0.7655884467857883</v>
      </c>
      <c r="G355" s="781">
        <f t="shared" si="338"/>
        <v>0.57653819016425856</v>
      </c>
      <c r="H355" s="783">
        <f t="shared" si="338"/>
        <v>1.3354878786901105</v>
      </c>
      <c r="I355" s="783">
        <f t="shared" si="338"/>
        <v>1.1010628259271331</v>
      </c>
      <c r="J355" s="783">
        <f t="shared" si="338"/>
        <v>0.95945614152701408</v>
      </c>
      <c r="K355" s="781">
        <f t="shared" si="338"/>
        <v>0.78746140651755892</v>
      </c>
      <c r="L355" s="783"/>
      <c r="M355" s="782">
        <f t="shared" si="336"/>
        <v>0</v>
      </c>
      <c r="N355" s="782">
        <f t="shared" si="336"/>
        <v>1.3338457927993161</v>
      </c>
      <c r="O355" s="783">
        <f t="shared" si="336"/>
        <v>1.3071819357642791</v>
      </c>
      <c r="P355" s="783">
        <f t="shared" si="336"/>
        <v>1.3073797165074028</v>
      </c>
      <c r="Q355" s="781">
        <f t="shared" si="336"/>
        <v>1.3074572771373416</v>
      </c>
      <c r="R355" s="834">
        <f t="shared" si="328"/>
        <v>-0.20611910983714599</v>
      </c>
      <c r="S355" s="835">
        <f t="shared" si="329"/>
        <v>-0.34792357498038873</v>
      </c>
      <c r="T355" s="835">
        <f t="shared" si="330"/>
        <v>-0.5199958706197827</v>
      </c>
      <c r="U355" s="782"/>
      <c r="V355" s="783"/>
      <c r="W355" s="784">
        <f t="shared" si="321"/>
        <v>1.3071819357642791</v>
      </c>
      <c r="X355" s="781">
        <f t="shared" si="321"/>
        <v>1.0244255364824586</v>
      </c>
      <c r="Y355" s="783"/>
      <c r="Z355" s="781"/>
    </row>
    <row r="356" spans="1:26" s="204" customFormat="1" x14ac:dyDescent="0.2">
      <c r="A356" s="622" t="s">
        <v>153</v>
      </c>
      <c r="B356" s="641"/>
      <c r="C356" s="782">
        <f t="shared" ref="C356:K356" si="339">C117/C$193*100</f>
        <v>0</v>
      </c>
      <c r="D356" s="783">
        <f t="shared" si="339"/>
        <v>6.6325019123713842E-4</v>
      </c>
      <c r="E356" s="783">
        <f t="shared" si="339"/>
        <v>1.2385127938371603E-3</v>
      </c>
      <c r="F356" s="783">
        <f t="shared" si="339"/>
        <v>2.5642367470825262E-3</v>
      </c>
      <c r="G356" s="781">
        <f t="shared" si="339"/>
        <v>2.1378768203278217E-3</v>
      </c>
      <c r="H356" s="783">
        <f t="shared" si="339"/>
        <v>1.0063248025378387E-2</v>
      </c>
      <c r="I356" s="783">
        <f t="shared" si="339"/>
        <v>1.2404735687666412E-3</v>
      </c>
      <c r="J356" s="783">
        <f t="shared" si="339"/>
        <v>2.5682945602939879E-3</v>
      </c>
      <c r="K356" s="781">
        <f t="shared" si="339"/>
        <v>2.141261050795892E-3</v>
      </c>
      <c r="L356" s="783"/>
      <c r="M356" s="782">
        <f t="shared" si="336"/>
        <v>0</v>
      </c>
      <c r="N356" s="782">
        <f t="shared" si="336"/>
        <v>1.0050874481700667E-2</v>
      </c>
      <c r="O356" s="783">
        <f t="shared" si="336"/>
        <v>1.243188150938018E-3</v>
      </c>
      <c r="P356" s="783">
        <f t="shared" si="336"/>
        <v>2.5808886178575463E-3</v>
      </c>
      <c r="Q356" s="781">
        <f t="shared" si="336"/>
        <v>2.1508311917764877E-3</v>
      </c>
      <c r="R356" s="834">
        <f t="shared" si="328"/>
        <v>-2.7145821713768763E-6</v>
      </c>
      <c r="S356" s="835">
        <f t="shared" si="329"/>
        <v>-1.2594057563558407E-5</v>
      </c>
      <c r="T356" s="835">
        <f t="shared" si="330"/>
        <v>-9.570140980595665E-6</v>
      </c>
      <c r="U356" s="782"/>
      <c r="V356" s="783"/>
      <c r="W356" s="784">
        <f t="shared" si="321"/>
        <v>1.243188150938018E-3</v>
      </c>
      <c r="X356" s="781">
        <f t="shared" si="321"/>
        <v>1.2385127938371603E-3</v>
      </c>
      <c r="Y356" s="783"/>
      <c r="Z356" s="781"/>
    </row>
    <row r="357" spans="1:26" s="204" customFormat="1" x14ac:dyDescent="0.2">
      <c r="A357" s="622" t="s">
        <v>117</v>
      </c>
      <c r="B357" s="641"/>
      <c r="C357" s="782">
        <f t="shared" ref="C357:K357" si="340">C118/C$193*100</f>
        <v>2.5712070426051239E-2</v>
      </c>
      <c r="D357" s="783">
        <f t="shared" si="340"/>
        <v>2.7500563762662546E-2</v>
      </c>
      <c r="E357" s="783">
        <f t="shared" si="340"/>
        <v>1.0299463104703872E-2</v>
      </c>
      <c r="F357" s="783">
        <f t="shared" si="340"/>
        <v>2.5879792922861633E-2</v>
      </c>
      <c r="G357" s="781">
        <f t="shared" si="340"/>
        <v>2.4604966098639276E-2</v>
      </c>
      <c r="H357" s="783">
        <f t="shared" si="340"/>
        <v>2.4879168252287951E-2</v>
      </c>
      <c r="I357" s="783">
        <f t="shared" si="340"/>
        <v>2.4585270931582668E-2</v>
      </c>
      <c r="J357" s="783">
        <f t="shared" si="340"/>
        <v>2.4438632992807609E-2</v>
      </c>
      <c r="K357" s="781">
        <f t="shared" si="340"/>
        <v>2.4345779562221951E-2</v>
      </c>
      <c r="L357" s="783"/>
      <c r="M357" s="782">
        <f t="shared" si="336"/>
        <v>0</v>
      </c>
      <c r="N357" s="782">
        <f t="shared" si="336"/>
        <v>2.4848577385973347E-2</v>
      </c>
      <c r="O357" s="783">
        <f t="shared" si="336"/>
        <v>2.4639071947444462E-2</v>
      </c>
      <c r="P357" s="783">
        <f t="shared" si="336"/>
        <v>2.4558471875560556E-2</v>
      </c>
      <c r="Q357" s="781">
        <f t="shared" si="336"/>
        <v>2.4454590462511933E-2</v>
      </c>
      <c r="R357" s="834">
        <f t="shared" si="328"/>
        <v>-5.3801015861793672E-5</v>
      </c>
      <c r="S357" s="835">
        <f t="shared" si="329"/>
        <v>-1.1983888275294771E-4</v>
      </c>
      <c r="T357" s="835">
        <f t="shared" si="330"/>
        <v>-1.088109002899823E-4</v>
      </c>
      <c r="U357" s="782"/>
      <c r="V357" s="783"/>
      <c r="W357" s="784">
        <f t="shared" si="321"/>
        <v>2.4639071947444462E-2</v>
      </c>
      <c r="X357" s="781">
        <f t="shared" si="321"/>
        <v>1.0299463104703872E-2</v>
      </c>
      <c r="Y357" s="783"/>
      <c r="Z357" s="781"/>
    </row>
    <row r="358" spans="1:26" s="204" customFormat="1" x14ac:dyDescent="0.2">
      <c r="A358" s="622" t="s">
        <v>603</v>
      </c>
      <c r="B358" s="623"/>
      <c r="C358" s="782">
        <f t="shared" ref="C358:K358" si="341">C119/C$193*100</f>
        <v>0.22302186303938365</v>
      </c>
      <c r="D358" s="783">
        <f t="shared" si="341"/>
        <v>0.18392591053197085</v>
      </c>
      <c r="E358" s="783">
        <f t="shared" si="341"/>
        <v>0.17955029600455777</v>
      </c>
      <c r="F358" s="783">
        <f t="shared" si="341"/>
        <v>0.17103536630984431</v>
      </c>
      <c r="G358" s="781">
        <f t="shared" si="341"/>
        <v>0.16129067682838108</v>
      </c>
      <c r="H358" s="783">
        <f t="shared" si="341"/>
        <v>0.22372613371268432</v>
      </c>
      <c r="I358" s="783">
        <f t="shared" si="341"/>
        <v>0.1798345544480219</v>
      </c>
      <c r="J358" s="783">
        <f t="shared" si="341"/>
        <v>0.17130602367790088</v>
      </c>
      <c r="K358" s="781">
        <f t="shared" si="341"/>
        <v>0.16154599781673182</v>
      </c>
      <c r="L358" s="783"/>
      <c r="M358" s="782">
        <f t="shared" si="336"/>
        <v>0</v>
      </c>
      <c r="N358" s="782">
        <f t="shared" si="336"/>
        <v>0.22345104508519942</v>
      </c>
      <c r="O358" s="783">
        <f t="shared" si="336"/>
        <v>0.21437557407021587</v>
      </c>
      <c r="P358" s="783">
        <f t="shared" si="336"/>
        <v>0.20681830417069313</v>
      </c>
      <c r="Q358" s="781">
        <f t="shared" si="336"/>
        <v>0.20021252987348823</v>
      </c>
      <c r="R358" s="834">
        <f t="shared" si="328"/>
        <v>-3.4541019622193969E-2</v>
      </c>
      <c r="S358" s="835">
        <f t="shared" si="329"/>
        <v>-3.5512280492792259E-2</v>
      </c>
      <c r="T358" s="835">
        <f t="shared" si="330"/>
        <v>-3.8666532056756409E-2</v>
      </c>
      <c r="U358" s="782"/>
      <c r="V358" s="783"/>
      <c r="W358" s="784">
        <f t="shared" si="321"/>
        <v>0.21437557407021587</v>
      </c>
      <c r="X358" s="781">
        <f t="shared" si="321"/>
        <v>0.17955029600455777</v>
      </c>
      <c r="Y358" s="783"/>
      <c r="Z358" s="781"/>
    </row>
    <row r="359" spans="1:26" s="204" customFormat="1" x14ac:dyDescent="0.2">
      <c r="A359" s="622" t="s">
        <v>604</v>
      </c>
      <c r="B359" s="623"/>
      <c r="C359" s="782">
        <f t="shared" ref="C359:K359" si="342">C120/C$193*100</f>
        <v>0.31385837371473624</v>
      </c>
      <c r="D359" s="783">
        <f t="shared" si="342"/>
        <v>0.29845042646987291</v>
      </c>
      <c r="E359" s="783">
        <f t="shared" si="342"/>
        <v>0.28881189467687207</v>
      </c>
      <c r="F359" s="783">
        <f t="shared" si="342"/>
        <v>0.28334525325471999</v>
      </c>
      <c r="G359" s="781">
        <f t="shared" si="342"/>
        <v>0.27952950823122663</v>
      </c>
      <c r="H359" s="783">
        <f t="shared" si="342"/>
        <v>0.29794855797272385</v>
      </c>
      <c r="I359" s="783">
        <f t="shared" si="342"/>
        <v>0.34922535517500264</v>
      </c>
      <c r="J359" s="783">
        <f t="shared" si="342"/>
        <v>0.36047363333408217</v>
      </c>
      <c r="K359" s="781">
        <f t="shared" si="342"/>
        <v>0.35421567945142901</v>
      </c>
      <c r="L359" s="783"/>
      <c r="M359" s="782">
        <f t="shared" si="336"/>
        <v>0</v>
      </c>
      <c r="N359" s="782">
        <f t="shared" si="336"/>
        <v>0.29758220711994826</v>
      </c>
      <c r="O359" s="783">
        <f t="shared" si="336"/>
        <v>0.28990215288761384</v>
      </c>
      <c r="P359" s="783">
        <f t="shared" si="336"/>
        <v>0.28518526609568762</v>
      </c>
      <c r="Q359" s="781">
        <f t="shared" si="336"/>
        <v>0.28122330510766913</v>
      </c>
      <c r="R359" s="834">
        <f t="shared" si="328"/>
        <v>5.9323202287388799E-2</v>
      </c>
      <c r="S359" s="835">
        <f t="shared" si="329"/>
        <v>7.5288367238394549E-2</v>
      </c>
      <c r="T359" s="835">
        <f t="shared" si="330"/>
        <v>7.299237434375988E-2</v>
      </c>
      <c r="U359" s="782"/>
      <c r="V359" s="783"/>
      <c r="W359" s="784">
        <f t="shared" si="321"/>
        <v>0.28990215288761384</v>
      </c>
      <c r="X359" s="781">
        <f t="shared" si="321"/>
        <v>0.28881189467687207</v>
      </c>
      <c r="Y359" s="783"/>
      <c r="Z359" s="781"/>
    </row>
    <row r="360" spans="1:26" s="204" customFormat="1" x14ac:dyDescent="0.2">
      <c r="A360" s="622" t="s">
        <v>605</v>
      </c>
      <c r="B360" s="623"/>
      <c r="C360" s="782">
        <f t="shared" ref="C360:K360" si="343">C121/C$193*100</f>
        <v>6.867589366256853E-2</v>
      </c>
      <c r="D360" s="783">
        <f t="shared" si="343"/>
        <v>6.4982848350054606E-2</v>
      </c>
      <c r="E360" s="783">
        <f t="shared" si="343"/>
        <v>5.3668887732943621E-2</v>
      </c>
      <c r="F360" s="783">
        <f t="shared" si="343"/>
        <v>2.8394609482055189E-2</v>
      </c>
      <c r="G360" s="781">
        <f t="shared" si="343"/>
        <v>1.6014949726784959E-2</v>
      </c>
      <c r="H360" s="783">
        <f t="shared" si="343"/>
        <v>6.5085714301782324E-2</v>
      </c>
      <c r="I360" s="783">
        <f t="shared" si="343"/>
        <v>5.3753854646554453E-2</v>
      </c>
      <c r="J360" s="783">
        <f t="shared" si="343"/>
        <v>2.8439542939007505E-2</v>
      </c>
      <c r="K360" s="781">
        <f t="shared" si="343"/>
        <v>1.604030117841896E-2</v>
      </c>
      <c r="L360" s="783"/>
      <c r="M360" s="782">
        <f t="shared" si="336"/>
        <v>0</v>
      </c>
      <c r="N360" s="782">
        <f t="shared" si="336"/>
        <v>6.5005686369778881E-2</v>
      </c>
      <c r="O360" s="783">
        <f t="shared" si="336"/>
        <v>6.2365478434152119E-2</v>
      </c>
      <c r="P360" s="783">
        <f t="shared" si="336"/>
        <v>6.0166940867622351E-2</v>
      </c>
      <c r="Q360" s="781">
        <f t="shared" si="336"/>
        <v>5.8245209456476259E-2</v>
      </c>
      <c r="R360" s="834">
        <f t="shared" si="328"/>
        <v>-8.6116237875976664E-3</v>
      </c>
      <c r="S360" s="835">
        <f t="shared" si="329"/>
        <v>-3.1727397928614842E-2</v>
      </c>
      <c r="T360" s="835">
        <f t="shared" si="330"/>
        <v>-4.2204908278057299E-2</v>
      </c>
      <c r="U360" s="782"/>
      <c r="V360" s="783"/>
      <c r="W360" s="784">
        <f t="shared" si="321"/>
        <v>6.2365478434152119E-2</v>
      </c>
      <c r="X360" s="781">
        <f t="shared" si="321"/>
        <v>5.3668887732943621E-2</v>
      </c>
      <c r="Y360" s="783"/>
      <c r="Z360" s="781"/>
    </row>
    <row r="361" spans="1:26" s="204" customFormat="1" x14ac:dyDescent="0.2">
      <c r="A361" s="622" t="s">
        <v>562</v>
      </c>
      <c r="B361" s="623"/>
      <c r="C361" s="782">
        <f t="shared" ref="C361:K361" si="344">C122/C$193*100</f>
        <v>1.5542161651746805E-3</v>
      </c>
      <c r="D361" s="783">
        <f t="shared" si="344"/>
        <v>6.3008768167528151E-3</v>
      </c>
      <c r="E361" s="783">
        <f t="shared" si="344"/>
        <v>9.7271432463897356E-3</v>
      </c>
      <c r="F361" s="783">
        <f t="shared" si="344"/>
        <v>9.3791232752455204E-3</v>
      </c>
      <c r="G361" s="781">
        <f t="shared" si="344"/>
        <v>9.0574881786792526E-3</v>
      </c>
      <c r="H361" s="783">
        <f t="shared" si="344"/>
        <v>1.1937472741758577E-2</v>
      </c>
      <c r="I361" s="783">
        <f t="shared" si="344"/>
        <v>9.7425429570006366E-3</v>
      </c>
      <c r="J361" s="783">
        <f t="shared" si="344"/>
        <v>9.3939654033686447E-3</v>
      </c>
      <c r="K361" s="781">
        <f t="shared" si="344"/>
        <v>9.0718260615577292E-3</v>
      </c>
      <c r="L361" s="783"/>
      <c r="M361" s="782">
        <f t="shared" si="336"/>
        <v>0</v>
      </c>
      <c r="N361" s="782">
        <f t="shared" si="336"/>
        <v>1.1922794693478414E-2</v>
      </c>
      <c r="O361" s="783">
        <f t="shared" si="336"/>
        <v>1.1743778533169515E-2</v>
      </c>
      <c r="P361" s="783">
        <f t="shared" si="336"/>
        <v>1.1630707542952649E-2</v>
      </c>
      <c r="Q361" s="781">
        <f t="shared" si="336"/>
        <v>1.140590768202872E-2</v>
      </c>
      <c r="R361" s="834">
        <f t="shared" si="328"/>
        <v>-2.0012355761688787E-3</v>
      </c>
      <c r="S361" s="835">
        <f t="shared" si="329"/>
        <v>-2.236742139584004E-3</v>
      </c>
      <c r="T361" s="835">
        <f t="shared" si="330"/>
        <v>-2.3340816204709906E-3</v>
      </c>
      <c r="U361" s="782"/>
      <c r="V361" s="783"/>
      <c r="W361" s="784">
        <f t="shared" si="321"/>
        <v>1.1743778533169515E-2</v>
      </c>
      <c r="X361" s="781">
        <f t="shared" si="321"/>
        <v>9.7271432463897356E-3</v>
      </c>
      <c r="Y361" s="783"/>
      <c r="Z361" s="781"/>
    </row>
    <row r="362" spans="1:26" s="204" customFormat="1" x14ac:dyDescent="0.2">
      <c r="A362" s="622" t="s">
        <v>606</v>
      </c>
      <c r="B362" s="623"/>
      <c r="C362" s="782">
        <f t="shared" ref="C362:K362" si="345">C123/C$193*100</f>
        <v>0.43047593455548849</v>
      </c>
      <c r="D362" s="783">
        <f t="shared" si="345"/>
        <v>0.4494824437674379</v>
      </c>
      <c r="E362" s="783">
        <f t="shared" si="345"/>
        <v>0.42273463521669846</v>
      </c>
      <c r="F362" s="783">
        <f t="shared" si="345"/>
        <v>0.40059961953161488</v>
      </c>
      <c r="G362" s="781">
        <f t="shared" si="345"/>
        <v>0.37925518495436655</v>
      </c>
      <c r="H362" s="783">
        <f t="shared" si="345"/>
        <v>0.45019506851986002</v>
      </c>
      <c r="I362" s="783">
        <f t="shared" si="345"/>
        <v>0.42340389554140456</v>
      </c>
      <c r="J362" s="783">
        <f t="shared" si="345"/>
        <v>0.40123355414412343</v>
      </c>
      <c r="K362" s="781">
        <f t="shared" si="345"/>
        <v>0.37985554084947343</v>
      </c>
      <c r="L362" s="783"/>
      <c r="M362" s="782">
        <f t="shared" si="336"/>
        <v>0</v>
      </c>
      <c r="N362" s="782">
        <f t="shared" si="336"/>
        <v>0.44964151877828779</v>
      </c>
      <c r="O362" s="783">
        <f t="shared" si="336"/>
        <v>0.42433044867003838</v>
      </c>
      <c r="P362" s="783">
        <f t="shared" si="336"/>
        <v>0.40320106930202021</v>
      </c>
      <c r="Q362" s="781">
        <f t="shared" si="336"/>
        <v>0.38155326522401367</v>
      </c>
      <c r="R362" s="865">
        <f t="shared" si="328"/>
        <v>-9.2655312863382244E-4</v>
      </c>
      <c r="S362" s="866">
        <f t="shared" si="329"/>
        <v>-1.967515157896782E-3</v>
      </c>
      <c r="T362" s="866">
        <f t="shared" si="330"/>
        <v>-1.6977243745402437E-3</v>
      </c>
      <c r="U362" s="782"/>
      <c r="V362" s="783"/>
      <c r="W362" s="784">
        <f t="shared" si="321"/>
        <v>0.42433044867003838</v>
      </c>
      <c r="X362" s="781">
        <f t="shared" si="321"/>
        <v>0.42273463521669846</v>
      </c>
      <c r="Y362" s="783"/>
      <c r="Z362" s="781"/>
    </row>
    <row r="363" spans="1:26" s="204" customFormat="1" x14ac:dyDescent="0.2">
      <c r="A363" s="622" t="s">
        <v>607</v>
      </c>
      <c r="B363" s="623"/>
      <c r="C363" s="782">
        <f t="shared" ref="C363:K363" si="346">C124/C$193*100</f>
        <v>0</v>
      </c>
      <c r="D363" s="783">
        <f t="shared" si="346"/>
        <v>0.10815731410202545</v>
      </c>
      <c r="E363" s="783">
        <f t="shared" si="346"/>
        <v>9.940242893000753E-2</v>
      </c>
      <c r="F363" s="783">
        <f t="shared" si="346"/>
        <v>9.4304420255725926E-2</v>
      </c>
      <c r="G363" s="781">
        <f t="shared" si="346"/>
        <v>8.9511133135480078E-2</v>
      </c>
      <c r="H363" s="783">
        <f t="shared" si="346"/>
        <v>3.3215004845037982E-6</v>
      </c>
      <c r="I363" s="783">
        <f t="shared" si="346"/>
        <v>0</v>
      </c>
      <c r="J363" s="783">
        <f t="shared" si="346"/>
        <v>0</v>
      </c>
      <c r="K363" s="781">
        <f t="shared" si="346"/>
        <v>0</v>
      </c>
      <c r="L363" s="783"/>
      <c r="M363" s="782">
        <f t="shared" ref="M363:Q372" si="347">M124/M$193*100</f>
        <v>0</v>
      </c>
      <c r="N363" s="782">
        <f t="shared" si="347"/>
        <v>3.3174164421332899E-6</v>
      </c>
      <c r="O363" s="783">
        <f t="shared" si="347"/>
        <v>0</v>
      </c>
      <c r="P363" s="783">
        <f t="shared" si="347"/>
        <v>0</v>
      </c>
      <c r="Q363" s="781">
        <f t="shared" si="347"/>
        <v>0</v>
      </c>
      <c r="R363" s="865">
        <f t="shared" si="328"/>
        <v>0</v>
      </c>
      <c r="S363" s="866">
        <f t="shared" si="329"/>
        <v>0</v>
      </c>
      <c r="T363" s="866">
        <f t="shared" si="330"/>
        <v>0</v>
      </c>
      <c r="U363" s="782"/>
      <c r="V363" s="783"/>
      <c r="W363" s="784">
        <f t="shared" ref="W363:X382" si="348">W124/W$193*100</f>
        <v>0</v>
      </c>
      <c r="X363" s="781">
        <f t="shared" si="348"/>
        <v>0</v>
      </c>
      <c r="Y363" s="783"/>
      <c r="Z363" s="781"/>
    </row>
    <row r="364" spans="1:26" s="204" customFormat="1" x14ac:dyDescent="0.2">
      <c r="A364" s="622" t="s">
        <v>608</v>
      </c>
      <c r="B364" s="623"/>
      <c r="C364" s="782">
        <f t="shared" ref="C364:K364" si="349">C125/C$193*100</f>
        <v>0.20515848454414148</v>
      </c>
      <c r="D364" s="783">
        <f t="shared" si="349"/>
        <v>0.16705489942915824</v>
      </c>
      <c r="E364" s="783">
        <f t="shared" si="349"/>
        <v>0.17115570892472554</v>
      </c>
      <c r="F364" s="783">
        <f t="shared" si="349"/>
        <v>0.16619691322491301</v>
      </c>
      <c r="G364" s="781">
        <f t="shared" si="349"/>
        <v>0.15517606835730272</v>
      </c>
      <c r="H364" s="783">
        <f t="shared" si="349"/>
        <v>0.13778345298153979</v>
      </c>
      <c r="I364" s="783">
        <f t="shared" si="349"/>
        <v>0.17142667731905059</v>
      </c>
      <c r="J364" s="783">
        <f t="shared" si="349"/>
        <v>0.16645991391350212</v>
      </c>
      <c r="K364" s="781">
        <f t="shared" si="349"/>
        <v>0.15542171000206764</v>
      </c>
      <c r="L364" s="783"/>
      <c r="M364" s="782">
        <f t="shared" si="347"/>
        <v>0</v>
      </c>
      <c r="N364" s="782">
        <f t="shared" si="347"/>
        <v>0.13761403754337959</v>
      </c>
      <c r="O364" s="783">
        <f t="shared" si="347"/>
        <v>0.13202483920911537</v>
      </c>
      <c r="P364" s="783">
        <f t="shared" si="347"/>
        <v>0.1273706366598194</v>
      </c>
      <c r="Q364" s="781">
        <f t="shared" si="347"/>
        <v>0.1233024199647843</v>
      </c>
      <c r="R364" s="834">
        <f t="shared" si="328"/>
        <v>3.9401838109935222E-2</v>
      </c>
      <c r="S364" s="835">
        <f t="shared" si="329"/>
        <v>3.9089277253682719E-2</v>
      </c>
      <c r="T364" s="835">
        <f t="shared" si="330"/>
        <v>3.2119290037283338E-2</v>
      </c>
      <c r="U364" s="782"/>
      <c r="V364" s="783"/>
      <c r="W364" s="784">
        <f t="shared" si="348"/>
        <v>0.13202483920911537</v>
      </c>
      <c r="X364" s="781">
        <f t="shared" si="348"/>
        <v>0.17115570892472554</v>
      </c>
      <c r="Y364" s="783"/>
      <c r="Z364" s="781"/>
    </row>
    <row r="365" spans="1:26" s="204" customFormat="1" x14ac:dyDescent="0.2">
      <c r="A365" s="479" t="s">
        <v>609</v>
      </c>
      <c r="B365" s="641" t="s">
        <v>610</v>
      </c>
      <c r="C365" s="841">
        <f t="shared" ref="C365:K365" si="350">C126/C$193*100</f>
        <v>1.3899680043366438</v>
      </c>
      <c r="D365" s="842">
        <f t="shared" si="350"/>
        <v>1.2482368599082945</v>
      </c>
      <c r="E365" s="842">
        <f t="shared" si="350"/>
        <v>1.1608890044834164</v>
      </c>
      <c r="F365" s="842">
        <f t="shared" si="350"/>
        <v>1.0610319356983233</v>
      </c>
      <c r="G365" s="843">
        <f t="shared" si="350"/>
        <v>1.0173931505432727</v>
      </c>
      <c r="H365" s="842">
        <f t="shared" si="350"/>
        <v>1.3423212381736442</v>
      </c>
      <c r="I365" s="842">
        <f t="shared" si="350"/>
        <v>1.2387524205754081</v>
      </c>
      <c r="J365" s="842">
        <f t="shared" si="350"/>
        <v>1.1389602396585856</v>
      </c>
      <c r="K365" s="843">
        <f t="shared" si="350"/>
        <v>1.0915077518676417</v>
      </c>
      <c r="L365" s="842"/>
      <c r="M365" s="841">
        <f t="shared" si="347"/>
        <v>0</v>
      </c>
      <c r="N365" s="841">
        <f t="shared" si="347"/>
        <v>1.3406707501375563</v>
      </c>
      <c r="O365" s="842">
        <f t="shared" si="347"/>
        <v>1.244754355874881</v>
      </c>
      <c r="P365" s="842">
        <f t="shared" si="347"/>
        <v>1.1309283333267992</v>
      </c>
      <c r="Q365" s="843">
        <f t="shared" si="347"/>
        <v>1.0738665304198631</v>
      </c>
      <c r="R365" s="863">
        <f>SUM(R366:R370)</f>
        <v>-6.0019352994729576E-3</v>
      </c>
      <c r="S365" s="864">
        <f t="shared" ref="S365:T365" si="351">SUM(S366:S370)</f>
        <v>8.0319063317863832E-3</v>
      </c>
      <c r="T365" s="864">
        <f t="shared" si="351"/>
        <v>1.7641221447778421E-2</v>
      </c>
      <c r="U365" s="841"/>
      <c r="V365" s="842"/>
      <c r="W365" s="844">
        <f t="shared" si="348"/>
        <v>1.244754355874881</v>
      </c>
      <c r="X365" s="843">
        <f t="shared" si="348"/>
        <v>1.2425040233212143</v>
      </c>
      <c r="Y365" s="842"/>
      <c r="Z365" s="843"/>
    </row>
    <row r="366" spans="1:26" s="204" customFormat="1" x14ac:dyDescent="0.2">
      <c r="A366" s="622" t="s">
        <v>583</v>
      </c>
      <c r="B366" s="623"/>
      <c r="C366" s="782">
        <f t="shared" ref="C366:K366" si="352">C127/C$193*100</f>
        <v>2.8984969559653566E-2</v>
      </c>
      <c r="D366" s="783">
        <f t="shared" si="352"/>
        <v>0</v>
      </c>
      <c r="E366" s="783">
        <f t="shared" si="352"/>
        <v>0</v>
      </c>
      <c r="F366" s="783">
        <f t="shared" si="352"/>
        <v>0</v>
      </c>
      <c r="G366" s="781">
        <f t="shared" si="352"/>
        <v>0</v>
      </c>
      <c r="H366" s="783">
        <f t="shared" si="352"/>
        <v>2.5490301885875321E-2</v>
      </c>
      <c r="I366" s="783">
        <f t="shared" si="352"/>
        <v>2.4130312096433088E-2</v>
      </c>
      <c r="J366" s="783">
        <f t="shared" si="352"/>
        <v>2.2657482963319184E-2</v>
      </c>
      <c r="K366" s="781">
        <f t="shared" si="352"/>
        <v>2.1395928594733361E-2</v>
      </c>
      <c r="L366" s="783"/>
      <c r="M366" s="782">
        <f t="shared" si="347"/>
        <v>0</v>
      </c>
      <c r="N366" s="782">
        <f t="shared" si="347"/>
        <v>2.5458959583375396E-2</v>
      </c>
      <c r="O366" s="783">
        <f t="shared" si="347"/>
        <v>2.385160066587166E-2</v>
      </c>
      <c r="P366" s="783">
        <f t="shared" si="347"/>
        <v>2.2456462074427169E-2</v>
      </c>
      <c r="Q366" s="781">
        <f t="shared" si="347"/>
        <v>2.1196936171202708E-2</v>
      </c>
      <c r="R366" s="834">
        <f t="shared" ref="R366:T370" si="353">I366-O366</f>
        <v>2.7871143056142772E-4</v>
      </c>
      <c r="S366" s="835">
        <f t="shared" si="353"/>
        <v>2.0102088889201522E-4</v>
      </c>
      <c r="T366" s="835">
        <f t="shared" si="353"/>
        <v>1.9899242353065352E-4</v>
      </c>
      <c r="U366" s="782"/>
      <c r="V366" s="783"/>
      <c r="W366" s="784">
        <f t="shared" si="348"/>
        <v>2.385160066587166E-2</v>
      </c>
      <c r="X366" s="781">
        <f t="shared" si="348"/>
        <v>2.4092170122117364E-2</v>
      </c>
      <c r="Y366" s="783"/>
      <c r="Z366" s="781"/>
    </row>
    <row r="367" spans="1:26" s="204" customFormat="1" x14ac:dyDescent="0.2">
      <c r="A367" s="622" t="s">
        <v>584</v>
      </c>
      <c r="B367" s="623"/>
      <c r="C367" s="782">
        <f t="shared" ref="C367:K367" si="354">C128/C$193*100</f>
        <v>-4.3875800265769802E-2</v>
      </c>
      <c r="D367" s="783">
        <f t="shared" si="354"/>
        <v>0</v>
      </c>
      <c r="E367" s="783">
        <f t="shared" si="354"/>
        <v>0</v>
      </c>
      <c r="F367" s="783">
        <f t="shared" si="354"/>
        <v>0</v>
      </c>
      <c r="G367" s="781">
        <f t="shared" si="354"/>
        <v>0</v>
      </c>
      <c r="H367" s="783">
        <f t="shared" si="354"/>
        <v>-4.1218713847424419E-2</v>
      </c>
      <c r="I367" s="783">
        <f t="shared" si="354"/>
        <v>-3.8484658743011074E-2</v>
      </c>
      <c r="J367" s="783">
        <f t="shared" si="354"/>
        <v>-3.6135690924106151E-2</v>
      </c>
      <c r="K367" s="781">
        <f t="shared" si="354"/>
        <v>-3.4123678432649115E-2</v>
      </c>
      <c r="L367" s="783"/>
      <c r="M367" s="782">
        <f t="shared" si="347"/>
        <v>0</v>
      </c>
      <c r="N367" s="782">
        <f t="shared" si="347"/>
        <v>-4.1168032242951944E-2</v>
      </c>
      <c r="O367" s="783">
        <f t="shared" si="347"/>
        <v>-3.8568876392726235E-2</v>
      </c>
      <c r="P367" s="783">
        <f t="shared" si="347"/>
        <v>-3.6312888266900455E-2</v>
      </c>
      <c r="Q367" s="781">
        <f t="shared" si="347"/>
        <v>-3.4276190623190095E-2</v>
      </c>
      <c r="R367" s="834">
        <f t="shared" si="353"/>
        <v>8.4217649715161158E-5</v>
      </c>
      <c r="S367" s="835">
        <f t="shared" si="353"/>
        <v>1.7719734279430382E-4</v>
      </c>
      <c r="T367" s="835">
        <f t="shared" si="353"/>
        <v>1.5251219054097931E-4</v>
      </c>
      <c r="U367" s="782"/>
      <c r="V367" s="783"/>
      <c r="W367" s="784">
        <f t="shared" si="348"/>
        <v>-3.8568876392726235E-2</v>
      </c>
      <c r="X367" s="781">
        <f t="shared" si="348"/>
        <v>-3.842382733480304E-2</v>
      </c>
      <c r="Y367" s="783"/>
      <c r="Z367" s="781"/>
    </row>
    <row r="368" spans="1:26" s="204" customFormat="1" x14ac:dyDescent="0.2">
      <c r="A368" s="622" t="s">
        <v>562</v>
      </c>
      <c r="B368" s="623"/>
      <c r="C368" s="782">
        <f t="shared" ref="C368:K368" si="355">C129/C$193*100</f>
        <v>5.68636452701713E-4</v>
      </c>
      <c r="D368" s="783">
        <f t="shared" si="355"/>
        <v>8.0363814838233264E-4</v>
      </c>
      <c r="E368" s="783">
        <f t="shared" si="355"/>
        <v>5.5817088173854175E-4</v>
      </c>
      <c r="F368" s="783">
        <f t="shared" si="355"/>
        <v>2.1553824744206238E-3</v>
      </c>
      <c r="G368" s="781">
        <f t="shared" si="355"/>
        <v>1.9755428839172383E-3</v>
      </c>
      <c r="H368" s="783">
        <f t="shared" si="355"/>
        <v>8.0048161679571977E-4</v>
      </c>
      <c r="I368" s="783">
        <f t="shared" si="355"/>
        <v>5.5905456051580198E-4</v>
      </c>
      <c r="J368" s="783">
        <f t="shared" si="355"/>
        <v>2.1587932903253597E-3</v>
      </c>
      <c r="K368" s="781">
        <f t="shared" si="355"/>
        <v>1.9786701419309653E-3</v>
      </c>
      <c r="L368" s="783"/>
      <c r="M368" s="782">
        <f t="shared" si="347"/>
        <v>0</v>
      </c>
      <c r="N368" s="782">
        <f t="shared" si="347"/>
        <v>7.9949736258438995E-4</v>
      </c>
      <c r="O368" s="783">
        <f t="shared" si="347"/>
        <v>5.6027796388449455E-4</v>
      </c>
      <c r="P368" s="783">
        <f t="shared" si="347"/>
        <v>2.1693792906177364E-3</v>
      </c>
      <c r="Q368" s="781">
        <f t="shared" si="347"/>
        <v>1.9875135999508722E-3</v>
      </c>
      <c r="R368" s="834">
        <f t="shared" si="353"/>
        <v>-1.2234033686925718E-6</v>
      </c>
      <c r="S368" s="835">
        <f t="shared" si="353"/>
        <v>-1.0586000292376729E-5</v>
      </c>
      <c r="T368" s="835">
        <f t="shared" si="353"/>
        <v>-8.8434580199068559E-6</v>
      </c>
      <c r="U368" s="782"/>
      <c r="V368" s="783"/>
      <c r="W368" s="784">
        <f t="shared" si="348"/>
        <v>5.6027796388449455E-4</v>
      </c>
      <c r="X368" s="781">
        <f t="shared" si="348"/>
        <v>5.5817088173854175E-4</v>
      </c>
      <c r="Y368" s="783"/>
      <c r="Z368" s="781"/>
    </row>
    <row r="369" spans="1:26" s="204" customFormat="1" x14ac:dyDescent="0.2">
      <c r="A369" s="622" t="s">
        <v>564</v>
      </c>
      <c r="B369" s="623"/>
      <c r="C369" s="782">
        <f t="shared" ref="C369:K369" si="356">C130/C$193*100</f>
        <v>1.472383183701797E-4</v>
      </c>
      <c r="D369" s="783">
        <f t="shared" si="356"/>
        <v>0</v>
      </c>
      <c r="E369" s="783">
        <f t="shared" si="356"/>
        <v>0</v>
      </c>
      <c r="F369" s="783">
        <f t="shared" si="356"/>
        <v>0</v>
      </c>
      <c r="G369" s="781">
        <f t="shared" si="356"/>
        <v>0</v>
      </c>
      <c r="H369" s="783">
        <f t="shared" si="356"/>
        <v>-7.4180177490057159E-8</v>
      </c>
      <c r="I369" s="783">
        <f t="shared" si="356"/>
        <v>1.29146736972269E-4</v>
      </c>
      <c r="J369" s="783">
        <f t="shared" si="356"/>
        <v>1.212640756996254E-4</v>
      </c>
      <c r="K369" s="781">
        <f t="shared" si="356"/>
        <v>1.1451216840705235E-4</v>
      </c>
      <c r="L369" s="783"/>
      <c r="M369" s="782">
        <f t="shared" si="347"/>
        <v>0</v>
      </c>
      <c r="N369" s="782">
        <f t="shared" si="347"/>
        <v>-7.4088967210445675E-8</v>
      </c>
      <c r="O369" s="783">
        <f t="shared" si="347"/>
        <v>1.2942935438428288E-4</v>
      </c>
      <c r="P369" s="783">
        <f t="shared" si="347"/>
        <v>1.2185871417036918E-4</v>
      </c>
      <c r="Q369" s="781">
        <f t="shared" si="347"/>
        <v>1.1502396849571593E-4</v>
      </c>
      <c r="R369" s="834">
        <f t="shared" si="353"/>
        <v>-2.826174120138707E-7</v>
      </c>
      <c r="S369" s="835">
        <f t="shared" si="353"/>
        <v>-5.9463847074377814E-7</v>
      </c>
      <c r="T369" s="835">
        <f t="shared" si="353"/>
        <v>-5.1180008866358448E-7</v>
      </c>
      <c r="U369" s="782"/>
      <c r="V369" s="783"/>
      <c r="W369" s="784">
        <f t="shared" si="348"/>
        <v>1.2942935438428288E-4</v>
      </c>
      <c r="X369" s="781">
        <f t="shared" si="348"/>
        <v>1.2894259906038165E-4</v>
      </c>
      <c r="Y369" s="783"/>
      <c r="Z369" s="781"/>
    </row>
    <row r="370" spans="1:26" s="204" customFormat="1" x14ac:dyDescent="0.2">
      <c r="A370" s="622" t="s">
        <v>497</v>
      </c>
      <c r="B370" s="623"/>
      <c r="C370" s="782">
        <f t="shared" ref="C370:K370" si="357">C131/C$193*100</f>
        <v>1.4041429602716882</v>
      </c>
      <c r="D370" s="783">
        <f t="shared" si="357"/>
        <v>1.2474332217599122</v>
      </c>
      <c r="E370" s="783">
        <f t="shared" si="357"/>
        <v>1.1603308336016778</v>
      </c>
      <c r="F370" s="783">
        <f t="shared" si="357"/>
        <v>1.0588765532239026</v>
      </c>
      <c r="G370" s="781">
        <f t="shared" si="357"/>
        <v>1.0154176076593555</v>
      </c>
      <c r="H370" s="783">
        <f t="shared" si="357"/>
        <v>1.3572492426985752</v>
      </c>
      <c r="I370" s="783">
        <f t="shared" si="357"/>
        <v>1.2524185659244977</v>
      </c>
      <c r="J370" s="783">
        <f t="shared" si="357"/>
        <v>1.1501583902533477</v>
      </c>
      <c r="K370" s="781">
        <f t="shared" si="357"/>
        <v>1.1021423193952193</v>
      </c>
      <c r="L370" s="783"/>
      <c r="M370" s="782">
        <f t="shared" si="347"/>
        <v>0</v>
      </c>
      <c r="N370" s="782">
        <f t="shared" si="347"/>
        <v>1.3555803995235154</v>
      </c>
      <c r="O370" s="783">
        <f t="shared" si="347"/>
        <v>1.2587819242834666</v>
      </c>
      <c r="P370" s="783">
        <f t="shared" si="347"/>
        <v>1.1424935215144845</v>
      </c>
      <c r="Q370" s="781">
        <f t="shared" si="347"/>
        <v>1.084843247303404</v>
      </c>
      <c r="R370" s="834">
        <f t="shared" si="353"/>
        <v>-6.3633583589688403E-3</v>
      </c>
      <c r="S370" s="835">
        <f t="shared" si="353"/>
        <v>7.6648687388631842E-3</v>
      </c>
      <c r="T370" s="835">
        <f t="shared" si="353"/>
        <v>1.729907209181536E-2</v>
      </c>
      <c r="U370" s="782"/>
      <c r="V370" s="783"/>
      <c r="W370" s="784">
        <f t="shared" si="348"/>
        <v>1.2587819242834666</v>
      </c>
      <c r="X370" s="781">
        <f t="shared" si="348"/>
        <v>1.2561485670531014</v>
      </c>
      <c r="Y370" s="783"/>
      <c r="Z370" s="781"/>
    </row>
    <row r="371" spans="1:26" s="204" customFormat="1" x14ac:dyDescent="0.2">
      <c r="A371" s="479" t="s">
        <v>414</v>
      </c>
      <c r="B371" s="641" t="s">
        <v>611</v>
      </c>
      <c r="C371" s="841">
        <f t="shared" ref="C371:K371" si="358">C132/C$193*100</f>
        <v>0.42740867937317895</v>
      </c>
      <c r="D371" s="842">
        <f t="shared" si="358"/>
        <v>0.38877515376350263</v>
      </c>
      <c r="E371" s="842">
        <f t="shared" si="358"/>
        <v>0.46959141462931309</v>
      </c>
      <c r="F371" s="842">
        <f t="shared" si="358"/>
        <v>0.44255276261137366</v>
      </c>
      <c r="G371" s="843">
        <f t="shared" si="358"/>
        <v>0.3161772040460169</v>
      </c>
      <c r="H371" s="842">
        <f t="shared" si="358"/>
        <v>0.40725998239073741</v>
      </c>
      <c r="I371" s="842">
        <f t="shared" si="358"/>
        <v>0.44860508094129464</v>
      </c>
      <c r="J371" s="842">
        <f t="shared" si="358"/>
        <v>0.42010602722112111</v>
      </c>
      <c r="K371" s="843">
        <f t="shared" si="358"/>
        <v>0.42941889639593933</v>
      </c>
      <c r="L371" s="842"/>
      <c r="M371" s="841">
        <f t="shared" si="347"/>
        <v>0</v>
      </c>
      <c r="N371" s="841">
        <f t="shared" si="347"/>
        <v>0.40675922466643299</v>
      </c>
      <c r="O371" s="842">
        <f t="shared" si="347"/>
        <v>0.39249346463736828</v>
      </c>
      <c r="P371" s="842">
        <f t="shared" si="347"/>
        <v>0.36555798080762519</v>
      </c>
      <c r="Q371" s="843">
        <f t="shared" si="347"/>
        <v>0.3909658997481042</v>
      </c>
      <c r="R371" s="863">
        <f t="shared" ref="R371:T371" si="359">SUM(R372:R378)</f>
        <v>5.6111616303926373E-2</v>
      </c>
      <c r="S371" s="864">
        <f t="shared" si="359"/>
        <v>5.4548046413495949E-2</v>
      </c>
      <c r="T371" s="864">
        <f t="shared" si="359"/>
        <v>3.8452996647835122E-2</v>
      </c>
      <c r="U371" s="841"/>
      <c r="V371" s="842"/>
      <c r="W371" s="844">
        <f t="shared" si="348"/>
        <v>0.39249346463736828</v>
      </c>
      <c r="X371" s="843">
        <f t="shared" si="348"/>
        <v>0.46959141462931309</v>
      </c>
      <c r="Y371" s="842"/>
      <c r="Z371" s="843"/>
    </row>
    <row r="372" spans="1:26" s="204" customFormat="1" x14ac:dyDescent="0.2">
      <c r="A372" s="622" t="s">
        <v>117</v>
      </c>
      <c r="B372" s="641"/>
      <c r="C372" s="782">
        <f t="shared" ref="C372:K372" si="360">C133/C$193*100</f>
        <v>5.6554813483712607E-2</v>
      </c>
      <c r="D372" s="783">
        <f t="shared" si="360"/>
        <v>6.1424705627456784E-2</v>
      </c>
      <c r="E372" s="783">
        <f t="shared" si="360"/>
        <v>0.10906086774334714</v>
      </c>
      <c r="F372" s="783">
        <f t="shared" si="360"/>
        <v>0.10921353909249663</v>
      </c>
      <c r="G372" s="781">
        <f t="shared" si="360"/>
        <v>4.563725315242846E-3</v>
      </c>
      <c r="H372" s="783">
        <f t="shared" si="360"/>
        <v>6.5036930124729997E-2</v>
      </c>
      <c r="I372" s="783">
        <f t="shared" si="360"/>
        <v>8.7503753308320012E-2</v>
      </c>
      <c r="J372" s="783">
        <f t="shared" si="360"/>
        <v>8.6239306267916968E-2</v>
      </c>
      <c r="K372" s="781">
        <f t="shared" si="360"/>
        <v>0.11731213768806154</v>
      </c>
      <c r="L372" s="783"/>
      <c r="M372" s="782">
        <f t="shared" si="347"/>
        <v>0</v>
      </c>
      <c r="N372" s="782">
        <f t="shared" si="347"/>
        <v>6.4956962176654587E-2</v>
      </c>
      <c r="O372" s="783">
        <f t="shared" si="347"/>
        <v>8.7695241571061081E-2</v>
      </c>
      <c r="P372" s="783">
        <f t="shared" si="347"/>
        <v>8.6662194983320062E-2</v>
      </c>
      <c r="Q372" s="781">
        <f t="shared" si="347"/>
        <v>0.11783645194483677</v>
      </c>
      <c r="R372" s="834">
        <f t="shared" ref="R372:T378" si="361">I372-O372</f>
        <v>-1.9148826274106856E-4</v>
      </c>
      <c r="S372" s="835">
        <f t="shared" si="361"/>
        <v>-4.2288871540309414E-4</v>
      </c>
      <c r="T372" s="835">
        <f t="shared" si="361"/>
        <v>-5.2431425677523791E-4</v>
      </c>
      <c r="U372" s="782"/>
      <c r="V372" s="783"/>
      <c r="W372" s="784">
        <f t="shared" si="348"/>
        <v>8.7695241571061081E-2</v>
      </c>
      <c r="X372" s="781">
        <f t="shared" si="348"/>
        <v>0.10906086774334714</v>
      </c>
      <c r="Y372" s="783"/>
      <c r="Z372" s="781"/>
    </row>
    <row r="373" spans="1:26" s="204" customFormat="1" x14ac:dyDescent="0.2">
      <c r="A373" s="622" t="s">
        <v>612</v>
      </c>
      <c r="B373" s="623"/>
      <c r="C373" s="782">
        <f t="shared" ref="C373:K373" si="362">C134/C$193*100</f>
        <v>1.0994850801418968E-2</v>
      </c>
      <c r="D373" s="783">
        <f t="shared" si="362"/>
        <v>7.6273771992270926E-3</v>
      </c>
      <c r="E373" s="783">
        <f t="shared" si="362"/>
        <v>3.199491384079331E-2</v>
      </c>
      <c r="F373" s="783">
        <f t="shared" si="362"/>
        <v>3.0042078291594224E-2</v>
      </c>
      <c r="G373" s="781">
        <f t="shared" si="362"/>
        <v>2.8369339516019072E-2</v>
      </c>
      <c r="H373" s="783">
        <f t="shared" si="362"/>
        <v>7.6394511146479485E-3</v>
      </c>
      <c r="I373" s="783">
        <f t="shared" si="362"/>
        <v>3.2045567193138232E-2</v>
      </c>
      <c r="J373" s="783">
        <f t="shared" si="362"/>
        <v>3.0089618809188826E-2</v>
      </c>
      <c r="K373" s="781">
        <f t="shared" si="362"/>
        <v>2.8414247801770733E-2</v>
      </c>
      <c r="L373" s="783"/>
      <c r="M373" s="782">
        <f t="shared" ref="M373:Q382" si="363">M134/M$193*100</f>
        <v>0</v>
      </c>
      <c r="N373" s="782">
        <f t="shared" si="363"/>
        <v>7.6300578171954242E-3</v>
      </c>
      <c r="O373" s="783">
        <f t="shared" si="363"/>
        <v>7.4429447055273023E-3</v>
      </c>
      <c r="P373" s="783">
        <f t="shared" si="363"/>
        <v>7.2995797965614753E-3</v>
      </c>
      <c r="Q373" s="781">
        <f t="shared" si="363"/>
        <v>7.1675670743708737E-3</v>
      </c>
      <c r="R373" s="834">
        <f t="shared" si="361"/>
        <v>2.4602622487610928E-2</v>
      </c>
      <c r="S373" s="835">
        <f t="shared" si="361"/>
        <v>2.2790039012627349E-2</v>
      </c>
      <c r="T373" s="835">
        <f t="shared" si="361"/>
        <v>2.124668072739986E-2</v>
      </c>
      <c r="U373" s="782"/>
      <c r="V373" s="783"/>
      <c r="W373" s="784">
        <f t="shared" si="348"/>
        <v>7.4429447055273023E-3</v>
      </c>
      <c r="X373" s="781">
        <f t="shared" si="348"/>
        <v>3.199491384079331E-2</v>
      </c>
      <c r="Y373" s="783"/>
      <c r="Z373" s="781"/>
    </row>
    <row r="374" spans="1:26" s="204" customFormat="1" x14ac:dyDescent="0.2">
      <c r="A374" s="831" t="s">
        <v>613</v>
      </c>
      <c r="B374" s="623"/>
      <c r="C374" s="854">
        <f t="shared" ref="C374:K374" si="364">C135/C$193*100</f>
        <v>0</v>
      </c>
      <c r="D374" s="855">
        <f t="shared" si="364"/>
        <v>0</v>
      </c>
      <c r="E374" s="855">
        <f t="shared" si="364"/>
        <v>4.1283759794572016E-2</v>
      </c>
      <c r="F374" s="855">
        <f t="shared" si="364"/>
        <v>3.8763971989153836E-2</v>
      </c>
      <c r="G374" s="856">
        <f t="shared" si="364"/>
        <v>3.6605599375508481E-2</v>
      </c>
      <c r="H374" s="855">
        <f t="shared" si="364"/>
        <v>0</v>
      </c>
      <c r="I374" s="855">
        <f t="shared" si="364"/>
        <v>4.1349118958888043E-2</v>
      </c>
      <c r="J374" s="855">
        <f t="shared" si="364"/>
        <v>3.8825314592501707E-2</v>
      </c>
      <c r="K374" s="856">
        <f t="shared" si="364"/>
        <v>3.666354555067191E-2</v>
      </c>
      <c r="L374" s="855"/>
      <c r="M374" s="854">
        <f t="shared" si="363"/>
        <v>0</v>
      </c>
      <c r="N374" s="854">
        <f t="shared" si="363"/>
        <v>0</v>
      </c>
      <c r="O374" s="855">
        <f t="shared" si="363"/>
        <v>0</v>
      </c>
      <c r="P374" s="855">
        <f t="shared" si="363"/>
        <v>0</v>
      </c>
      <c r="Q374" s="856">
        <f t="shared" si="363"/>
        <v>0</v>
      </c>
      <c r="R374" s="834">
        <f t="shared" si="361"/>
        <v>4.1349118958888043E-2</v>
      </c>
      <c r="S374" s="835">
        <f t="shared" si="361"/>
        <v>3.8825314592501707E-2</v>
      </c>
      <c r="T374" s="835">
        <f t="shared" si="361"/>
        <v>3.666354555067191E-2</v>
      </c>
      <c r="U374" s="854"/>
      <c r="V374" s="855"/>
      <c r="W374" s="857">
        <f t="shared" si="348"/>
        <v>0</v>
      </c>
      <c r="X374" s="856">
        <f t="shared" si="348"/>
        <v>4.1283759794572016E-2</v>
      </c>
      <c r="Y374" s="855"/>
      <c r="Z374" s="856"/>
    </row>
    <row r="375" spans="1:26" s="204" customFormat="1" x14ac:dyDescent="0.2">
      <c r="A375" s="831" t="s">
        <v>614</v>
      </c>
      <c r="B375" s="623"/>
      <c r="C375" s="854">
        <f t="shared" ref="C375:K375" si="365">C136/C$193*100</f>
        <v>4.3341663163068887E-2</v>
      </c>
      <c r="D375" s="855">
        <f t="shared" si="365"/>
        <v>2.7137986991452916E-2</v>
      </c>
      <c r="E375" s="855">
        <f t="shared" si="365"/>
        <v>2.0125832899853858E-2</v>
      </c>
      <c r="F375" s="855">
        <f t="shared" si="365"/>
        <v>1.8897436344712498E-2</v>
      </c>
      <c r="G375" s="856">
        <f t="shared" si="365"/>
        <v>1.7845229695560384E-2</v>
      </c>
      <c r="H375" s="855">
        <f t="shared" si="365"/>
        <v>2.7180945632551759E-2</v>
      </c>
      <c r="I375" s="855">
        <f t="shared" si="365"/>
        <v>2.0157695492457921E-2</v>
      </c>
      <c r="J375" s="855">
        <f t="shared" si="365"/>
        <v>1.8927340863844584E-2</v>
      </c>
      <c r="K375" s="856">
        <f t="shared" si="365"/>
        <v>1.7873478455952559E-2</v>
      </c>
      <c r="L375" s="855"/>
      <c r="M375" s="854">
        <f t="shared" si="363"/>
        <v>0</v>
      </c>
      <c r="N375" s="854">
        <f t="shared" si="363"/>
        <v>2.7147524552485168E-2</v>
      </c>
      <c r="O375" s="855">
        <f t="shared" si="363"/>
        <v>2.6481781524738443E-2</v>
      </c>
      <c r="P375" s="855">
        <f t="shared" si="363"/>
        <v>2.5971693334142641E-2</v>
      </c>
      <c r="Q375" s="856">
        <f t="shared" si="363"/>
        <v>2.5501995895044195E-2</v>
      </c>
      <c r="R375" s="834">
        <f t="shared" si="361"/>
        <v>-6.3240860322805216E-3</v>
      </c>
      <c r="S375" s="835">
        <f t="shared" si="361"/>
        <v>-7.0443524702980577E-3</v>
      </c>
      <c r="T375" s="835">
        <f t="shared" si="361"/>
        <v>-7.6285174390916359E-3</v>
      </c>
      <c r="U375" s="854"/>
      <c r="V375" s="855"/>
      <c r="W375" s="857">
        <f t="shared" si="348"/>
        <v>2.6481781524738443E-2</v>
      </c>
      <c r="X375" s="856">
        <f t="shared" si="348"/>
        <v>2.0125832899853858E-2</v>
      </c>
      <c r="Y375" s="855"/>
      <c r="Z375" s="856"/>
    </row>
    <row r="376" spans="1:26" s="204" customFormat="1" x14ac:dyDescent="0.2">
      <c r="A376" s="622" t="s">
        <v>59</v>
      </c>
      <c r="B376" s="623"/>
      <c r="C376" s="782">
        <f t="shared" ref="C376:K376" si="366">C137/C$193*100</f>
        <v>0.20008868735989682</v>
      </c>
      <c r="D376" s="783">
        <f t="shared" si="366"/>
        <v>0.17498750878806504</v>
      </c>
      <c r="E376" s="783">
        <f t="shared" si="366"/>
        <v>0.16936662455723167</v>
      </c>
      <c r="F376" s="783">
        <f t="shared" si="366"/>
        <v>0.16009520431520535</v>
      </c>
      <c r="G376" s="781">
        <f t="shared" si="366"/>
        <v>0.15310291938806422</v>
      </c>
      <c r="H376" s="783">
        <f t="shared" si="366"/>
        <v>0.22560627741749242</v>
      </c>
      <c r="I376" s="783">
        <f t="shared" si="366"/>
        <v>0.16963476052883819</v>
      </c>
      <c r="J376" s="783">
        <f t="shared" si="366"/>
        <v>0.16034854926703204</v>
      </c>
      <c r="K376" s="781">
        <f t="shared" si="366"/>
        <v>0.15334527926568528</v>
      </c>
      <c r="L376" s="783"/>
      <c r="M376" s="782">
        <f t="shared" si="363"/>
        <v>0</v>
      </c>
      <c r="N376" s="782">
        <f t="shared" si="363"/>
        <v>0.22532887700754989</v>
      </c>
      <c r="O376" s="783">
        <f t="shared" si="363"/>
        <v>0.19118113279261367</v>
      </c>
      <c r="P376" s="783">
        <f t="shared" si="363"/>
        <v>0.16746717127473648</v>
      </c>
      <c r="Q376" s="781">
        <f t="shared" si="363"/>
        <v>0.16371601702407768</v>
      </c>
      <c r="R376" s="834">
        <f t="shared" si="361"/>
        <v>-2.1546372263775482E-2</v>
      </c>
      <c r="S376" s="835">
        <f t="shared" si="361"/>
        <v>-7.1186220077044393E-3</v>
      </c>
      <c r="T376" s="835">
        <f t="shared" si="361"/>
        <v>-1.0370737758392395E-2</v>
      </c>
      <c r="U376" s="782"/>
      <c r="V376" s="783"/>
      <c r="W376" s="784">
        <f t="shared" si="348"/>
        <v>0.19118113279261367</v>
      </c>
      <c r="X376" s="781">
        <f t="shared" si="348"/>
        <v>0.16936662455723167</v>
      </c>
      <c r="Y376" s="783"/>
      <c r="Z376" s="781"/>
    </row>
    <row r="377" spans="1:26" s="204" customFormat="1" x14ac:dyDescent="0.2">
      <c r="A377" s="622" t="s">
        <v>615</v>
      </c>
      <c r="B377" s="623"/>
      <c r="C377" s="782">
        <f t="shared" ref="C377:K377" si="367">C138/C$193*100</f>
        <v>0</v>
      </c>
      <c r="D377" s="783">
        <f t="shared" si="367"/>
        <v>3.3770488903824302E-3</v>
      </c>
      <c r="E377" s="783">
        <f t="shared" si="367"/>
        <v>0</v>
      </c>
      <c r="F377" s="783">
        <f t="shared" si="367"/>
        <v>0</v>
      </c>
      <c r="G377" s="781">
        <f t="shared" si="367"/>
        <v>0</v>
      </c>
      <c r="H377" s="783">
        <f t="shared" si="367"/>
        <v>0</v>
      </c>
      <c r="I377" s="783">
        <f t="shared" si="367"/>
        <v>0</v>
      </c>
      <c r="J377" s="783">
        <f t="shared" si="367"/>
        <v>0</v>
      </c>
      <c r="K377" s="781">
        <f t="shared" si="367"/>
        <v>0</v>
      </c>
      <c r="L377" s="783"/>
      <c r="M377" s="782">
        <f t="shared" si="363"/>
        <v>0</v>
      </c>
      <c r="N377" s="782">
        <f t="shared" si="363"/>
        <v>0</v>
      </c>
      <c r="O377" s="783">
        <f t="shared" si="363"/>
        <v>0</v>
      </c>
      <c r="P377" s="783">
        <f t="shared" si="363"/>
        <v>0</v>
      </c>
      <c r="Q377" s="781">
        <f t="shared" si="363"/>
        <v>0</v>
      </c>
      <c r="R377" s="834">
        <f t="shared" si="361"/>
        <v>0</v>
      </c>
      <c r="S377" s="835">
        <f t="shared" si="361"/>
        <v>0</v>
      </c>
      <c r="T377" s="835">
        <f t="shared" si="361"/>
        <v>0</v>
      </c>
      <c r="U377" s="782"/>
      <c r="V377" s="783"/>
      <c r="W377" s="784">
        <f t="shared" si="348"/>
        <v>0</v>
      </c>
      <c r="X377" s="781">
        <f t="shared" si="348"/>
        <v>0</v>
      </c>
      <c r="Y377" s="783"/>
      <c r="Z377" s="781"/>
    </row>
    <row r="378" spans="1:26" s="204" customFormat="1" x14ac:dyDescent="0.2">
      <c r="A378" s="622" t="s">
        <v>497</v>
      </c>
      <c r="B378" s="623"/>
      <c r="C378" s="782">
        <f t="shared" ref="C378:K378" si="368">C139/C$193*100</f>
        <v>0.11642866456508164</v>
      </c>
      <c r="D378" s="783">
        <f t="shared" si="368"/>
        <v>0.11422052626691838</v>
      </c>
      <c r="E378" s="783">
        <f t="shared" si="368"/>
        <v>9.7759415793515159E-2</v>
      </c>
      <c r="F378" s="783">
        <f t="shared" si="368"/>
        <v>8.5540532578211148E-2</v>
      </c>
      <c r="G378" s="781">
        <f t="shared" si="368"/>
        <v>7.5690390755621909E-2</v>
      </c>
      <c r="H378" s="783">
        <f t="shared" si="368"/>
        <v>8.1796378101315306E-2</v>
      </c>
      <c r="I378" s="783">
        <f t="shared" si="368"/>
        <v>9.7914185459652206E-2</v>
      </c>
      <c r="J378" s="783">
        <f t="shared" si="368"/>
        <v>8.5675897420636984E-2</v>
      </c>
      <c r="K378" s="781">
        <f t="shared" si="368"/>
        <v>7.5810207633797339E-2</v>
      </c>
      <c r="L378" s="783"/>
      <c r="M378" s="782">
        <f t="shared" si="363"/>
        <v>0</v>
      </c>
      <c r="N378" s="782">
        <f t="shared" si="363"/>
        <v>8.1695803112547899E-2</v>
      </c>
      <c r="O378" s="783">
        <f t="shared" si="363"/>
        <v>7.9692364043427735E-2</v>
      </c>
      <c r="P378" s="783">
        <f t="shared" si="363"/>
        <v>7.8157341418864504E-2</v>
      </c>
      <c r="Q378" s="781">
        <f t="shared" si="363"/>
        <v>7.6743867809774713E-2</v>
      </c>
      <c r="R378" s="834">
        <f t="shared" si="361"/>
        <v>1.8221821416224471E-2</v>
      </c>
      <c r="S378" s="835">
        <f t="shared" si="361"/>
        <v>7.5185560017724806E-3</v>
      </c>
      <c r="T378" s="835">
        <f t="shared" si="361"/>
        <v>-9.3366017597737438E-4</v>
      </c>
      <c r="U378" s="782"/>
      <c r="V378" s="783"/>
      <c r="W378" s="784">
        <f t="shared" si="348"/>
        <v>7.9692364043427735E-2</v>
      </c>
      <c r="X378" s="781">
        <f t="shared" si="348"/>
        <v>9.7759415793515159E-2</v>
      </c>
      <c r="Y378" s="783"/>
      <c r="Z378" s="781"/>
    </row>
    <row r="379" spans="1:26" s="204" customFormat="1" x14ac:dyDescent="0.2">
      <c r="A379" s="479" t="s">
        <v>616</v>
      </c>
      <c r="B379" s="641" t="s">
        <v>617</v>
      </c>
      <c r="C379" s="841">
        <f t="shared" ref="C379:K379" si="369">C140/C$193*100</f>
        <v>3.1808747190983562</v>
      </c>
      <c r="D379" s="842">
        <f t="shared" si="369"/>
        <v>3.1556338682077647</v>
      </c>
      <c r="E379" s="842">
        <f t="shared" si="369"/>
        <v>2.3858885916458186</v>
      </c>
      <c r="F379" s="842">
        <f t="shared" si="369"/>
        <v>2.4867000812105213</v>
      </c>
      <c r="G379" s="843">
        <f t="shared" si="369"/>
        <v>2.6784619059254404</v>
      </c>
      <c r="H379" s="842">
        <f t="shared" si="369"/>
        <v>3.4377216934114649</v>
      </c>
      <c r="I379" s="842">
        <f t="shared" si="369"/>
        <v>3.3384876438924715</v>
      </c>
      <c r="J379" s="842">
        <f t="shared" si="369"/>
        <v>3.0456749518684987</v>
      </c>
      <c r="K379" s="843">
        <f t="shared" si="369"/>
        <v>2.9459208662161682</v>
      </c>
      <c r="L379" s="842"/>
      <c r="M379" s="841">
        <f t="shared" si="363"/>
        <v>-0.12462096026441631</v>
      </c>
      <c r="N379" s="841">
        <f t="shared" si="363"/>
        <v>3.3088737877892469</v>
      </c>
      <c r="O379" s="842">
        <f t="shared" si="363"/>
        <v>3.5786417404136919</v>
      </c>
      <c r="P379" s="842">
        <f t="shared" si="363"/>
        <v>3.4763126915216365</v>
      </c>
      <c r="Q379" s="843">
        <f t="shared" si="363"/>
        <v>3.4454766730402606</v>
      </c>
      <c r="R379" s="863">
        <f>SUM(R380:R398)</f>
        <v>-0.24015409652121961</v>
      </c>
      <c r="S379" s="864">
        <f>SUM(S380:S398)</f>
        <v>-0.43063773965313856</v>
      </c>
      <c r="T379" s="864">
        <f>SUM(T380:T398)</f>
        <v>-0.49955580682409167</v>
      </c>
      <c r="U379" s="841"/>
      <c r="V379" s="842"/>
      <c r="W379" s="844">
        <f t="shared" si="348"/>
        <v>3.5786417404136919</v>
      </c>
      <c r="X379" s="843">
        <f t="shared" si="348"/>
        <v>2.3368638241778004</v>
      </c>
      <c r="Y379" s="842"/>
      <c r="Z379" s="843"/>
    </row>
    <row r="380" spans="1:26" s="204" customFormat="1" x14ac:dyDescent="0.2">
      <c r="A380" s="622" t="s">
        <v>153</v>
      </c>
      <c r="B380" s="641"/>
      <c r="C380" s="782">
        <f t="shared" ref="C380:K380" si="370">C141/C$193*100</f>
        <v>0.51900824778610988</v>
      </c>
      <c r="D380" s="783">
        <f t="shared" si="370"/>
        <v>0.52625475882012207</v>
      </c>
      <c r="E380" s="783">
        <f t="shared" si="370"/>
        <v>2.3384028758267075E-2</v>
      </c>
      <c r="F380" s="783">
        <f t="shared" si="370"/>
        <v>0.29091303822321457</v>
      </c>
      <c r="G380" s="781">
        <f t="shared" si="370"/>
        <v>0.27299444468848177</v>
      </c>
      <c r="H380" s="783">
        <f t="shared" si="370"/>
        <v>0.68284271598711721</v>
      </c>
      <c r="I380" s="783">
        <f t="shared" si="370"/>
        <v>0.86674142752926842</v>
      </c>
      <c r="J380" s="783">
        <f t="shared" si="370"/>
        <v>0.75525410031472506</v>
      </c>
      <c r="K380" s="781">
        <f t="shared" si="370"/>
        <v>0.74980599539502235</v>
      </c>
      <c r="L380" s="783"/>
      <c r="M380" s="782">
        <f t="shared" si="363"/>
        <v>0</v>
      </c>
      <c r="N380" s="782">
        <f t="shared" si="363"/>
        <v>0.68200310792519003</v>
      </c>
      <c r="O380" s="783">
        <f t="shared" si="363"/>
        <v>0.86863815542868217</v>
      </c>
      <c r="P380" s="783">
        <f t="shared" si="363"/>
        <v>0.75895761382969684</v>
      </c>
      <c r="Q380" s="781">
        <f t="shared" si="363"/>
        <v>0.75315717440299945</v>
      </c>
      <c r="R380" s="834">
        <f t="shared" ref="R380:R398" si="371">I380-O380</f>
        <v>-1.8967278994137526E-3</v>
      </c>
      <c r="S380" s="835">
        <f t="shared" ref="S380:S398" si="372">J380-P380</f>
        <v>-3.7035135149717791E-3</v>
      </c>
      <c r="T380" s="835">
        <f t="shared" ref="T380:T398" si="373">K380-Q380</f>
        <v>-3.3511790079771009E-3</v>
      </c>
      <c r="U380" s="782"/>
      <c r="V380" s="783"/>
      <c r="W380" s="784">
        <f t="shared" si="348"/>
        <v>0.86863815542868217</v>
      </c>
      <c r="X380" s="781">
        <f t="shared" si="348"/>
        <v>2.3384028758267075E-2</v>
      </c>
      <c r="Y380" s="783"/>
      <c r="Z380" s="781"/>
    </row>
    <row r="381" spans="1:26" s="204" customFormat="1" x14ac:dyDescent="0.2">
      <c r="A381" s="622" t="s">
        <v>117</v>
      </c>
      <c r="B381" s="641"/>
      <c r="C381" s="782">
        <f t="shared" ref="C381:K381" si="374">C142/C$193*100</f>
        <v>9.2578507055566681E-2</v>
      </c>
      <c r="D381" s="783">
        <f t="shared" si="374"/>
        <v>8.5991492710880399E-2</v>
      </c>
      <c r="E381" s="783">
        <f t="shared" si="374"/>
        <v>5.2203313021723513E-3</v>
      </c>
      <c r="F381" s="783">
        <f t="shared" si="374"/>
        <v>4.6164820241770883E-2</v>
      </c>
      <c r="G381" s="781">
        <f t="shared" si="374"/>
        <v>4.8664397815011771E-2</v>
      </c>
      <c r="H381" s="783">
        <f t="shared" si="374"/>
        <v>0.12673555524446911</v>
      </c>
      <c r="I381" s="783">
        <f t="shared" si="374"/>
        <v>0.16086714187543305</v>
      </c>
      <c r="J381" s="783">
        <f t="shared" si="374"/>
        <v>0.14017510257201674</v>
      </c>
      <c r="K381" s="781">
        <f t="shared" si="374"/>
        <v>0.13458099152669517</v>
      </c>
      <c r="L381" s="783"/>
      <c r="M381" s="782">
        <f t="shared" si="363"/>
        <v>0</v>
      </c>
      <c r="N381" s="782">
        <f t="shared" si="363"/>
        <v>0.12657972405314966</v>
      </c>
      <c r="O381" s="783">
        <f t="shared" si="363"/>
        <v>0.16121917442678327</v>
      </c>
      <c r="P381" s="783">
        <f t="shared" si="363"/>
        <v>0.14086247439379393</v>
      </c>
      <c r="Q381" s="781">
        <f t="shared" si="363"/>
        <v>0.13518248710881492</v>
      </c>
      <c r="R381" s="834">
        <f t="shared" si="371"/>
        <v>-3.520325513502176E-4</v>
      </c>
      <c r="S381" s="835">
        <f t="shared" si="372"/>
        <v>-6.8737182177719403E-4</v>
      </c>
      <c r="T381" s="835">
        <f t="shared" si="373"/>
        <v>-6.0149558211974874E-4</v>
      </c>
      <c r="U381" s="782"/>
      <c r="V381" s="783"/>
      <c r="W381" s="784">
        <f t="shared" si="348"/>
        <v>0.16121917442678327</v>
      </c>
      <c r="X381" s="781">
        <f t="shared" si="348"/>
        <v>5.2203313021723513E-3</v>
      </c>
      <c r="Y381" s="783"/>
      <c r="Z381" s="781"/>
    </row>
    <row r="382" spans="1:26" s="204" customFormat="1" x14ac:dyDescent="0.2">
      <c r="A382" s="622" t="s">
        <v>618</v>
      </c>
      <c r="B382" s="623"/>
      <c r="C382" s="782">
        <f t="shared" ref="C382:K382" si="375">C143/C$193*100</f>
        <v>0.121493419148517</v>
      </c>
      <c r="D382" s="783">
        <f t="shared" si="375"/>
        <v>0.16665411944693775</v>
      </c>
      <c r="E382" s="783">
        <f t="shared" si="375"/>
        <v>0.1494643741794853</v>
      </c>
      <c r="F382" s="783">
        <f t="shared" si="375"/>
        <v>0.1403416947220914</v>
      </c>
      <c r="G382" s="781">
        <f t="shared" si="375"/>
        <v>0.13252748851728105</v>
      </c>
      <c r="H382" s="783">
        <f t="shared" si="375"/>
        <v>0.1481724864840416</v>
      </c>
      <c r="I382" s="783">
        <f t="shared" si="375"/>
        <v>0.14970100152738186</v>
      </c>
      <c r="J382" s="783">
        <f t="shared" si="375"/>
        <v>0.14056378044939802</v>
      </c>
      <c r="K382" s="781">
        <f t="shared" si="375"/>
        <v>0.13273727776249503</v>
      </c>
      <c r="L382" s="783"/>
      <c r="M382" s="782">
        <f t="shared" si="363"/>
        <v>0</v>
      </c>
      <c r="N382" s="782">
        <f t="shared" si="363"/>
        <v>0.14799029692370053</v>
      </c>
      <c r="O382" s="783">
        <f t="shared" si="363"/>
        <v>0.1479902969237005</v>
      </c>
      <c r="P382" s="783">
        <f t="shared" si="363"/>
        <v>0.1479902969237005</v>
      </c>
      <c r="Q382" s="781">
        <f t="shared" si="363"/>
        <v>0.1479902969237005</v>
      </c>
      <c r="R382" s="834">
        <f t="shared" si="371"/>
        <v>1.7107046036813622E-3</v>
      </c>
      <c r="S382" s="835">
        <f t="shared" si="372"/>
        <v>-7.4265164743024803E-3</v>
      </c>
      <c r="T382" s="835">
        <f t="shared" si="373"/>
        <v>-1.5253019161205472E-2</v>
      </c>
      <c r="U382" s="782"/>
      <c r="V382" s="783"/>
      <c r="W382" s="784">
        <f t="shared" si="348"/>
        <v>0.1479902969237005</v>
      </c>
      <c r="X382" s="781">
        <f t="shared" si="348"/>
        <v>0.1494643741794853</v>
      </c>
      <c r="Y382" s="783"/>
      <c r="Z382" s="781"/>
    </row>
    <row r="383" spans="1:26" s="204" customFormat="1" x14ac:dyDescent="0.2">
      <c r="A383" s="622" t="s">
        <v>619</v>
      </c>
      <c r="B383" s="623"/>
      <c r="C383" s="782">
        <f t="shared" ref="C383:K383" si="376">C144/C$193*100</f>
        <v>0</v>
      </c>
      <c r="D383" s="783">
        <f t="shared" si="376"/>
        <v>5.1291348122338702E-2</v>
      </c>
      <c r="E383" s="783">
        <f t="shared" si="376"/>
        <v>0</v>
      </c>
      <c r="F383" s="783">
        <f t="shared" si="376"/>
        <v>0</v>
      </c>
      <c r="G383" s="781">
        <f t="shared" si="376"/>
        <v>0</v>
      </c>
      <c r="H383" s="783">
        <f t="shared" si="376"/>
        <v>5.1372540828936927E-2</v>
      </c>
      <c r="I383" s="783">
        <f t="shared" si="376"/>
        <v>0</v>
      </c>
      <c r="J383" s="783">
        <f t="shared" si="376"/>
        <v>0</v>
      </c>
      <c r="K383" s="781">
        <f t="shared" si="376"/>
        <v>0</v>
      </c>
      <c r="L383" s="783"/>
      <c r="M383" s="782">
        <f t="shared" ref="M383:Q392" si="377">M144/M$193*100</f>
        <v>0</v>
      </c>
      <c r="N383" s="782">
        <f t="shared" si="377"/>
        <v>5.1309374306937335E-2</v>
      </c>
      <c r="O383" s="783">
        <f t="shared" si="377"/>
        <v>5.1309374306937321E-2</v>
      </c>
      <c r="P383" s="783">
        <f t="shared" si="377"/>
        <v>5.1309374306937335E-2</v>
      </c>
      <c r="Q383" s="781">
        <f t="shared" si="377"/>
        <v>5.1309374306937335E-2</v>
      </c>
      <c r="R383" s="834">
        <f t="shared" si="371"/>
        <v>-5.1309374306937321E-2</v>
      </c>
      <c r="S383" s="835">
        <f t="shared" si="372"/>
        <v>-5.1309374306937335E-2</v>
      </c>
      <c r="T383" s="835">
        <f t="shared" si="373"/>
        <v>-5.1309374306937335E-2</v>
      </c>
      <c r="U383" s="782"/>
      <c r="V383" s="783"/>
      <c r="W383" s="784">
        <f t="shared" ref="W383:X402" si="378">W144/W$193*100</f>
        <v>5.1309374306937321E-2</v>
      </c>
      <c r="X383" s="781">
        <f t="shared" si="378"/>
        <v>0</v>
      </c>
      <c r="Y383" s="783"/>
      <c r="Z383" s="781"/>
    </row>
    <row r="384" spans="1:26" s="204" customFormat="1" x14ac:dyDescent="0.2">
      <c r="A384" s="622" t="s">
        <v>620</v>
      </c>
      <c r="B384" s="623" t="s">
        <v>621</v>
      </c>
      <c r="C384" s="782">
        <f t="shared" ref="C384:K384" si="379">C145/C$193*100</f>
        <v>0.14135885860173933</v>
      </c>
      <c r="D384" s="783">
        <f t="shared" si="379"/>
        <v>3.4836110877745304E-2</v>
      </c>
      <c r="E384" s="783">
        <f t="shared" si="379"/>
        <v>0</v>
      </c>
      <c r="F384" s="783">
        <f t="shared" si="379"/>
        <v>0</v>
      </c>
      <c r="G384" s="781">
        <f t="shared" si="379"/>
        <v>0</v>
      </c>
      <c r="H384" s="783">
        <f t="shared" si="379"/>
        <v>3.4891255424205139E-2</v>
      </c>
      <c r="I384" s="783">
        <f t="shared" si="379"/>
        <v>0</v>
      </c>
      <c r="J384" s="783">
        <f t="shared" si="379"/>
        <v>0</v>
      </c>
      <c r="K384" s="781">
        <f t="shared" si="379"/>
        <v>0</v>
      </c>
      <c r="L384" s="783"/>
      <c r="M384" s="782">
        <f t="shared" si="377"/>
        <v>0</v>
      </c>
      <c r="N384" s="782">
        <f t="shared" si="377"/>
        <v>3.4848353920448778E-2</v>
      </c>
      <c r="O384" s="783">
        <f t="shared" si="377"/>
        <v>0</v>
      </c>
      <c r="P384" s="783">
        <f t="shared" si="377"/>
        <v>0</v>
      </c>
      <c r="Q384" s="781">
        <f t="shared" si="377"/>
        <v>0</v>
      </c>
      <c r="R384" s="834">
        <f t="shared" si="371"/>
        <v>0</v>
      </c>
      <c r="S384" s="835">
        <f t="shared" si="372"/>
        <v>0</v>
      </c>
      <c r="T384" s="835">
        <f t="shared" si="373"/>
        <v>0</v>
      </c>
      <c r="U384" s="782"/>
      <c r="V384" s="783"/>
      <c r="W384" s="784">
        <f t="shared" si="378"/>
        <v>0</v>
      </c>
      <c r="X384" s="781">
        <f t="shared" si="378"/>
        <v>0</v>
      </c>
      <c r="Y384" s="783"/>
      <c r="Z384" s="781"/>
    </row>
    <row r="385" spans="1:26" s="204" customFormat="1" x14ac:dyDescent="0.2">
      <c r="A385" s="622" t="s">
        <v>587</v>
      </c>
      <c r="B385" s="623"/>
      <c r="C385" s="782">
        <f t="shared" ref="C385:K385" si="380">C146/C$193*100</f>
        <v>0.20438256298927457</v>
      </c>
      <c r="D385" s="783">
        <f t="shared" si="380"/>
        <v>0.28895434185683516</v>
      </c>
      <c r="E385" s="783">
        <f t="shared" si="380"/>
        <v>0.37981059011006252</v>
      </c>
      <c r="F385" s="783">
        <f t="shared" si="380"/>
        <v>0.27522420112299228</v>
      </c>
      <c r="G385" s="781">
        <f t="shared" si="380"/>
        <v>0.23702125595641738</v>
      </c>
      <c r="H385" s="783">
        <f t="shared" si="380"/>
        <v>0.28941174814381182</v>
      </c>
      <c r="I385" s="783">
        <f t="shared" si="380"/>
        <v>0.38041189442176998</v>
      </c>
      <c r="J385" s="783">
        <f t="shared" si="380"/>
        <v>0.27565973360676216</v>
      </c>
      <c r="K385" s="781">
        <f t="shared" si="380"/>
        <v>0.23739645744060064</v>
      </c>
      <c r="L385" s="783"/>
      <c r="M385" s="782">
        <f t="shared" si="377"/>
        <v>0</v>
      </c>
      <c r="N385" s="782">
        <f t="shared" si="377"/>
        <v>0.28905589396060255</v>
      </c>
      <c r="O385" s="783">
        <f t="shared" si="377"/>
        <v>0.27803245463823484</v>
      </c>
      <c r="P385" s="783">
        <f t="shared" si="377"/>
        <v>0.26932353321459168</v>
      </c>
      <c r="Q385" s="781">
        <f t="shared" si="377"/>
        <v>0.26057715280685578</v>
      </c>
      <c r="R385" s="834">
        <f t="shared" si="371"/>
        <v>0.10237943978353514</v>
      </c>
      <c r="S385" s="835">
        <f t="shared" si="372"/>
        <v>6.3362003921704768E-3</v>
      </c>
      <c r="T385" s="835">
        <f t="shared" si="373"/>
        <v>-2.3180695366255138E-2</v>
      </c>
      <c r="U385" s="782"/>
      <c r="V385" s="783"/>
      <c r="W385" s="784">
        <f t="shared" si="378"/>
        <v>0.27803245463823484</v>
      </c>
      <c r="X385" s="781">
        <f t="shared" si="378"/>
        <v>0.37981059011006252</v>
      </c>
      <c r="Y385" s="783"/>
      <c r="Z385" s="781"/>
    </row>
    <row r="386" spans="1:26" s="204" customFormat="1" x14ac:dyDescent="0.2">
      <c r="A386" s="622" t="s">
        <v>622</v>
      </c>
      <c r="B386" s="623"/>
      <c r="C386" s="782">
        <f t="shared" ref="C386:K386" si="381">C147/C$193*100</f>
        <v>1.5466121185740526E-2</v>
      </c>
      <c r="D386" s="783">
        <f t="shared" si="381"/>
        <v>4.1430899278825963E-2</v>
      </c>
      <c r="E386" s="783">
        <f t="shared" si="381"/>
        <v>0.10320939948643003</v>
      </c>
      <c r="F386" s="783">
        <f t="shared" si="381"/>
        <v>6.8806050280748071E-2</v>
      </c>
      <c r="G386" s="781">
        <f t="shared" si="381"/>
        <v>6.4974938891527542E-2</v>
      </c>
      <c r="H386" s="783">
        <f t="shared" si="381"/>
        <v>4.149648318278619E-2</v>
      </c>
      <c r="I386" s="783">
        <f t="shared" si="381"/>
        <v>0.10337279739722009</v>
      </c>
      <c r="J386" s="783">
        <f t="shared" si="381"/>
        <v>6.891493340169054E-2</v>
      </c>
      <c r="K386" s="781">
        <f t="shared" si="381"/>
        <v>6.5077793352442639E-2</v>
      </c>
      <c r="L386" s="783"/>
      <c r="M386" s="782">
        <f t="shared" si="377"/>
        <v>0</v>
      </c>
      <c r="N386" s="782">
        <f t="shared" si="377"/>
        <v>4.144546003937969E-2</v>
      </c>
      <c r="O386" s="783">
        <f t="shared" si="377"/>
        <v>3.9659496026606754E-2</v>
      </c>
      <c r="P386" s="783">
        <f t="shared" si="377"/>
        <v>3.8329469432616239E-2</v>
      </c>
      <c r="Q386" s="781">
        <f t="shared" si="377"/>
        <v>3.6982013276449413E-2</v>
      </c>
      <c r="R386" s="834">
        <f t="shared" si="371"/>
        <v>6.3713301370613346E-2</v>
      </c>
      <c r="S386" s="835">
        <f t="shared" si="372"/>
        <v>3.05854639690743E-2</v>
      </c>
      <c r="T386" s="835">
        <f t="shared" si="373"/>
        <v>2.8095780075993226E-2</v>
      </c>
      <c r="U386" s="782"/>
      <c r="V386" s="783"/>
      <c r="W386" s="784">
        <f t="shared" si="378"/>
        <v>3.9659496026606754E-2</v>
      </c>
      <c r="X386" s="781">
        <f t="shared" si="378"/>
        <v>0.10320939948643003</v>
      </c>
      <c r="Y386" s="783"/>
      <c r="Z386" s="781"/>
    </row>
    <row r="387" spans="1:26" s="204" customFormat="1" x14ac:dyDescent="0.2">
      <c r="A387" s="622" t="s">
        <v>623</v>
      </c>
      <c r="B387" s="623"/>
      <c r="C387" s="782">
        <f t="shared" ref="C387:K387" si="382">C148/C$193*100</f>
        <v>0</v>
      </c>
      <c r="D387" s="783">
        <f t="shared" si="382"/>
        <v>0</v>
      </c>
      <c r="E387" s="783">
        <f t="shared" si="382"/>
        <v>9.7084935143213369E-2</v>
      </c>
      <c r="F387" s="783">
        <f t="shared" si="382"/>
        <v>0.1351422191986324</v>
      </c>
      <c r="G387" s="781">
        <f t="shared" si="382"/>
        <v>0.12761751907380514</v>
      </c>
      <c r="H387" s="783">
        <f t="shared" si="382"/>
        <v>0</v>
      </c>
      <c r="I387" s="783">
        <f t="shared" si="382"/>
        <v>9.7238636992565533E-2</v>
      </c>
      <c r="J387" s="783">
        <f t="shared" si="382"/>
        <v>0.13535607694133667</v>
      </c>
      <c r="K387" s="781">
        <f t="shared" si="382"/>
        <v>0.12781953590293321</v>
      </c>
      <c r="L387" s="783"/>
      <c r="M387" s="782">
        <f t="shared" si="377"/>
        <v>0</v>
      </c>
      <c r="N387" s="782">
        <f t="shared" si="377"/>
        <v>0</v>
      </c>
      <c r="O387" s="783">
        <f t="shared" si="377"/>
        <v>9.7451428523957426E-2</v>
      </c>
      <c r="P387" s="783">
        <f t="shared" si="377"/>
        <v>0.13601981787313289</v>
      </c>
      <c r="Q387" s="781">
        <f t="shared" si="377"/>
        <v>0.1283908118705275</v>
      </c>
      <c r="R387" s="834">
        <f t="shared" si="371"/>
        <v>-2.1279153139189266E-4</v>
      </c>
      <c r="S387" s="835">
        <f t="shared" si="372"/>
        <v>-6.6374093179621951E-4</v>
      </c>
      <c r="T387" s="835">
        <f t="shared" si="373"/>
        <v>-5.7127596759429244E-4</v>
      </c>
      <c r="U387" s="782"/>
      <c r="V387" s="783"/>
      <c r="W387" s="784">
        <f t="shared" si="378"/>
        <v>9.7451428523957426E-2</v>
      </c>
      <c r="X387" s="781">
        <f t="shared" si="378"/>
        <v>9.7084935143213369E-2</v>
      </c>
      <c r="Y387" s="783"/>
      <c r="Z387" s="781"/>
    </row>
    <row r="388" spans="1:26" s="204" customFormat="1" x14ac:dyDescent="0.2">
      <c r="A388" s="622" t="s">
        <v>562</v>
      </c>
      <c r="B388" s="623"/>
      <c r="C388" s="782">
        <f t="shared" ref="C388:K388" si="383">C149/C$193*100</f>
        <v>6.8087970428330535E-2</v>
      </c>
      <c r="D388" s="783">
        <f t="shared" si="383"/>
        <v>9.1440093031893488E-2</v>
      </c>
      <c r="E388" s="783">
        <f t="shared" si="383"/>
        <v>0.10519364250741045</v>
      </c>
      <c r="F388" s="783">
        <f t="shared" si="383"/>
        <v>4.7108554627158419E-2</v>
      </c>
      <c r="G388" s="781">
        <f t="shared" si="383"/>
        <v>3.8569373559226489E-2</v>
      </c>
      <c r="H388" s="783">
        <f t="shared" si="383"/>
        <v>8.6703341483941376E-2</v>
      </c>
      <c r="I388" s="783">
        <f t="shared" si="383"/>
        <v>0.10536018181002858</v>
      </c>
      <c r="J388" s="783">
        <f t="shared" si="383"/>
        <v>4.7183102234962748E-2</v>
      </c>
      <c r="K388" s="781">
        <f t="shared" si="383"/>
        <v>3.8630428362708337E-2</v>
      </c>
      <c r="L388" s="783"/>
      <c r="M388" s="782">
        <f t="shared" si="377"/>
        <v>0</v>
      </c>
      <c r="N388" s="782">
        <f t="shared" si="377"/>
        <v>8.6596733003245038E-2</v>
      </c>
      <c r="O388" s="783">
        <f t="shared" si="377"/>
        <v>8.529651648219605E-2</v>
      </c>
      <c r="P388" s="783">
        <f t="shared" si="377"/>
        <v>8.4475267890573622E-2</v>
      </c>
      <c r="Q388" s="781">
        <f t="shared" si="377"/>
        <v>8.284251868738185E-2</v>
      </c>
      <c r="R388" s="834">
        <f t="shared" si="371"/>
        <v>2.0063665327832533E-2</v>
      </c>
      <c r="S388" s="835">
        <f t="shared" si="372"/>
        <v>-3.7292165655610873E-2</v>
      </c>
      <c r="T388" s="835">
        <f t="shared" si="373"/>
        <v>-4.4212090324673513E-2</v>
      </c>
      <c r="U388" s="782"/>
      <c r="V388" s="783"/>
      <c r="W388" s="784">
        <f t="shared" si="378"/>
        <v>8.529651648219605E-2</v>
      </c>
      <c r="X388" s="781">
        <f t="shared" si="378"/>
        <v>0.10519364250741045</v>
      </c>
      <c r="Y388" s="783"/>
      <c r="Z388" s="781"/>
    </row>
    <row r="389" spans="1:26" s="204" customFormat="1" x14ac:dyDescent="0.2">
      <c r="A389" s="622" t="s">
        <v>585</v>
      </c>
      <c r="B389" s="623"/>
      <c r="C389" s="782">
        <f t="shared" ref="C389:K389" si="384">C150/C$193*100</f>
        <v>0.30581417464244387</v>
      </c>
      <c r="D389" s="783">
        <f t="shared" si="384"/>
        <v>0.28719728155854951</v>
      </c>
      <c r="E389" s="783">
        <f t="shared" si="384"/>
        <v>0.2653300234078918</v>
      </c>
      <c r="F389" s="783">
        <f t="shared" si="384"/>
        <v>0.3017986114745233</v>
      </c>
      <c r="G389" s="781">
        <f t="shared" si="384"/>
        <v>0.28927543700222103</v>
      </c>
      <c r="H389" s="783">
        <f t="shared" si="384"/>
        <v>0.19929002907777257</v>
      </c>
      <c r="I389" s="783">
        <f t="shared" si="384"/>
        <v>0.1986103588636525</v>
      </c>
      <c r="J389" s="783">
        <f t="shared" si="384"/>
        <v>0.19807369935916203</v>
      </c>
      <c r="K389" s="781">
        <f t="shared" si="384"/>
        <v>0.19815933423984866</v>
      </c>
      <c r="L389" s="783"/>
      <c r="M389" s="782">
        <f t="shared" si="377"/>
        <v>0</v>
      </c>
      <c r="N389" s="782">
        <f t="shared" si="377"/>
        <v>0.19904498653553282</v>
      </c>
      <c r="O389" s="783">
        <f t="shared" si="377"/>
        <v>0.19904498653553279</v>
      </c>
      <c r="P389" s="783">
        <f t="shared" si="377"/>
        <v>0.19904498653553279</v>
      </c>
      <c r="Q389" s="781">
        <f t="shared" si="377"/>
        <v>0.19904498653553279</v>
      </c>
      <c r="R389" s="834">
        <f t="shared" si="371"/>
        <v>-4.3462767188029439E-4</v>
      </c>
      <c r="S389" s="835">
        <f t="shared" si="372"/>
        <v>-9.7128717637076645E-4</v>
      </c>
      <c r="T389" s="835">
        <f t="shared" si="373"/>
        <v>-8.8565229568413062E-4</v>
      </c>
      <c r="U389" s="782"/>
      <c r="V389" s="783"/>
      <c r="W389" s="784">
        <f t="shared" si="378"/>
        <v>0.19904498653553279</v>
      </c>
      <c r="X389" s="781">
        <f t="shared" si="378"/>
        <v>0.1982964221364216</v>
      </c>
      <c r="Y389" s="783"/>
      <c r="Z389" s="781"/>
    </row>
    <row r="390" spans="1:26" s="204" customFormat="1" x14ac:dyDescent="0.2">
      <c r="A390" s="622" t="s">
        <v>571</v>
      </c>
      <c r="B390" s="623"/>
      <c r="C390" s="782">
        <f t="shared" ref="C390:K390" si="385">C151/C$193*100</f>
        <v>8.2904957466908361E-2</v>
      </c>
      <c r="D390" s="783">
        <f t="shared" si="385"/>
        <v>8.3374970706449891E-2</v>
      </c>
      <c r="E390" s="783">
        <f t="shared" si="385"/>
        <v>7.077742170534955E-2</v>
      </c>
      <c r="F390" s="783">
        <f t="shared" si="385"/>
        <v>7.3673293367678208E-2</v>
      </c>
      <c r="G390" s="781">
        <f t="shared" si="385"/>
        <v>7.6375080189141145E-2</v>
      </c>
      <c r="H390" s="783">
        <f t="shared" si="385"/>
        <v>8.3506950850899556E-2</v>
      </c>
      <c r="I390" s="783">
        <f t="shared" si="385"/>
        <v>7.0889474317759937E-2</v>
      </c>
      <c r="J390" s="783">
        <f t="shared" si="385"/>
        <v>7.3789878727239647E-2</v>
      </c>
      <c r="K390" s="781">
        <f t="shared" si="385"/>
        <v>7.6495980921549925E-2</v>
      </c>
      <c r="L390" s="783"/>
      <c r="M390" s="782">
        <f t="shared" si="377"/>
        <v>0</v>
      </c>
      <c r="N390" s="782">
        <f t="shared" si="377"/>
        <v>8.3404272580311259E-2</v>
      </c>
      <c r="O390" s="783">
        <f t="shared" si="377"/>
        <v>8.3404272580311245E-2</v>
      </c>
      <c r="P390" s="783">
        <f t="shared" si="377"/>
        <v>8.3404272580311245E-2</v>
      </c>
      <c r="Q390" s="781">
        <f t="shared" si="377"/>
        <v>8.3404272580311245E-2</v>
      </c>
      <c r="R390" s="834">
        <f t="shared" si="371"/>
        <v>-1.2514798262551308E-2</v>
      </c>
      <c r="S390" s="835">
        <f t="shared" si="372"/>
        <v>-9.6143938530715983E-3</v>
      </c>
      <c r="T390" s="835">
        <f t="shared" si="373"/>
        <v>-6.9082916587613202E-3</v>
      </c>
      <c r="U390" s="782"/>
      <c r="V390" s="783"/>
      <c r="W390" s="784">
        <f t="shared" si="378"/>
        <v>8.3404272580311245E-2</v>
      </c>
      <c r="X390" s="781">
        <f t="shared" si="378"/>
        <v>7.077742170534955E-2</v>
      </c>
      <c r="Y390" s="783"/>
      <c r="Z390" s="781"/>
    </row>
    <row r="391" spans="1:26" s="204" customFormat="1" x14ac:dyDescent="0.2">
      <c r="A391" s="622" t="s">
        <v>564</v>
      </c>
      <c r="B391" s="623"/>
      <c r="C391" s="782">
        <f t="shared" ref="C391:K391" si="386">C152/C$193*100</f>
        <v>1.9044301181859364E-2</v>
      </c>
      <c r="D391" s="783">
        <f t="shared" si="386"/>
        <v>0</v>
      </c>
      <c r="E391" s="783">
        <f t="shared" si="386"/>
        <v>0</v>
      </c>
      <c r="F391" s="783">
        <f t="shared" si="386"/>
        <v>0</v>
      </c>
      <c r="G391" s="781">
        <f t="shared" si="386"/>
        <v>0</v>
      </c>
      <c r="H391" s="783">
        <f t="shared" si="386"/>
        <v>5.7730512769941658E-3</v>
      </c>
      <c r="I391" s="783">
        <f t="shared" si="386"/>
        <v>1.3533831269605393E-2</v>
      </c>
      <c r="J391" s="783">
        <f t="shared" si="386"/>
        <v>1.2707773948139201E-2</v>
      </c>
      <c r="K391" s="781">
        <f t="shared" si="386"/>
        <v>1.2000213105426439E-2</v>
      </c>
      <c r="L391" s="783"/>
      <c r="M391" s="782">
        <f t="shared" si="377"/>
        <v>0</v>
      </c>
      <c r="N391" s="782">
        <f t="shared" si="377"/>
        <v>5.7659528628490045E-3</v>
      </c>
      <c r="O391" s="783">
        <f t="shared" si="377"/>
        <v>5.7659528628490036E-3</v>
      </c>
      <c r="P391" s="783">
        <f t="shared" si="377"/>
        <v>5.7659528628490036E-3</v>
      </c>
      <c r="Q391" s="781">
        <f t="shared" si="377"/>
        <v>5.7659528628490036E-3</v>
      </c>
      <c r="R391" s="834">
        <f t="shared" si="371"/>
        <v>7.7678784067563896E-3</v>
      </c>
      <c r="S391" s="835">
        <f t="shared" si="372"/>
        <v>6.9418210852901976E-3</v>
      </c>
      <c r="T391" s="835">
        <f t="shared" si="373"/>
        <v>6.2342602425774357E-3</v>
      </c>
      <c r="U391" s="782"/>
      <c r="V391" s="783"/>
      <c r="W391" s="784">
        <f t="shared" si="378"/>
        <v>5.7659528628490036E-3</v>
      </c>
      <c r="X391" s="781">
        <f t="shared" si="378"/>
        <v>1.3512438796826103E-2</v>
      </c>
      <c r="Y391" s="783"/>
      <c r="Z391" s="781"/>
    </row>
    <row r="392" spans="1:26" s="204" customFormat="1" x14ac:dyDescent="0.2">
      <c r="A392" s="622" t="s">
        <v>565</v>
      </c>
      <c r="B392" s="623"/>
      <c r="C392" s="782">
        <f t="shared" ref="C392:K392" si="387">C153/C$193*100</f>
        <v>5.1343903746943129E-3</v>
      </c>
      <c r="D392" s="783">
        <f t="shared" si="387"/>
        <v>3.3661715872461412E-4</v>
      </c>
      <c r="E392" s="783">
        <f t="shared" si="387"/>
        <v>0</v>
      </c>
      <c r="F392" s="783">
        <f t="shared" si="387"/>
        <v>0</v>
      </c>
      <c r="G392" s="781">
        <f t="shared" si="387"/>
        <v>0</v>
      </c>
      <c r="H392" s="783">
        <f t="shared" si="387"/>
        <v>4.82345544362875E-3</v>
      </c>
      <c r="I392" s="783">
        <f t="shared" si="387"/>
        <v>4.5035135593336989E-3</v>
      </c>
      <c r="J392" s="783">
        <f t="shared" si="387"/>
        <v>4.2286349773637362E-3</v>
      </c>
      <c r="K392" s="781">
        <f t="shared" si="387"/>
        <v>3.9931872474687404E-3</v>
      </c>
      <c r="L392" s="783"/>
      <c r="M392" s="782">
        <f t="shared" si="377"/>
        <v>0</v>
      </c>
      <c r="N392" s="782">
        <f t="shared" si="377"/>
        <v>4.8175246311854148E-3</v>
      </c>
      <c r="O392" s="783">
        <f t="shared" si="377"/>
        <v>4.8175246311854148E-3</v>
      </c>
      <c r="P392" s="783">
        <f t="shared" si="377"/>
        <v>4.8175246311854148E-3</v>
      </c>
      <c r="Q392" s="781">
        <f t="shared" si="377"/>
        <v>4.8175246311854148E-3</v>
      </c>
      <c r="R392" s="834">
        <f t="shared" si="371"/>
        <v>-3.1401107185171587E-4</v>
      </c>
      <c r="S392" s="835">
        <f t="shared" si="372"/>
        <v>-5.8888965382167865E-4</v>
      </c>
      <c r="T392" s="835">
        <f t="shared" si="373"/>
        <v>-8.2433738371667439E-4</v>
      </c>
      <c r="U392" s="782"/>
      <c r="V392" s="783"/>
      <c r="W392" s="784">
        <f t="shared" si="378"/>
        <v>4.8175246311854148E-3</v>
      </c>
      <c r="X392" s="781">
        <f t="shared" si="378"/>
        <v>4.4963950066260428E-3</v>
      </c>
      <c r="Y392" s="783"/>
      <c r="Z392" s="781"/>
    </row>
    <row r="393" spans="1:26" s="204" customFormat="1" x14ac:dyDescent="0.2">
      <c r="A393" s="622" t="s">
        <v>574</v>
      </c>
      <c r="B393" s="623"/>
      <c r="C393" s="782">
        <f t="shared" ref="C393:K393" si="388">C154/C$193*100</f>
        <v>1.2436289106462241E-4</v>
      </c>
      <c r="D393" s="783">
        <f t="shared" si="388"/>
        <v>2.9565482691380839E-2</v>
      </c>
      <c r="E393" s="783">
        <f t="shared" si="388"/>
        <v>2.790496994542287E-2</v>
      </c>
      <c r="F393" s="783">
        <f t="shared" si="388"/>
        <v>2.7256880120478427E-2</v>
      </c>
      <c r="G393" s="781">
        <f t="shared" si="388"/>
        <v>2.6793224120527599E-2</v>
      </c>
      <c r="H393" s="783">
        <f t="shared" si="388"/>
        <v>2.5517981056580569E-2</v>
      </c>
      <c r="I393" s="783">
        <f t="shared" si="388"/>
        <v>2.794914822581623E-2</v>
      </c>
      <c r="J393" s="783">
        <f t="shared" si="388"/>
        <v>2.7300013161287523E-2</v>
      </c>
      <c r="K393" s="781">
        <f t="shared" si="388"/>
        <v>2.6835637436647759E-2</v>
      </c>
      <c r="L393" s="783"/>
      <c r="M393" s="782">
        <f t="shared" ref="M393:Q402" si="389">M154/M$193*100</f>
        <v>0</v>
      </c>
      <c r="N393" s="782">
        <f t="shared" si="389"/>
        <v>2.5486604720394216E-2</v>
      </c>
      <c r="O393" s="783">
        <f t="shared" si="389"/>
        <v>2.5486604720394216E-2</v>
      </c>
      <c r="P393" s="783">
        <f t="shared" si="389"/>
        <v>2.5486604720394216E-2</v>
      </c>
      <c r="Q393" s="781">
        <f t="shared" si="389"/>
        <v>2.5486604720394216E-2</v>
      </c>
      <c r="R393" s="834">
        <f t="shared" si="371"/>
        <v>2.4625435054220143E-3</v>
      </c>
      <c r="S393" s="835">
        <f t="shared" si="372"/>
        <v>1.813408440893307E-3</v>
      </c>
      <c r="T393" s="835">
        <f t="shared" si="373"/>
        <v>1.3490327162535426E-3</v>
      </c>
      <c r="U393" s="782"/>
      <c r="V393" s="783"/>
      <c r="W393" s="784">
        <f t="shared" si="378"/>
        <v>2.5486604720394216E-2</v>
      </c>
      <c r="X393" s="781">
        <f t="shared" si="378"/>
        <v>2.790496994542287E-2</v>
      </c>
      <c r="Y393" s="783"/>
      <c r="Z393" s="781"/>
    </row>
    <row r="394" spans="1:26" s="204" customFormat="1" x14ac:dyDescent="0.2">
      <c r="A394" s="622" t="s">
        <v>77</v>
      </c>
      <c r="B394" s="623"/>
      <c r="C394" s="782">
        <f t="shared" ref="C394:K394" si="390">C155/C$193*100</f>
        <v>0</v>
      </c>
      <c r="D394" s="783">
        <f t="shared" si="390"/>
        <v>5.468724216148816E-2</v>
      </c>
      <c r="E394" s="783">
        <f t="shared" si="390"/>
        <v>0</v>
      </c>
      <c r="F394" s="783">
        <f t="shared" si="390"/>
        <v>0</v>
      </c>
      <c r="G394" s="781">
        <f t="shared" si="390"/>
        <v>0</v>
      </c>
      <c r="H394" s="783">
        <f t="shared" si="390"/>
        <v>0</v>
      </c>
      <c r="I394" s="783">
        <f t="shared" si="390"/>
        <v>0</v>
      </c>
      <c r="J394" s="783">
        <f t="shared" si="390"/>
        <v>0</v>
      </c>
      <c r="K394" s="781">
        <f t="shared" si="390"/>
        <v>0</v>
      </c>
      <c r="L394" s="783"/>
      <c r="M394" s="782">
        <f t="shared" si="389"/>
        <v>0</v>
      </c>
      <c r="N394" s="782">
        <f t="shared" si="389"/>
        <v>0</v>
      </c>
      <c r="O394" s="783">
        <f t="shared" si="389"/>
        <v>0</v>
      </c>
      <c r="P394" s="783">
        <f t="shared" si="389"/>
        <v>0</v>
      </c>
      <c r="Q394" s="781">
        <f t="shared" si="389"/>
        <v>0</v>
      </c>
      <c r="R394" s="834">
        <f t="shared" si="371"/>
        <v>0</v>
      </c>
      <c r="S394" s="835">
        <f t="shared" si="372"/>
        <v>0</v>
      </c>
      <c r="T394" s="835">
        <f t="shared" si="373"/>
        <v>0</v>
      </c>
      <c r="U394" s="782"/>
      <c r="V394" s="783"/>
      <c r="W394" s="784">
        <f t="shared" si="378"/>
        <v>0</v>
      </c>
      <c r="X394" s="781">
        <f t="shared" si="378"/>
        <v>0</v>
      </c>
      <c r="Y394" s="783"/>
      <c r="Z394" s="781"/>
    </row>
    <row r="395" spans="1:26" s="204" customFormat="1" x14ac:dyDescent="0.2">
      <c r="A395" s="622" t="s">
        <v>79</v>
      </c>
      <c r="B395" s="623"/>
      <c r="C395" s="782">
        <f t="shared" ref="C395:K395" si="391">C156/C$193*100</f>
        <v>0</v>
      </c>
      <c r="D395" s="783">
        <f t="shared" si="391"/>
        <v>0</v>
      </c>
      <c r="E395" s="783">
        <f t="shared" si="391"/>
        <v>0.15481409922964504</v>
      </c>
      <c r="F395" s="783">
        <f t="shared" si="391"/>
        <v>0</v>
      </c>
      <c r="G395" s="781">
        <f t="shared" si="391"/>
        <v>0</v>
      </c>
      <c r="H395" s="783">
        <f t="shared" si="391"/>
        <v>0</v>
      </c>
      <c r="I395" s="783">
        <f t="shared" si="391"/>
        <v>0</v>
      </c>
      <c r="J395" s="783">
        <f t="shared" si="391"/>
        <v>0</v>
      </c>
      <c r="K395" s="781">
        <f t="shared" si="391"/>
        <v>0</v>
      </c>
      <c r="L395" s="783"/>
      <c r="M395" s="782">
        <f t="shared" si="389"/>
        <v>0</v>
      </c>
      <c r="N395" s="782">
        <f t="shared" si="389"/>
        <v>0</v>
      </c>
      <c r="O395" s="783">
        <f t="shared" si="389"/>
        <v>0</v>
      </c>
      <c r="P395" s="783">
        <f t="shared" si="389"/>
        <v>0</v>
      </c>
      <c r="Q395" s="781">
        <f t="shared" si="389"/>
        <v>0</v>
      </c>
      <c r="R395" s="834">
        <f t="shared" si="371"/>
        <v>0</v>
      </c>
      <c r="S395" s="835">
        <f t="shared" si="372"/>
        <v>0</v>
      </c>
      <c r="T395" s="835">
        <f t="shared" si="373"/>
        <v>0</v>
      </c>
      <c r="U395" s="782"/>
      <c r="V395" s="783"/>
      <c r="W395" s="784">
        <f t="shared" si="378"/>
        <v>0</v>
      </c>
      <c r="X395" s="781">
        <f t="shared" si="378"/>
        <v>0.15481409922964504</v>
      </c>
      <c r="Y395" s="783"/>
      <c r="Z395" s="781"/>
    </row>
    <row r="396" spans="1:26" s="204" customFormat="1" x14ac:dyDescent="0.2">
      <c r="A396" s="622" t="s">
        <v>80</v>
      </c>
      <c r="B396" s="623"/>
      <c r="C396" s="782">
        <f t="shared" ref="C396:K396" si="392">C157/C$193*100</f>
        <v>0</v>
      </c>
      <c r="D396" s="783">
        <f t="shared" si="392"/>
        <v>0</v>
      </c>
      <c r="E396" s="783">
        <f t="shared" si="392"/>
        <v>0</v>
      </c>
      <c r="F396" s="783">
        <f t="shared" si="392"/>
        <v>0.17443787395119228</v>
      </c>
      <c r="G396" s="781">
        <f t="shared" si="392"/>
        <v>0.45756999219385591</v>
      </c>
      <c r="H396" s="783">
        <f t="shared" si="392"/>
        <v>0</v>
      </c>
      <c r="I396" s="783">
        <f t="shared" si="392"/>
        <v>0</v>
      </c>
      <c r="J396" s="783">
        <f t="shared" si="392"/>
        <v>0</v>
      </c>
      <c r="K396" s="781">
        <f t="shared" si="392"/>
        <v>0</v>
      </c>
      <c r="L396" s="783"/>
      <c r="M396" s="782">
        <f t="shared" si="389"/>
        <v>0</v>
      </c>
      <c r="N396" s="782">
        <f t="shared" si="389"/>
        <v>0</v>
      </c>
      <c r="O396" s="783">
        <f t="shared" si="389"/>
        <v>0</v>
      </c>
      <c r="P396" s="783">
        <f t="shared" si="389"/>
        <v>0</v>
      </c>
      <c r="Q396" s="781">
        <f t="shared" si="389"/>
        <v>0</v>
      </c>
      <c r="R396" s="834">
        <f t="shared" si="371"/>
        <v>0</v>
      </c>
      <c r="S396" s="835">
        <f t="shared" si="372"/>
        <v>0</v>
      </c>
      <c r="T396" s="835">
        <f t="shared" si="373"/>
        <v>0</v>
      </c>
      <c r="U396" s="782"/>
      <c r="V396" s="783"/>
      <c r="W396" s="784">
        <f t="shared" si="378"/>
        <v>0</v>
      </c>
      <c r="X396" s="781">
        <f t="shared" si="378"/>
        <v>0</v>
      </c>
      <c r="Y396" s="783"/>
      <c r="Z396" s="781"/>
    </row>
    <row r="397" spans="1:26" s="204" customFormat="1" x14ac:dyDescent="0.2">
      <c r="A397" s="622" t="s">
        <v>593</v>
      </c>
      <c r="B397" s="623"/>
      <c r="C397" s="782">
        <f t="shared" ref="C397:K397" si="393">C158/C$193*100</f>
        <v>0</v>
      </c>
      <c r="D397" s="783">
        <f t="shared" si="393"/>
        <v>0</v>
      </c>
      <c r="E397" s="783">
        <f t="shared" si="393"/>
        <v>0.13411921098478283</v>
      </c>
      <c r="F397" s="783">
        <f t="shared" si="393"/>
        <v>0.13803054988632463</v>
      </c>
      <c r="G397" s="781">
        <f t="shared" si="393"/>
        <v>0.1330186121170025</v>
      </c>
      <c r="H397" s="783">
        <f t="shared" si="393"/>
        <v>0</v>
      </c>
      <c r="I397" s="783">
        <f t="shared" si="393"/>
        <v>0</v>
      </c>
      <c r="J397" s="783">
        <f t="shared" si="393"/>
        <v>0</v>
      </c>
      <c r="K397" s="781">
        <f t="shared" si="393"/>
        <v>0</v>
      </c>
      <c r="L397" s="783"/>
      <c r="M397" s="782">
        <f t="shared" si="389"/>
        <v>0</v>
      </c>
      <c r="N397" s="782">
        <f t="shared" si="389"/>
        <v>0</v>
      </c>
      <c r="O397" s="783">
        <f t="shared" si="389"/>
        <v>0</v>
      </c>
      <c r="P397" s="783">
        <f t="shared" si="389"/>
        <v>0</v>
      </c>
      <c r="Q397" s="781">
        <f t="shared" si="389"/>
        <v>0</v>
      </c>
      <c r="R397" s="834">
        <f t="shared" si="371"/>
        <v>0</v>
      </c>
      <c r="S397" s="835">
        <f t="shared" si="372"/>
        <v>0</v>
      </c>
      <c r="T397" s="835">
        <f t="shared" si="373"/>
        <v>0</v>
      </c>
      <c r="U397" s="782"/>
      <c r="V397" s="783"/>
      <c r="W397" s="784">
        <f t="shared" si="378"/>
        <v>0</v>
      </c>
      <c r="X397" s="781">
        <f t="shared" si="378"/>
        <v>0.13411921098478283</v>
      </c>
      <c r="Y397" s="783"/>
      <c r="Z397" s="781"/>
    </row>
    <row r="398" spans="1:26" s="204" customFormat="1" x14ac:dyDescent="0.2">
      <c r="A398" s="622" t="s">
        <v>497</v>
      </c>
      <c r="B398" s="623"/>
      <c r="C398" s="782">
        <f t="shared" ref="C398:K398" si="394">C159/C$193*100</f>
        <v>1.6054768453461068</v>
      </c>
      <c r="D398" s="783">
        <f t="shared" si="394"/>
        <v>1.413619109785593</v>
      </c>
      <c r="E398" s="783">
        <f t="shared" si="394"/>
        <v>0.86957556488568544</v>
      </c>
      <c r="F398" s="783">
        <f t="shared" si="394"/>
        <v>0.76780229399371613</v>
      </c>
      <c r="G398" s="781">
        <f t="shared" si="394"/>
        <v>0.77306014180094096</v>
      </c>
      <c r="H398" s="783">
        <f t="shared" si="394"/>
        <v>1.6571840989262798</v>
      </c>
      <c r="I398" s="783">
        <f t="shared" si="394"/>
        <v>1.1593082361026368</v>
      </c>
      <c r="J398" s="783">
        <f t="shared" si="394"/>
        <v>1.1664681221744138</v>
      </c>
      <c r="K398" s="781">
        <f t="shared" si="394"/>
        <v>1.1423880335223295</v>
      </c>
      <c r="L398" s="783"/>
      <c r="M398" s="782">
        <f t="shared" si="389"/>
        <v>-0.12462096026441631</v>
      </c>
      <c r="N398" s="782">
        <f t="shared" si="389"/>
        <v>1.5305255023263207</v>
      </c>
      <c r="O398" s="783">
        <f t="shared" si="389"/>
        <v>1.5305255023263207</v>
      </c>
      <c r="P398" s="783">
        <f t="shared" si="389"/>
        <v>1.5305255023263207</v>
      </c>
      <c r="Q398" s="781">
        <f t="shared" si="389"/>
        <v>1.5305255023263207</v>
      </c>
      <c r="R398" s="834">
        <f t="shared" si="371"/>
        <v>-0.37121726622368389</v>
      </c>
      <c r="S398" s="835">
        <f t="shared" si="372"/>
        <v>-0.36405738015190692</v>
      </c>
      <c r="T398" s="835">
        <f t="shared" si="373"/>
        <v>-0.38813746880399114</v>
      </c>
      <c r="U398" s="782"/>
      <c r="V398" s="783"/>
      <c r="W398" s="784">
        <f t="shared" si="378"/>
        <v>1.5305255023263207</v>
      </c>
      <c r="X398" s="781">
        <f t="shared" si="378"/>
        <v>0.86957556488568544</v>
      </c>
      <c r="Y398" s="783"/>
      <c r="Z398" s="781"/>
    </row>
    <row r="399" spans="1:26" s="204" customFormat="1" x14ac:dyDescent="0.2">
      <c r="A399" s="479" t="s">
        <v>424</v>
      </c>
      <c r="B399" s="641" t="s">
        <v>624</v>
      </c>
      <c r="C399" s="841">
        <f t="shared" ref="C399:K399" si="395">C160/C$193*100</f>
        <v>0.20400496994291423</v>
      </c>
      <c r="D399" s="842">
        <f t="shared" si="395"/>
        <v>0.55900936951436808</v>
      </c>
      <c r="E399" s="842">
        <f t="shared" si="395"/>
        <v>0.20030880252326341</v>
      </c>
      <c r="F399" s="842">
        <f t="shared" si="395"/>
        <v>0.19470561670572134</v>
      </c>
      <c r="G399" s="843">
        <f t="shared" si="395"/>
        <v>0.14225851057306982</v>
      </c>
      <c r="H399" s="842">
        <f t="shared" si="395"/>
        <v>0.65834885680762401</v>
      </c>
      <c r="I399" s="842">
        <f t="shared" si="395"/>
        <v>0.6249258040831851</v>
      </c>
      <c r="J399" s="842">
        <f t="shared" si="395"/>
        <v>0.36798346350944128</v>
      </c>
      <c r="K399" s="843">
        <f t="shared" si="395"/>
        <v>0.29288251459280307</v>
      </c>
      <c r="L399" s="842"/>
      <c r="M399" s="841">
        <f t="shared" si="389"/>
        <v>-0.32817796490306544</v>
      </c>
      <c r="N399" s="841">
        <f t="shared" si="389"/>
        <v>0.32936140094156696</v>
      </c>
      <c r="O399" s="842">
        <f t="shared" si="389"/>
        <v>0.29565356855053154</v>
      </c>
      <c r="P399" s="842">
        <f t="shared" si="389"/>
        <v>0.32192588905942349</v>
      </c>
      <c r="Q399" s="843">
        <f t="shared" si="389"/>
        <v>0.26105209543518909</v>
      </c>
      <c r="R399" s="863">
        <f>SUM(R400:R410)</f>
        <v>0.32927223553265356</v>
      </c>
      <c r="S399" s="864">
        <f>SUM(S400:S410)</f>
        <v>4.6057574450017763E-2</v>
      </c>
      <c r="T399" s="864">
        <f>SUM(T400:T410)</f>
        <v>3.1830419157613955E-2</v>
      </c>
      <c r="U399" s="841"/>
      <c r="V399" s="842"/>
      <c r="W399" s="844">
        <f t="shared" si="378"/>
        <v>0.29565356855053154</v>
      </c>
      <c r="X399" s="843">
        <f t="shared" si="378"/>
        <v>0.22438033076548353</v>
      </c>
      <c r="Y399" s="842"/>
      <c r="Z399" s="843"/>
    </row>
    <row r="400" spans="1:26" s="204" customFormat="1" x14ac:dyDescent="0.2">
      <c r="A400" s="622" t="s">
        <v>117</v>
      </c>
      <c r="B400" s="641"/>
      <c r="C400" s="782">
        <f t="shared" ref="C400:K400" si="396">C161/C$193*100</f>
        <v>2.9879855179806396E-2</v>
      </c>
      <c r="D400" s="783">
        <f t="shared" si="396"/>
        <v>1.64795564182721E-2</v>
      </c>
      <c r="E400" s="783">
        <f t="shared" si="396"/>
        <v>4.8992498740845325E-2</v>
      </c>
      <c r="F400" s="783">
        <f t="shared" si="396"/>
        <v>5.9353038029394713E-2</v>
      </c>
      <c r="G400" s="781">
        <f t="shared" si="396"/>
        <v>5.7778009003147168E-2</v>
      </c>
      <c r="H400" s="783">
        <f t="shared" si="396"/>
        <v>3.9831215395020846E-2</v>
      </c>
      <c r="I400" s="783">
        <f t="shared" si="396"/>
        <v>0.12857307650102434</v>
      </c>
      <c r="J400" s="783">
        <f t="shared" si="396"/>
        <v>0.16124698065738824</v>
      </c>
      <c r="K400" s="781">
        <f t="shared" si="396"/>
        <v>0.14106125275632719</v>
      </c>
      <c r="L400" s="783"/>
      <c r="M400" s="782">
        <f t="shared" si="389"/>
        <v>0</v>
      </c>
      <c r="N400" s="782">
        <f t="shared" si="389"/>
        <v>3.9782239827472067E-2</v>
      </c>
      <c r="O400" s="783">
        <f t="shared" si="389"/>
        <v>0.12885443854692091</v>
      </c>
      <c r="P400" s="783">
        <f t="shared" si="389"/>
        <v>0.16203768192185564</v>
      </c>
      <c r="Q400" s="781">
        <f t="shared" si="389"/>
        <v>0.14169171118421281</v>
      </c>
      <c r="R400" s="834">
        <f t="shared" ref="R400:R410" si="397">I400-O400</f>
        <v>-2.8136204589657154E-4</v>
      </c>
      <c r="S400" s="835">
        <f t="shared" ref="S400:S410" si="398">J400-P400</f>
        <v>-7.9070126446739719E-4</v>
      </c>
      <c r="T400" s="835">
        <f t="shared" ref="T400:T410" si="399">K400-Q400</f>
        <v>-6.3045842788561623E-4</v>
      </c>
      <c r="U400" s="782"/>
      <c r="V400" s="783"/>
      <c r="W400" s="784">
        <f t="shared" si="378"/>
        <v>0.12885443854692091</v>
      </c>
      <c r="X400" s="781">
        <f t="shared" si="378"/>
        <v>4.8992498740845325E-2</v>
      </c>
      <c r="Y400" s="783"/>
      <c r="Z400" s="781"/>
    </row>
    <row r="401" spans="1:26" s="204" customFormat="1" x14ac:dyDescent="0.2">
      <c r="A401" s="622" t="s">
        <v>491</v>
      </c>
      <c r="B401" s="623"/>
      <c r="C401" s="782">
        <f t="shared" ref="C401:K401" si="400">C162/C$193*100</f>
        <v>2.0665668099069903E-2</v>
      </c>
      <c r="D401" s="783">
        <f t="shared" si="400"/>
        <v>0</v>
      </c>
      <c r="E401" s="783">
        <f t="shared" si="400"/>
        <v>0</v>
      </c>
      <c r="F401" s="783">
        <f t="shared" si="400"/>
        <v>0</v>
      </c>
      <c r="G401" s="781">
        <f t="shared" si="400"/>
        <v>0</v>
      </c>
      <c r="H401" s="783">
        <f t="shared" si="400"/>
        <v>1.9414170332659679E-2</v>
      </c>
      <c r="I401" s="783">
        <f t="shared" si="400"/>
        <v>1.8126420023602544E-2</v>
      </c>
      <c r="J401" s="783">
        <f t="shared" si="400"/>
        <v>1.7020047284487937E-2</v>
      </c>
      <c r="K401" s="781">
        <f t="shared" si="400"/>
        <v>1.6072381780775798E-2</v>
      </c>
      <c r="L401" s="783"/>
      <c r="M401" s="782">
        <f t="shared" si="389"/>
        <v>0</v>
      </c>
      <c r="N401" s="782">
        <f t="shared" si="389"/>
        <v>1.9390299105003152E-2</v>
      </c>
      <c r="O401" s="783">
        <f t="shared" si="389"/>
        <v>1.8166086855581791E-2</v>
      </c>
      <c r="P401" s="783">
        <f t="shared" si="389"/>
        <v>1.7103507904055962E-2</v>
      </c>
      <c r="Q401" s="781">
        <f t="shared" si="389"/>
        <v>1.6144215600140704E-2</v>
      </c>
      <c r="R401" s="834">
        <f t="shared" si="397"/>
        <v>-3.9666831979246614E-5</v>
      </c>
      <c r="S401" s="835">
        <f t="shared" si="398"/>
        <v>-8.3460619568025834E-5</v>
      </c>
      <c r="T401" s="835">
        <f t="shared" si="399"/>
        <v>-7.1833819364906099E-5</v>
      </c>
      <c r="U401" s="782"/>
      <c r="V401" s="783"/>
      <c r="W401" s="784">
        <f t="shared" si="378"/>
        <v>1.8166086855581791E-2</v>
      </c>
      <c r="X401" s="781">
        <f t="shared" si="378"/>
        <v>1.8097768199945505E-2</v>
      </c>
      <c r="Y401" s="783"/>
      <c r="Z401" s="781"/>
    </row>
    <row r="402" spans="1:26" s="204" customFormat="1" x14ac:dyDescent="0.2">
      <c r="A402" s="622" t="s">
        <v>591</v>
      </c>
      <c r="B402" s="623"/>
      <c r="C402" s="782">
        <f t="shared" ref="C402:K402" si="401">C163/C$193*100</f>
        <v>6.821379353146086E-3</v>
      </c>
      <c r="D402" s="783">
        <f t="shared" si="401"/>
        <v>0</v>
      </c>
      <c r="E402" s="783">
        <f t="shared" si="401"/>
        <v>0</v>
      </c>
      <c r="F402" s="783">
        <f t="shared" si="401"/>
        <v>0</v>
      </c>
      <c r="G402" s="781">
        <f t="shared" si="401"/>
        <v>0</v>
      </c>
      <c r="H402" s="783">
        <f t="shared" si="401"/>
        <v>6.4082816016785976E-3</v>
      </c>
      <c r="I402" s="783">
        <f t="shared" si="401"/>
        <v>5.9832175133511002E-3</v>
      </c>
      <c r="J402" s="783">
        <f t="shared" si="401"/>
        <v>5.6180230215349975E-3</v>
      </c>
      <c r="K402" s="781">
        <f t="shared" si="401"/>
        <v>5.3052150411822263E-3</v>
      </c>
      <c r="L402" s="783"/>
      <c r="M402" s="782">
        <f t="shared" si="389"/>
        <v>0</v>
      </c>
      <c r="N402" s="782">
        <f t="shared" si="389"/>
        <v>6.4004021225981316E-3</v>
      </c>
      <c r="O402" s="783">
        <f t="shared" si="389"/>
        <v>5.996310848024375E-3</v>
      </c>
      <c r="P402" s="783">
        <f t="shared" si="389"/>
        <v>5.6455719274979138E-3</v>
      </c>
      <c r="Q402" s="781">
        <f t="shared" si="389"/>
        <v>5.3289261416375484E-3</v>
      </c>
      <c r="R402" s="834">
        <f t="shared" si="397"/>
        <v>-1.3093334673274816E-5</v>
      </c>
      <c r="S402" s="835">
        <f t="shared" si="398"/>
        <v>-2.7548905962916301E-5</v>
      </c>
      <c r="T402" s="835">
        <f t="shared" si="399"/>
        <v>-2.3711100455322057E-5</v>
      </c>
      <c r="U402" s="782"/>
      <c r="V402" s="783"/>
      <c r="W402" s="784">
        <f t="shared" si="378"/>
        <v>5.996310848024375E-3</v>
      </c>
      <c r="X402" s="781">
        <f t="shared" si="378"/>
        <v>5.9737600422745708E-3</v>
      </c>
      <c r="Y402" s="783"/>
      <c r="Z402" s="781"/>
    </row>
    <row r="403" spans="1:26" s="204" customFormat="1" x14ac:dyDescent="0.2">
      <c r="A403" s="622" t="s">
        <v>625</v>
      </c>
      <c r="B403" s="623"/>
      <c r="C403" s="782">
        <f t="shared" ref="C403:K403" si="402">C164/C$193*100</f>
        <v>-3.3894759881907639E-3</v>
      </c>
      <c r="D403" s="783">
        <f t="shared" si="402"/>
        <v>1.4812587604296093E-2</v>
      </c>
      <c r="E403" s="783">
        <f t="shared" si="402"/>
        <v>0</v>
      </c>
      <c r="F403" s="783">
        <f t="shared" si="402"/>
        <v>0</v>
      </c>
      <c r="G403" s="781">
        <f t="shared" si="402"/>
        <v>0</v>
      </c>
      <c r="H403" s="783">
        <f t="shared" si="402"/>
        <v>1.4836035498011959E-2</v>
      </c>
      <c r="I403" s="783">
        <f t="shared" si="402"/>
        <v>0</v>
      </c>
      <c r="J403" s="783">
        <f t="shared" si="402"/>
        <v>0</v>
      </c>
      <c r="K403" s="781">
        <f t="shared" si="402"/>
        <v>0</v>
      </c>
      <c r="L403" s="783"/>
      <c r="M403" s="782">
        <f t="shared" ref="M403:Q412" si="403">M164/M$193*100</f>
        <v>0</v>
      </c>
      <c r="N403" s="782">
        <f t="shared" si="403"/>
        <v>1.4817793442089663E-2</v>
      </c>
      <c r="O403" s="783">
        <f t="shared" si="403"/>
        <v>0</v>
      </c>
      <c r="P403" s="783">
        <f t="shared" si="403"/>
        <v>0</v>
      </c>
      <c r="Q403" s="781">
        <f t="shared" si="403"/>
        <v>0</v>
      </c>
      <c r="R403" s="834">
        <f t="shared" si="397"/>
        <v>0</v>
      </c>
      <c r="S403" s="835">
        <f t="shared" si="398"/>
        <v>0</v>
      </c>
      <c r="T403" s="835">
        <f t="shared" si="399"/>
        <v>0</v>
      </c>
      <c r="U403" s="782"/>
      <c r="V403" s="783"/>
      <c r="W403" s="784">
        <f t="shared" ref="W403:X422" si="404">W164/W$193*100</f>
        <v>0</v>
      </c>
      <c r="X403" s="781">
        <f t="shared" si="404"/>
        <v>0</v>
      </c>
      <c r="Y403" s="783"/>
      <c r="Z403" s="781"/>
    </row>
    <row r="404" spans="1:26" s="204" customFormat="1" x14ac:dyDescent="0.2">
      <c r="A404" s="622" t="s">
        <v>626</v>
      </c>
      <c r="B404" s="623" t="s">
        <v>627</v>
      </c>
      <c r="C404" s="782">
        <f t="shared" ref="C404:K404" si="405">C165/C$193*100</f>
        <v>3.2056240222110149E-2</v>
      </c>
      <c r="D404" s="783">
        <f t="shared" si="405"/>
        <v>6.9685486759315352E-2</v>
      </c>
      <c r="E404" s="783">
        <f t="shared" si="405"/>
        <v>0</v>
      </c>
      <c r="F404" s="783">
        <f t="shared" si="405"/>
        <v>0</v>
      </c>
      <c r="G404" s="781">
        <f t="shared" si="405"/>
        <v>0</v>
      </c>
      <c r="H404" s="783">
        <f t="shared" si="405"/>
        <v>6.9795796850348799E-2</v>
      </c>
      <c r="I404" s="783">
        <f t="shared" si="405"/>
        <v>0</v>
      </c>
      <c r="J404" s="783">
        <f t="shared" si="405"/>
        <v>0</v>
      </c>
      <c r="K404" s="781">
        <f t="shared" si="405"/>
        <v>0</v>
      </c>
      <c r="L404" s="783"/>
      <c r="M404" s="782">
        <f t="shared" si="403"/>
        <v>0</v>
      </c>
      <c r="N404" s="782">
        <f t="shared" si="403"/>
        <v>6.9709977506666604E-2</v>
      </c>
      <c r="O404" s="783">
        <f t="shared" si="403"/>
        <v>0</v>
      </c>
      <c r="P404" s="783">
        <f t="shared" si="403"/>
        <v>0</v>
      </c>
      <c r="Q404" s="781">
        <f t="shared" si="403"/>
        <v>0</v>
      </c>
      <c r="R404" s="834">
        <f t="shared" si="397"/>
        <v>0</v>
      </c>
      <c r="S404" s="835">
        <f t="shared" si="398"/>
        <v>0</v>
      </c>
      <c r="T404" s="835">
        <f t="shared" si="399"/>
        <v>0</v>
      </c>
      <c r="U404" s="782"/>
      <c r="V404" s="783"/>
      <c r="W404" s="784">
        <f t="shared" si="404"/>
        <v>0</v>
      </c>
      <c r="X404" s="781">
        <f t="shared" si="404"/>
        <v>0</v>
      </c>
      <c r="Y404" s="783"/>
      <c r="Z404" s="781"/>
    </row>
    <row r="405" spans="1:26" s="204" customFormat="1" x14ac:dyDescent="0.2">
      <c r="A405" s="622" t="s">
        <v>628</v>
      </c>
      <c r="B405" s="623"/>
      <c r="C405" s="782">
        <f t="shared" ref="C405:K405" si="406">C166/C$193*100</f>
        <v>2.4808230024831568E-2</v>
      </c>
      <c r="D405" s="783">
        <f t="shared" si="406"/>
        <v>0</v>
      </c>
      <c r="E405" s="783">
        <f t="shared" si="406"/>
        <v>2.1673973892150304E-2</v>
      </c>
      <c r="F405" s="783">
        <f t="shared" si="406"/>
        <v>0</v>
      </c>
      <c r="G405" s="781">
        <f t="shared" si="406"/>
        <v>0</v>
      </c>
      <c r="H405" s="783">
        <f t="shared" si="406"/>
        <v>0</v>
      </c>
      <c r="I405" s="783">
        <f t="shared" si="406"/>
        <v>2.1708287453416221E-2</v>
      </c>
      <c r="J405" s="783">
        <f t="shared" si="406"/>
        <v>0</v>
      </c>
      <c r="K405" s="781">
        <f t="shared" si="406"/>
        <v>0</v>
      </c>
      <c r="L405" s="783"/>
      <c r="M405" s="782">
        <f t="shared" si="403"/>
        <v>0</v>
      </c>
      <c r="N405" s="782">
        <f t="shared" si="403"/>
        <v>0</v>
      </c>
      <c r="O405" s="783">
        <f t="shared" si="403"/>
        <v>0</v>
      </c>
      <c r="P405" s="783">
        <f t="shared" si="403"/>
        <v>0</v>
      </c>
      <c r="Q405" s="781">
        <f t="shared" si="403"/>
        <v>0</v>
      </c>
      <c r="R405" s="834">
        <f t="shared" si="397"/>
        <v>2.1708287453416221E-2</v>
      </c>
      <c r="S405" s="835">
        <f t="shared" si="398"/>
        <v>0</v>
      </c>
      <c r="T405" s="835">
        <f t="shared" si="399"/>
        <v>0</v>
      </c>
      <c r="U405" s="782"/>
      <c r="V405" s="783"/>
      <c r="W405" s="784">
        <f t="shared" si="404"/>
        <v>0</v>
      </c>
      <c r="X405" s="781">
        <f t="shared" si="404"/>
        <v>2.1673973892150304E-2</v>
      </c>
      <c r="Y405" s="783"/>
      <c r="Z405" s="781"/>
    </row>
    <row r="406" spans="1:26" s="204" customFormat="1" x14ac:dyDescent="0.2">
      <c r="A406" s="622" t="s">
        <v>52</v>
      </c>
      <c r="B406" s="623"/>
      <c r="C406" s="782">
        <f t="shared" ref="C406:K406" si="407">C167/C$193*100</f>
        <v>0</v>
      </c>
      <c r="D406" s="783">
        <f t="shared" si="407"/>
        <v>0</v>
      </c>
      <c r="E406" s="783">
        <f t="shared" si="407"/>
        <v>4.621851906896865E-2</v>
      </c>
      <c r="F406" s="783">
        <f t="shared" si="407"/>
        <v>4.3641862570090111E-2</v>
      </c>
      <c r="G406" s="781">
        <f t="shared" si="407"/>
        <v>7.3641250483880219E-3</v>
      </c>
      <c r="H406" s="783">
        <f t="shared" si="407"/>
        <v>3.5582428674385359E-2</v>
      </c>
      <c r="I406" s="783">
        <f t="shared" si="407"/>
        <v>4.629169079066512E-2</v>
      </c>
      <c r="J406" s="783">
        <f t="shared" si="407"/>
        <v>4.3710924261336513E-2</v>
      </c>
      <c r="K406" s="781">
        <f t="shared" si="407"/>
        <v>7.3757823600359438E-3</v>
      </c>
      <c r="L406" s="783"/>
      <c r="M406" s="782">
        <f t="shared" si="403"/>
        <v>0</v>
      </c>
      <c r="N406" s="782">
        <f t="shared" si="403"/>
        <v>3.5538677319529394E-2</v>
      </c>
      <c r="O406" s="783">
        <f t="shared" si="403"/>
        <v>4.6392992907588242E-2</v>
      </c>
      <c r="P406" s="783">
        <f t="shared" si="403"/>
        <v>4.3925268014897483E-2</v>
      </c>
      <c r="Q406" s="781">
        <f t="shared" si="403"/>
        <v>7.4087476432747618E-3</v>
      </c>
      <c r="R406" s="834">
        <f t="shared" si="397"/>
        <v>-1.0130211692312152E-4</v>
      </c>
      <c r="S406" s="835">
        <f t="shared" si="398"/>
        <v>-2.1434375356096935E-4</v>
      </c>
      <c r="T406" s="835">
        <f t="shared" si="399"/>
        <v>-3.2965283238818067E-5</v>
      </c>
      <c r="U406" s="782"/>
      <c r="V406" s="783"/>
      <c r="W406" s="784">
        <f t="shared" si="404"/>
        <v>4.6392992907588242E-2</v>
      </c>
      <c r="X406" s="781">
        <f t="shared" si="404"/>
        <v>4.621851906896865E-2</v>
      </c>
      <c r="Y406" s="783"/>
      <c r="Z406" s="781"/>
    </row>
    <row r="407" spans="1:26" s="204" customFormat="1" x14ac:dyDescent="0.2">
      <c r="A407" s="622" t="s">
        <v>629</v>
      </c>
      <c r="B407" s="623"/>
      <c r="C407" s="782">
        <f t="shared" ref="C407:K407" si="408">C168/C$193*100</f>
        <v>4.1543473081962601E-2</v>
      </c>
      <c r="D407" s="783">
        <f t="shared" si="408"/>
        <v>2.5692101574555953E-2</v>
      </c>
      <c r="E407" s="783">
        <f t="shared" si="408"/>
        <v>0</v>
      </c>
      <c r="F407" s="783">
        <f t="shared" si="408"/>
        <v>0</v>
      </c>
      <c r="G407" s="781">
        <f t="shared" si="408"/>
        <v>0</v>
      </c>
      <c r="H407" s="783">
        <f t="shared" si="408"/>
        <v>9.9374865832803083E-2</v>
      </c>
      <c r="I407" s="783">
        <f t="shared" si="408"/>
        <v>5.1686398698610046E-2</v>
      </c>
      <c r="J407" s="783">
        <f t="shared" si="408"/>
        <v>4.8531643240627143E-2</v>
      </c>
      <c r="K407" s="781">
        <f t="shared" si="408"/>
        <v>4.5829431938339889E-2</v>
      </c>
      <c r="L407" s="783"/>
      <c r="M407" s="782">
        <f t="shared" si="403"/>
        <v>0</v>
      </c>
      <c r="N407" s="782">
        <f t="shared" si="403"/>
        <v>9.9252676730462661E-2</v>
      </c>
      <c r="O407" s="783">
        <f t="shared" si="403"/>
        <v>5.1799506289084092E-2</v>
      </c>
      <c r="P407" s="783">
        <f t="shared" si="403"/>
        <v>4.8769626187784326E-2</v>
      </c>
      <c r="Q407" s="781">
        <f t="shared" si="403"/>
        <v>4.6034261762591122E-2</v>
      </c>
      <c r="R407" s="834">
        <f t="shared" si="397"/>
        <v>-1.1310759047404584E-4</v>
      </c>
      <c r="S407" s="835">
        <f t="shared" si="398"/>
        <v>-2.3798294715718371E-4</v>
      </c>
      <c r="T407" s="835">
        <f t="shared" si="399"/>
        <v>-2.0482982425123336E-4</v>
      </c>
      <c r="U407" s="782"/>
      <c r="V407" s="783"/>
      <c r="W407" s="784">
        <f t="shared" si="404"/>
        <v>5.1799506289084092E-2</v>
      </c>
      <c r="X407" s="781">
        <f t="shared" si="404"/>
        <v>0</v>
      </c>
      <c r="Y407" s="783"/>
      <c r="Z407" s="781"/>
    </row>
    <row r="408" spans="1:26" s="204" customFormat="1" x14ac:dyDescent="0.2">
      <c r="A408" s="622" t="s">
        <v>630</v>
      </c>
      <c r="B408" s="623"/>
      <c r="C408" s="782">
        <f t="shared" ref="C408:K408" si="409">C169/C$193*100</f>
        <v>0</v>
      </c>
      <c r="D408" s="783">
        <f t="shared" si="409"/>
        <v>0.32808776126530448</v>
      </c>
      <c r="E408" s="783">
        <f t="shared" si="409"/>
        <v>0</v>
      </c>
      <c r="F408" s="783">
        <f t="shared" si="409"/>
        <v>0</v>
      </c>
      <c r="G408" s="781">
        <f t="shared" si="409"/>
        <v>0</v>
      </c>
      <c r="H408" s="783">
        <f t="shared" si="409"/>
        <v>0.32860711461268277</v>
      </c>
      <c r="I408" s="783">
        <f t="shared" si="409"/>
        <v>0.26900082829894201</v>
      </c>
      <c r="J408" s="783">
        <f t="shared" si="409"/>
        <v>0</v>
      </c>
      <c r="K408" s="781">
        <f t="shared" si="409"/>
        <v>0</v>
      </c>
      <c r="L408" s="783"/>
      <c r="M408" s="782">
        <f t="shared" si="403"/>
        <v>-0.32817796490306544</v>
      </c>
      <c r="N408" s="782">
        <f t="shared" si="403"/>
        <v>2.5101784413076901E-5</v>
      </c>
      <c r="O408" s="783">
        <f t="shared" si="403"/>
        <v>0</v>
      </c>
      <c r="P408" s="783">
        <f t="shared" si="403"/>
        <v>0</v>
      </c>
      <c r="Q408" s="781">
        <f t="shared" si="403"/>
        <v>0</v>
      </c>
      <c r="R408" s="834">
        <f t="shared" si="397"/>
        <v>0.26900082829894201</v>
      </c>
      <c r="S408" s="835">
        <f t="shared" si="398"/>
        <v>0</v>
      </c>
      <c r="T408" s="835">
        <f t="shared" si="399"/>
        <v>0</v>
      </c>
      <c r="U408" s="782"/>
      <c r="V408" s="783"/>
      <c r="W408" s="784">
        <f t="shared" si="404"/>
        <v>0</v>
      </c>
      <c r="X408" s="781">
        <f t="shared" si="404"/>
        <v>0</v>
      </c>
      <c r="Y408" s="783"/>
      <c r="Z408" s="781"/>
    </row>
    <row r="409" spans="1:26" s="204" customFormat="1" x14ac:dyDescent="0.2">
      <c r="A409" s="622" t="s">
        <v>77</v>
      </c>
      <c r="B409" s="623"/>
      <c r="C409" s="782">
        <f t="shared" ref="C409:K409" si="410">C170/C$193*100</f>
        <v>0</v>
      </c>
      <c r="D409" s="783">
        <f t="shared" si="410"/>
        <v>3.552619175005195E-2</v>
      </c>
      <c r="E409" s="783">
        <f t="shared" si="410"/>
        <v>0</v>
      </c>
      <c r="F409" s="783">
        <f t="shared" si="410"/>
        <v>0</v>
      </c>
      <c r="G409" s="781">
        <f t="shared" si="410"/>
        <v>0</v>
      </c>
      <c r="H409" s="783">
        <f t="shared" si="410"/>
        <v>0</v>
      </c>
      <c r="I409" s="783">
        <f t="shared" si="410"/>
        <v>0</v>
      </c>
      <c r="J409" s="783">
        <f t="shared" si="410"/>
        <v>0</v>
      </c>
      <c r="K409" s="781">
        <f t="shared" si="410"/>
        <v>0</v>
      </c>
      <c r="L409" s="783"/>
      <c r="M409" s="782">
        <f t="shared" si="403"/>
        <v>0</v>
      </c>
      <c r="N409" s="782">
        <f t="shared" si="403"/>
        <v>0</v>
      </c>
      <c r="O409" s="783">
        <f t="shared" si="403"/>
        <v>0</v>
      </c>
      <c r="P409" s="783">
        <f t="shared" si="403"/>
        <v>0</v>
      </c>
      <c r="Q409" s="781">
        <f t="shared" si="403"/>
        <v>0</v>
      </c>
      <c r="R409" s="834">
        <f t="shared" si="397"/>
        <v>0</v>
      </c>
      <c r="S409" s="835">
        <f t="shared" si="398"/>
        <v>0</v>
      </c>
      <c r="T409" s="835">
        <f t="shared" si="399"/>
        <v>0</v>
      </c>
      <c r="U409" s="782"/>
      <c r="V409" s="783"/>
      <c r="W409" s="784">
        <f t="shared" si="404"/>
        <v>0</v>
      </c>
      <c r="X409" s="781">
        <f t="shared" si="404"/>
        <v>0</v>
      </c>
      <c r="Y409" s="783"/>
      <c r="Z409" s="781"/>
    </row>
    <row r="410" spans="1:26" s="204" customFormat="1" x14ac:dyDescent="0.2">
      <c r="A410" s="622" t="s">
        <v>497</v>
      </c>
      <c r="B410" s="623"/>
      <c r="C410" s="782">
        <f t="shared" ref="C410:K410" si="411">C171/C$193*100</f>
        <v>5.1619599970178273E-2</v>
      </c>
      <c r="D410" s="783">
        <f t="shared" si="411"/>
        <v>6.8725684142572227E-2</v>
      </c>
      <c r="E410" s="783">
        <f t="shared" si="411"/>
        <v>8.3423810821299141E-2</v>
      </c>
      <c r="F410" s="783">
        <f t="shared" si="411"/>
        <v>9.1710716106236517E-2</v>
      </c>
      <c r="G410" s="781">
        <f t="shared" si="411"/>
        <v>7.7116376521534621E-2</v>
      </c>
      <c r="H410" s="783">
        <f t="shared" si="411"/>
        <v>4.4498948010032888E-2</v>
      </c>
      <c r="I410" s="783">
        <f t="shared" si="411"/>
        <v>8.355588480357376E-2</v>
      </c>
      <c r="J410" s="783">
        <f t="shared" si="411"/>
        <v>9.1855845044066423E-2</v>
      </c>
      <c r="K410" s="781">
        <f t="shared" si="411"/>
        <v>7.7238450716142021E-2</v>
      </c>
      <c r="L410" s="783"/>
      <c r="M410" s="782">
        <f t="shared" si="403"/>
        <v>0</v>
      </c>
      <c r="N410" s="782">
        <f t="shared" si="403"/>
        <v>4.4444233103332169E-2</v>
      </c>
      <c r="O410" s="783">
        <f t="shared" si="403"/>
        <v>4.4444233103332162E-2</v>
      </c>
      <c r="P410" s="783">
        <f t="shared" si="403"/>
        <v>4.4444233103332169E-2</v>
      </c>
      <c r="Q410" s="781">
        <f t="shared" si="403"/>
        <v>4.4444233103332169E-2</v>
      </c>
      <c r="R410" s="834">
        <f t="shared" si="397"/>
        <v>3.9111651700241598E-2</v>
      </c>
      <c r="S410" s="835">
        <f t="shared" si="398"/>
        <v>4.7411611940734254E-2</v>
      </c>
      <c r="T410" s="835">
        <f t="shared" si="399"/>
        <v>3.2794217612809852E-2</v>
      </c>
      <c r="U410" s="782"/>
      <c r="V410" s="783"/>
      <c r="W410" s="784">
        <f t="shared" si="404"/>
        <v>4.4444233103332162E-2</v>
      </c>
      <c r="X410" s="781">
        <f t="shared" si="404"/>
        <v>8.3423810821299141E-2</v>
      </c>
      <c r="Y410" s="783"/>
      <c r="Z410" s="781"/>
    </row>
    <row r="411" spans="1:26" s="204" customFormat="1" x14ac:dyDescent="0.2">
      <c r="A411" s="479" t="s">
        <v>631</v>
      </c>
      <c r="B411" s="641" t="s">
        <v>632</v>
      </c>
      <c r="C411" s="841">
        <f t="shared" ref="C411:K411" si="412">C172/C$193*100</f>
        <v>1.6123581708775327</v>
      </c>
      <c r="D411" s="842">
        <f t="shared" si="412"/>
        <v>1.6785756923226578</v>
      </c>
      <c r="E411" s="842">
        <f t="shared" si="412"/>
        <v>2.0523457432315277</v>
      </c>
      <c r="F411" s="842">
        <f t="shared" si="412"/>
        <v>2.4429433096291642</v>
      </c>
      <c r="G411" s="843">
        <f t="shared" si="412"/>
        <v>2.4566969486487502</v>
      </c>
      <c r="H411" s="842">
        <f t="shared" si="412"/>
        <v>2.0260725889118554</v>
      </c>
      <c r="I411" s="842">
        <f t="shared" si="412"/>
        <v>1.9610594790420506</v>
      </c>
      <c r="J411" s="842">
        <f t="shared" si="412"/>
        <v>1.978118481795875</v>
      </c>
      <c r="K411" s="843">
        <f t="shared" si="412"/>
        <v>1.9432933260524403</v>
      </c>
      <c r="L411" s="842"/>
      <c r="M411" s="841">
        <f t="shared" si="403"/>
        <v>0</v>
      </c>
      <c r="N411" s="841">
        <f t="shared" si="403"/>
        <v>2.0235813755769643</v>
      </c>
      <c r="O411" s="842">
        <f t="shared" si="403"/>
        <v>1.9631384315690683</v>
      </c>
      <c r="P411" s="842">
        <f t="shared" si="403"/>
        <v>1.9357155429639223</v>
      </c>
      <c r="Q411" s="843">
        <f t="shared" si="403"/>
        <v>1.8317050046057117</v>
      </c>
      <c r="R411" s="863">
        <f>SUM(R412:R428)</f>
        <v>-2.0789525270183302E-3</v>
      </c>
      <c r="S411" s="864">
        <f>SUM(S412:S428)</f>
        <v>4.2402938831952314E-2</v>
      </c>
      <c r="T411" s="864">
        <f>SUM(T412:T428)</f>
        <v>0.11158832144672826</v>
      </c>
      <c r="U411" s="841"/>
      <c r="V411" s="842"/>
      <c r="W411" s="844">
        <f t="shared" si="404"/>
        <v>1.9631384315690683</v>
      </c>
      <c r="X411" s="843">
        <f t="shared" si="404"/>
        <v>2.0544912676488072</v>
      </c>
      <c r="Y411" s="842"/>
      <c r="Z411" s="843"/>
    </row>
    <row r="412" spans="1:26" s="204" customFormat="1" x14ac:dyDescent="0.2">
      <c r="A412" s="622" t="s">
        <v>153</v>
      </c>
      <c r="B412" s="641"/>
      <c r="C412" s="782">
        <f t="shared" ref="C412:K412" si="413">C173/C$193*100</f>
        <v>9.9014572318960437E-5</v>
      </c>
      <c r="D412" s="783">
        <f t="shared" si="413"/>
        <v>6.94201866828205E-4</v>
      </c>
      <c r="E412" s="783">
        <f t="shared" si="413"/>
        <v>8.7228222816708362E-2</v>
      </c>
      <c r="F412" s="783">
        <f t="shared" si="413"/>
        <v>0.37174990163642108</v>
      </c>
      <c r="G412" s="781">
        <f t="shared" si="413"/>
        <v>0.38058314550085154</v>
      </c>
      <c r="H412" s="783">
        <f t="shared" si="413"/>
        <v>3.2432589914287241E-2</v>
      </c>
      <c r="I412" s="783">
        <f t="shared" si="413"/>
        <v>0</v>
      </c>
      <c r="J412" s="783">
        <f t="shared" si="413"/>
        <v>0</v>
      </c>
      <c r="K412" s="781">
        <f t="shared" si="413"/>
        <v>0</v>
      </c>
      <c r="L412" s="783"/>
      <c r="M412" s="782">
        <f t="shared" si="403"/>
        <v>0</v>
      </c>
      <c r="N412" s="782">
        <f t="shared" si="403"/>
        <v>3.2392711530402234E-2</v>
      </c>
      <c r="O412" s="783">
        <f t="shared" si="403"/>
        <v>0</v>
      </c>
      <c r="P412" s="783">
        <f t="shared" si="403"/>
        <v>0</v>
      </c>
      <c r="Q412" s="781">
        <f t="shared" si="403"/>
        <v>0</v>
      </c>
      <c r="R412" s="834">
        <f t="shared" ref="R412:R428" si="414">I412-O412</f>
        <v>0</v>
      </c>
      <c r="S412" s="835">
        <f t="shared" ref="S412:S428" si="415">J412-P412</f>
        <v>0</v>
      </c>
      <c r="T412" s="835">
        <f t="shared" ref="T412:T428" si="416">K412-Q412</f>
        <v>0</v>
      </c>
      <c r="U412" s="782"/>
      <c r="V412" s="783"/>
      <c r="W412" s="784">
        <f t="shared" si="404"/>
        <v>0</v>
      </c>
      <c r="X412" s="781">
        <f t="shared" si="404"/>
        <v>8.7228222816708362E-2</v>
      </c>
      <c r="Y412" s="783"/>
      <c r="Z412" s="781"/>
    </row>
    <row r="413" spans="1:26" s="204" customFormat="1" x14ac:dyDescent="0.2">
      <c r="A413" s="622" t="s">
        <v>117</v>
      </c>
      <c r="B413" s="641"/>
      <c r="C413" s="782">
        <f t="shared" ref="C413:K413" si="417">C174/C$193*100</f>
        <v>1.7473161207508602E-5</v>
      </c>
      <c r="D413" s="783">
        <f t="shared" si="417"/>
        <v>1.7576130067784167E-4</v>
      </c>
      <c r="E413" s="783">
        <f t="shared" si="417"/>
        <v>2.269096731977575E-2</v>
      </c>
      <c r="F413" s="783">
        <f t="shared" si="417"/>
        <v>0.10584176449724095</v>
      </c>
      <c r="G413" s="781">
        <f t="shared" si="417"/>
        <v>0.10693970508698863</v>
      </c>
      <c r="H413" s="783">
        <f t="shared" si="417"/>
        <v>1.7295328595058408E-2</v>
      </c>
      <c r="I413" s="783">
        <f t="shared" si="417"/>
        <v>5.2340220250308061E-3</v>
      </c>
      <c r="J413" s="783">
        <f t="shared" si="417"/>
        <v>2.9266996759738533E-3</v>
      </c>
      <c r="K413" s="781">
        <f t="shared" si="417"/>
        <v>2.6271711757707254E-3</v>
      </c>
      <c r="L413" s="783"/>
      <c r="M413" s="782">
        <f t="shared" ref="M413:Q422" si="418">M174/M$193*100</f>
        <v>0</v>
      </c>
      <c r="N413" s="782">
        <f t="shared" si="418"/>
        <v>1.7274062647597729E-2</v>
      </c>
      <c r="O413" s="783">
        <f t="shared" si="418"/>
        <v>5.2454758626872345E-3</v>
      </c>
      <c r="P413" s="783">
        <f t="shared" si="418"/>
        <v>2.941051232356951E-3</v>
      </c>
      <c r="Q413" s="781">
        <f t="shared" si="418"/>
        <v>2.6389130409314155E-3</v>
      </c>
      <c r="R413" s="834">
        <f t="shared" si="414"/>
        <v>-1.1453837656428406E-5</v>
      </c>
      <c r="S413" s="835">
        <f t="shared" si="415"/>
        <v>-1.4351556383097701E-5</v>
      </c>
      <c r="T413" s="835">
        <f t="shared" si="416"/>
        <v>-1.1741865160690059E-5</v>
      </c>
      <c r="U413" s="782"/>
      <c r="V413" s="783"/>
      <c r="W413" s="784">
        <f t="shared" si="404"/>
        <v>5.2454758626872345E-3</v>
      </c>
      <c r="X413" s="781">
        <f t="shared" si="404"/>
        <v>2.269096731977575E-2</v>
      </c>
      <c r="Y413" s="783"/>
      <c r="Z413" s="781"/>
    </row>
    <row r="414" spans="1:26" s="204" customFormat="1" x14ac:dyDescent="0.2">
      <c r="A414" s="622" t="s">
        <v>633</v>
      </c>
      <c r="B414" s="623"/>
      <c r="C414" s="782">
        <f t="shared" ref="C414:K414" si="419">C175/C$193*100</f>
        <v>0.70943188634686316</v>
      </c>
      <c r="D414" s="783">
        <f t="shared" si="419"/>
        <v>0.84565836424816154</v>
      </c>
      <c r="E414" s="783">
        <f t="shared" si="419"/>
        <v>0.86661630047971738</v>
      </c>
      <c r="F414" s="783">
        <f t="shared" si="419"/>
        <v>0.84410196475192023</v>
      </c>
      <c r="G414" s="781">
        <f t="shared" si="419"/>
        <v>0.79763509525234544</v>
      </c>
      <c r="H414" s="783">
        <f t="shared" si="419"/>
        <v>0.81774788348165228</v>
      </c>
      <c r="I414" s="783">
        <f t="shared" si="419"/>
        <v>0.86798830044928998</v>
      </c>
      <c r="J414" s="783">
        <f t="shared" si="419"/>
        <v>0.84543772601042655</v>
      </c>
      <c r="K414" s="781">
        <f t="shared" si="419"/>
        <v>0.79889774096050226</v>
      </c>
      <c r="L414" s="783"/>
      <c r="M414" s="782">
        <f t="shared" si="418"/>
        <v>0</v>
      </c>
      <c r="N414" s="782">
        <f t="shared" si="418"/>
        <v>0.81674239905673229</v>
      </c>
      <c r="O414" s="783">
        <f t="shared" si="418"/>
        <v>0.86988775693485321</v>
      </c>
      <c r="P414" s="783">
        <f t="shared" si="418"/>
        <v>0.84958346986410693</v>
      </c>
      <c r="Q414" s="781">
        <f t="shared" si="418"/>
        <v>0.80246833036025311</v>
      </c>
      <c r="R414" s="834">
        <f t="shared" si="414"/>
        <v>-1.8994564855632223E-3</v>
      </c>
      <c r="S414" s="835">
        <f t="shared" si="415"/>
        <v>-4.1457438536803837E-3</v>
      </c>
      <c r="T414" s="835">
        <f t="shared" si="416"/>
        <v>-3.5705893997508564E-3</v>
      </c>
      <c r="U414" s="782"/>
      <c r="V414" s="783"/>
      <c r="W414" s="784">
        <f t="shared" si="404"/>
        <v>0.86988775693485321</v>
      </c>
      <c r="X414" s="781">
        <f t="shared" si="404"/>
        <v>0.86661630047971738</v>
      </c>
      <c r="Y414" s="783"/>
      <c r="Z414" s="781"/>
    </row>
    <row r="415" spans="1:26" s="204" customFormat="1" x14ac:dyDescent="0.2">
      <c r="A415" s="622" t="s">
        <v>634</v>
      </c>
      <c r="B415" s="623"/>
      <c r="C415" s="782">
        <f t="shared" ref="C415:K415" si="420">C176/C$193*100</f>
        <v>7.4753191133894517E-2</v>
      </c>
      <c r="D415" s="783">
        <f t="shared" si="420"/>
        <v>7.3781056690204683E-2</v>
      </c>
      <c r="E415" s="783">
        <f t="shared" si="420"/>
        <v>7.427051596442992E-2</v>
      </c>
      <c r="F415" s="783">
        <f t="shared" si="420"/>
        <v>7.5139114204476068E-2</v>
      </c>
      <c r="G415" s="781">
        <f t="shared" si="420"/>
        <v>7.6302541618278638E-2</v>
      </c>
      <c r="H415" s="783">
        <f t="shared" si="420"/>
        <v>7.5629458868186478E-2</v>
      </c>
      <c r="I415" s="783">
        <f t="shared" si="420"/>
        <v>7.4388098735013564E-2</v>
      </c>
      <c r="J415" s="783">
        <f t="shared" si="420"/>
        <v>7.5258019173240501E-2</v>
      </c>
      <c r="K415" s="781">
        <f t="shared" si="420"/>
        <v>7.6423327523098064E-2</v>
      </c>
      <c r="L415" s="783"/>
      <c r="M415" s="782">
        <f t="shared" si="418"/>
        <v>0</v>
      </c>
      <c r="N415" s="782">
        <f t="shared" si="418"/>
        <v>7.5536466584753936E-2</v>
      </c>
      <c r="O415" s="783">
        <f t="shared" si="418"/>
        <v>7.4550885441375614E-2</v>
      </c>
      <c r="P415" s="783">
        <f t="shared" si="418"/>
        <v>7.5627059329397159E-2</v>
      </c>
      <c r="Q415" s="781">
        <f t="shared" si="418"/>
        <v>7.6764893544826449E-2</v>
      </c>
      <c r="R415" s="834">
        <f t="shared" si="414"/>
        <v>-1.6278670636205028E-4</v>
      </c>
      <c r="S415" s="835">
        <f t="shared" si="415"/>
        <v>-3.6904015615665808E-4</v>
      </c>
      <c r="T415" s="835">
        <f t="shared" si="416"/>
        <v>-3.4156602172838446E-4</v>
      </c>
      <c r="U415" s="782"/>
      <c r="V415" s="783"/>
      <c r="W415" s="784">
        <f t="shared" si="404"/>
        <v>7.4550885441375614E-2</v>
      </c>
      <c r="X415" s="781">
        <f t="shared" si="404"/>
        <v>7.427051596442992E-2</v>
      </c>
      <c r="Y415" s="783"/>
      <c r="Z415" s="781"/>
    </row>
    <row r="416" spans="1:26" s="204" customFormat="1" x14ac:dyDescent="0.2">
      <c r="A416" s="622" t="s">
        <v>635</v>
      </c>
      <c r="B416" s="623"/>
      <c r="C416" s="782">
        <f t="shared" ref="C416:K416" si="421">C177/C$193*100</f>
        <v>0.10685924107275548</v>
      </c>
      <c r="D416" s="783">
        <f t="shared" si="421"/>
        <v>0.1004094464513904</v>
      </c>
      <c r="E416" s="783">
        <f t="shared" si="421"/>
        <v>6.9695243285196481E-2</v>
      </c>
      <c r="F416" s="783">
        <f t="shared" si="421"/>
        <v>7.6052974844120366E-2</v>
      </c>
      <c r="G416" s="781">
        <f t="shared" si="421"/>
        <v>6.7506216088343965E-2</v>
      </c>
      <c r="H416" s="783">
        <f t="shared" si="421"/>
        <v>0.10902603907430833</v>
      </c>
      <c r="I416" s="783">
        <f t="shared" si="421"/>
        <v>6.9805582626394788E-2</v>
      </c>
      <c r="J416" s="783">
        <f t="shared" si="421"/>
        <v>7.6173325964758731E-2</v>
      </c>
      <c r="K416" s="781">
        <f t="shared" si="421"/>
        <v>6.7613077527271609E-2</v>
      </c>
      <c r="L416" s="783"/>
      <c r="M416" s="782">
        <f t="shared" si="418"/>
        <v>0</v>
      </c>
      <c r="N416" s="782">
        <f t="shared" si="418"/>
        <v>0.10889198310618621</v>
      </c>
      <c r="O416" s="783">
        <f t="shared" si="418"/>
        <v>0.10446933188937289</v>
      </c>
      <c r="P416" s="783">
        <f t="shared" si="418"/>
        <v>0.10078652921591057</v>
      </c>
      <c r="Q416" s="781">
        <f t="shared" si="418"/>
        <v>9.7567408612110079E-2</v>
      </c>
      <c r="R416" s="834">
        <f t="shared" si="414"/>
        <v>-3.4663749262978105E-2</v>
      </c>
      <c r="S416" s="835">
        <f t="shared" si="415"/>
        <v>-2.4613203251151836E-2</v>
      </c>
      <c r="T416" s="835">
        <f t="shared" si="416"/>
        <v>-2.995433108483847E-2</v>
      </c>
      <c r="U416" s="782"/>
      <c r="V416" s="783"/>
      <c r="W416" s="784">
        <f t="shared" si="404"/>
        <v>0.10446933188937289</v>
      </c>
      <c r="X416" s="781">
        <f t="shared" si="404"/>
        <v>6.9695243285196481E-2</v>
      </c>
      <c r="Y416" s="783"/>
      <c r="Z416" s="781"/>
    </row>
    <row r="417" spans="1:26" s="204" customFormat="1" x14ac:dyDescent="0.2">
      <c r="A417" s="622" t="s">
        <v>636</v>
      </c>
      <c r="B417" s="623"/>
      <c r="C417" s="782">
        <f t="shared" ref="C417:K417" si="422">C178/C$193*100</f>
        <v>1.6688543479233937E-2</v>
      </c>
      <c r="D417" s="783">
        <f t="shared" si="422"/>
        <v>1.5279073572132878E-2</v>
      </c>
      <c r="E417" s="783">
        <f t="shared" si="422"/>
        <v>2.8750010320939951E-2</v>
      </c>
      <c r="F417" s="783">
        <f t="shared" si="422"/>
        <v>0.13015875784728156</v>
      </c>
      <c r="G417" s="781">
        <f t="shared" si="422"/>
        <v>0.23642458468659663</v>
      </c>
      <c r="H417" s="783">
        <f t="shared" si="422"/>
        <v>2.112474308224389E-2</v>
      </c>
      <c r="I417" s="783">
        <f t="shared" si="422"/>
        <v>2.8795526442969635E-2</v>
      </c>
      <c r="J417" s="783">
        <f t="shared" si="422"/>
        <v>0.1303647294401078</v>
      </c>
      <c r="K417" s="781">
        <f t="shared" si="422"/>
        <v>0.23679884164812467</v>
      </c>
      <c r="L417" s="783"/>
      <c r="M417" s="782">
        <f t="shared" si="418"/>
        <v>0</v>
      </c>
      <c r="N417" s="782">
        <f t="shared" si="418"/>
        <v>2.1098768572766474E-2</v>
      </c>
      <c r="O417" s="783">
        <f t="shared" si="418"/>
        <v>2.109876857276647E-2</v>
      </c>
      <c r="P417" s="783">
        <f t="shared" si="418"/>
        <v>2.1098768572766474E-2</v>
      </c>
      <c r="Q417" s="781">
        <f t="shared" si="418"/>
        <v>2.1098768572766474E-2</v>
      </c>
      <c r="R417" s="834">
        <f t="shared" si="414"/>
        <v>7.696757870203165E-3</v>
      </c>
      <c r="S417" s="835">
        <f t="shared" si="415"/>
        <v>0.10926596086734132</v>
      </c>
      <c r="T417" s="835">
        <f t="shared" si="416"/>
        <v>0.21570007307535821</v>
      </c>
      <c r="U417" s="782"/>
      <c r="V417" s="783"/>
      <c r="W417" s="784">
        <f t="shared" si="404"/>
        <v>2.109876857276647E-2</v>
      </c>
      <c r="X417" s="781">
        <f t="shared" si="404"/>
        <v>2.8750010320939951E-2</v>
      </c>
      <c r="Y417" s="783"/>
      <c r="Z417" s="781"/>
    </row>
    <row r="418" spans="1:26" s="204" customFormat="1" x14ac:dyDescent="0.2">
      <c r="A418" s="622" t="s">
        <v>637</v>
      </c>
      <c r="B418" s="623"/>
      <c r="C418" s="782">
        <f t="shared" ref="C418:K418" si="423">C179/C$193*100</f>
        <v>1.0870446390452031E-2</v>
      </c>
      <c r="D418" s="783">
        <f t="shared" si="423"/>
        <v>1.0280377964175646E-2</v>
      </c>
      <c r="E418" s="783">
        <f t="shared" si="423"/>
        <v>9.598474152237994E-3</v>
      </c>
      <c r="F418" s="783">
        <f t="shared" si="423"/>
        <v>3.7649507794465666E-2</v>
      </c>
      <c r="G418" s="781">
        <f t="shared" si="423"/>
        <v>1.0158053826703602E-2</v>
      </c>
      <c r="H418" s="783">
        <f t="shared" si="423"/>
        <v>1.0296651502351584E-2</v>
      </c>
      <c r="I418" s="783">
        <f t="shared" si="423"/>
        <v>9.6136701579414702E-3</v>
      </c>
      <c r="J418" s="783">
        <f t="shared" si="423"/>
        <v>3.7709086797967292E-2</v>
      </c>
      <c r="K418" s="781">
        <f t="shared" si="423"/>
        <v>1.0174133890311455E-2</v>
      </c>
      <c r="L418" s="783"/>
      <c r="M418" s="782">
        <f t="shared" si="418"/>
        <v>0</v>
      </c>
      <c r="N418" s="782">
        <f t="shared" si="418"/>
        <v>1.0283990971002528E-2</v>
      </c>
      <c r="O418" s="783">
        <f t="shared" si="418"/>
        <v>9.6347081697696416E-3</v>
      </c>
      <c r="P418" s="783">
        <f t="shared" si="418"/>
        <v>3.7893999547908425E-2</v>
      </c>
      <c r="Q418" s="781">
        <f t="shared" si="418"/>
        <v>1.0219606111295229E-2</v>
      </c>
      <c r="R418" s="834">
        <f t="shared" si="414"/>
        <v>-2.1038011828171388E-5</v>
      </c>
      <c r="S418" s="835">
        <f t="shared" si="415"/>
        <v>-1.8491274994113238E-4</v>
      </c>
      <c r="T418" s="835">
        <f t="shared" si="416"/>
        <v>-4.5472220983774209E-5</v>
      </c>
      <c r="U418" s="782"/>
      <c r="V418" s="783"/>
      <c r="W418" s="784">
        <f t="shared" si="404"/>
        <v>9.6347081697696416E-3</v>
      </c>
      <c r="X418" s="781">
        <f t="shared" si="404"/>
        <v>9.598474152237994E-3</v>
      </c>
      <c r="Y418" s="783"/>
      <c r="Z418" s="781"/>
    </row>
    <row r="419" spans="1:26" s="204" customFormat="1" x14ac:dyDescent="0.2">
      <c r="A419" s="622" t="s">
        <v>74</v>
      </c>
      <c r="B419" s="623"/>
      <c r="C419" s="782">
        <f t="shared" ref="C419:K419" si="424">C180/C$193*100</f>
        <v>0</v>
      </c>
      <c r="D419" s="783">
        <f t="shared" si="424"/>
        <v>1.5618436586649215E-2</v>
      </c>
      <c r="E419" s="783">
        <f t="shared" si="424"/>
        <v>0.27426947458158912</v>
      </c>
      <c r="F419" s="783">
        <f t="shared" si="424"/>
        <v>0.51217139199485207</v>
      </c>
      <c r="G419" s="781">
        <f t="shared" si="424"/>
        <v>0.53266936815990062</v>
      </c>
      <c r="H419" s="783">
        <f t="shared" si="424"/>
        <v>0</v>
      </c>
      <c r="I419" s="783">
        <f t="shared" si="424"/>
        <v>0</v>
      </c>
      <c r="J419" s="783">
        <f t="shared" si="424"/>
        <v>0</v>
      </c>
      <c r="K419" s="781">
        <f t="shared" si="424"/>
        <v>0</v>
      </c>
      <c r="L419" s="783"/>
      <c r="M419" s="782">
        <f t="shared" si="418"/>
        <v>0</v>
      </c>
      <c r="N419" s="782">
        <f t="shared" si="418"/>
        <v>0</v>
      </c>
      <c r="O419" s="783">
        <f t="shared" si="418"/>
        <v>0</v>
      </c>
      <c r="P419" s="783">
        <f t="shared" si="418"/>
        <v>0</v>
      </c>
      <c r="Q419" s="781">
        <f t="shared" si="418"/>
        <v>0</v>
      </c>
      <c r="R419" s="834">
        <f t="shared" si="414"/>
        <v>0</v>
      </c>
      <c r="S419" s="835">
        <f t="shared" si="415"/>
        <v>0</v>
      </c>
      <c r="T419" s="835">
        <f t="shared" si="416"/>
        <v>0</v>
      </c>
      <c r="U419" s="782"/>
      <c r="V419" s="783"/>
      <c r="W419" s="784">
        <f t="shared" si="404"/>
        <v>0</v>
      </c>
      <c r="X419" s="781">
        <f t="shared" si="404"/>
        <v>0.27426947458158912</v>
      </c>
      <c r="Y419" s="783"/>
      <c r="Z419" s="781"/>
    </row>
    <row r="420" spans="1:26" s="204" customFormat="1" x14ac:dyDescent="0.2">
      <c r="A420" s="622" t="s">
        <v>638</v>
      </c>
      <c r="B420" s="623"/>
      <c r="C420" s="782">
        <f t="shared" ref="C420:K420" si="425">C181/C$193*100</f>
        <v>0</v>
      </c>
      <c r="D420" s="783">
        <f t="shared" si="425"/>
        <v>4.9080514151548247E-3</v>
      </c>
      <c r="E420" s="783">
        <f t="shared" si="425"/>
        <v>0</v>
      </c>
      <c r="F420" s="783">
        <f t="shared" si="425"/>
        <v>0</v>
      </c>
      <c r="G420" s="781">
        <f t="shared" si="425"/>
        <v>0</v>
      </c>
      <c r="H420" s="783">
        <f t="shared" si="425"/>
        <v>0</v>
      </c>
      <c r="I420" s="783">
        <f t="shared" si="425"/>
        <v>0</v>
      </c>
      <c r="J420" s="783">
        <f t="shared" si="425"/>
        <v>0</v>
      </c>
      <c r="K420" s="781">
        <f t="shared" si="425"/>
        <v>0</v>
      </c>
      <c r="L420" s="783"/>
      <c r="M420" s="782">
        <f t="shared" si="418"/>
        <v>0</v>
      </c>
      <c r="N420" s="782">
        <f t="shared" si="418"/>
        <v>0</v>
      </c>
      <c r="O420" s="783">
        <f t="shared" si="418"/>
        <v>0</v>
      </c>
      <c r="P420" s="783">
        <f t="shared" si="418"/>
        <v>0</v>
      </c>
      <c r="Q420" s="781">
        <f t="shared" si="418"/>
        <v>0</v>
      </c>
      <c r="R420" s="834">
        <f t="shared" si="414"/>
        <v>0</v>
      </c>
      <c r="S420" s="835">
        <f t="shared" si="415"/>
        <v>0</v>
      </c>
      <c r="T420" s="835">
        <f t="shared" si="416"/>
        <v>0</v>
      </c>
      <c r="U420" s="782"/>
      <c r="V420" s="783"/>
      <c r="W420" s="784">
        <f t="shared" si="404"/>
        <v>0</v>
      </c>
      <c r="X420" s="781">
        <f t="shared" si="404"/>
        <v>0</v>
      </c>
      <c r="Y420" s="783"/>
      <c r="Z420" s="781"/>
    </row>
    <row r="421" spans="1:26" s="204" customFormat="1" x14ac:dyDescent="0.2">
      <c r="A421" s="622" t="s">
        <v>639</v>
      </c>
      <c r="B421" s="623"/>
      <c r="C421" s="782">
        <f t="shared" ref="C421:K421" si="426">C182/C$193*100</f>
        <v>0</v>
      </c>
      <c r="D421" s="783">
        <f t="shared" si="426"/>
        <v>0</v>
      </c>
      <c r="E421" s="783">
        <f t="shared" si="426"/>
        <v>5.1604699743215014E-2</v>
      </c>
      <c r="F421" s="783">
        <f t="shared" si="426"/>
        <v>0</v>
      </c>
      <c r="G421" s="781">
        <f t="shared" si="426"/>
        <v>0</v>
      </c>
      <c r="H421" s="783">
        <f t="shared" si="426"/>
        <v>0</v>
      </c>
      <c r="I421" s="783">
        <f t="shared" si="426"/>
        <v>0</v>
      </c>
      <c r="J421" s="783">
        <f t="shared" si="426"/>
        <v>0</v>
      </c>
      <c r="K421" s="781">
        <f t="shared" si="426"/>
        <v>0</v>
      </c>
      <c r="L421" s="783"/>
      <c r="M421" s="782">
        <f t="shared" si="418"/>
        <v>0</v>
      </c>
      <c r="N421" s="782">
        <f t="shared" si="418"/>
        <v>0</v>
      </c>
      <c r="O421" s="783">
        <f t="shared" si="418"/>
        <v>0</v>
      </c>
      <c r="P421" s="783">
        <f t="shared" si="418"/>
        <v>0</v>
      </c>
      <c r="Q421" s="781">
        <f t="shared" si="418"/>
        <v>0</v>
      </c>
      <c r="R421" s="834">
        <f t="shared" si="414"/>
        <v>0</v>
      </c>
      <c r="S421" s="835">
        <f t="shared" si="415"/>
        <v>0</v>
      </c>
      <c r="T421" s="835">
        <f t="shared" si="416"/>
        <v>0</v>
      </c>
      <c r="U421" s="782"/>
      <c r="V421" s="783"/>
      <c r="W421" s="784">
        <f t="shared" si="404"/>
        <v>0</v>
      </c>
      <c r="X421" s="781">
        <f t="shared" si="404"/>
        <v>5.1604699743215014E-2</v>
      </c>
      <c r="Y421" s="783"/>
      <c r="Z421" s="781"/>
    </row>
    <row r="422" spans="1:26" s="204" customFormat="1" x14ac:dyDescent="0.2">
      <c r="A422" s="622" t="s">
        <v>582</v>
      </c>
      <c r="B422" s="623"/>
      <c r="C422" s="782">
        <f t="shared" ref="C422:K422" si="427">C183/C$193*100</f>
        <v>0</v>
      </c>
      <c r="D422" s="783">
        <f t="shared" si="427"/>
        <v>-1.5618436586649215E-2</v>
      </c>
      <c r="E422" s="783">
        <f t="shared" si="427"/>
        <v>-0.27426969028923398</v>
      </c>
      <c r="F422" s="783">
        <f t="shared" si="427"/>
        <v>-0.51217091810529447</v>
      </c>
      <c r="G422" s="781">
        <f t="shared" si="427"/>
        <v>-0.53266936815990062</v>
      </c>
      <c r="H422" s="783">
        <f t="shared" si="427"/>
        <v>0</v>
      </c>
      <c r="I422" s="783">
        <f t="shared" si="427"/>
        <v>0</v>
      </c>
      <c r="J422" s="783">
        <f t="shared" si="427"/>
        <v>0</v>
      </c>
      <c r="K422" s="781">
        <f t="shared" si="427"/>
        <v>0</v>
      </c>
      <c r="L422" s="783"/>
      <c r="M422" s="782">
        <f t="shared" si="418"/>
        <v>0</v>
      </c>
      <c r="N422" s="782">
        <f t="shared" si="418"/>
        <v>0</v>
      </c>
      <c r="O422" s="783">
        <f t="shared" si="418"/>
        <v>0</v>
      </c>
      <c r="P422" s="783">
        <f t="shared" si="418"/>
        <v>0</v>
      </c>
      <c r="Q422" s="781">
        <f t="shared" si="418"/>
        <v>0</v>
      </c>
      <c r="R422" s="834">
        <f t="shared" si="414"/>
        <v>0</v>
      </c>
      <c r="S422" s="835">
        <f t="shared" si="415"/>
        <v>0</v>
      </c>
      <c r="T422" s="835">
        <f t="shared" si="416"/>
        <v>0</v>
      </c>
      <c r="U422" s="782"/>
      <c r="V422" s="783"/>
      <c r="W422" s="784">
        <f t="shared" si="404"/>
        <v>0</v>
      </c>
      <c r="X422" s="781">
        <f t="shared" si="404"/>
        <v>-0.27426969028923398</v>
      </c>
      <c r="Y422" s="783"/>
      <c r="Z422" s="781"/>
    </row>
    <row r="423" spans="1:26" s="204" customFormat="1" x14ac:dyDescent="0.2">
      <c r="A423" s="622" t="s">
        <v>640</v>
      </c>
      <c r="B423" s="623"/>
      <c r="C423" s="782">
        <f t="shared" ref="C423:K423" si="428">C184/C$193*100</f>
        <v>2.7091478657014188E-2</v>
      </c>
      <c r="D423" s="783">
        <f t="shared" si="428"/>
        <v>0</v>
      </c>
      <c r="E423" s="783">
        <f t="shared" si="428"/>
        <v>1.1456243342993735E-4</v>
      </c>
      <c r="F423" s="783">
        <f t="shared" si="428"/>
        <v>1.0757002226990191E-4</v>
      </c>
      <c r="G423" s="781">
        <f t="shared" si="428"/>
        <v>1.0158053826703602E-4</v>
      </c>
      <c r="H423" s="783">
        <f t="shared" si="428"/>
        <v>2.644246535813579E-2</v>
      </c>
      <c r="I423" s="783">
        <f t="shared" si="428"/>
        <v>1.1474380511091432E-4</v>
      </c>
      <c r="J423" s="783">
        <f t="shared" si="428"/>
        <v>1.0774024799419225E-4</v>
      </c>
      <c r="K423" s="781">
        <f t="shared" si="428"/>
        <v>1.0174133890311456E-4</v>
      </c>
      <c r="L423" s="783"/>
      <c r="M423" s="782">
        <f t="shared" ref="M423:Q429" si="429">M184/M$193*100</f>
        <v>0</v>
      </c>
      <c r="N423" s="782">
        <f t="shared" si="429"/>
        <v>2.6409952296822938E-2</v>
      </c>
      <c r="O423" s="783">
        <f t="shared" si="429"/>
        <v>0</v>
      </c>
      <c r="P423" s="783">
        <f t="shared" si="429"/>
        <v>0</v>
      </c>
      <c r="Q423" s="781">
        <f t="shared" si="429"/>
        <v>0</v>
      </c>
      <c r="R423" s="834">
        <f t="shared" si="414"/>
        <v>1.1474380511091432E-4</v>
      </c>
      <c r="S423" s="835">
        <f t="shared" si="415"/>
        <v>1.0774024799419225E-4</v>
      </c>
      <c r="T423" s="835">
        <f t="shared" si="416"/>
        <v>1.0174133890311456E-4</v>
      </c>
      <c r="U423" s="782"/>
      <c r="V423" s="783"/>
      <c r="W423" s="784">
        <f t="shared" ref="W423:X429" si="430">W184/W$193*100</f>
        <v>0</v>
      </c>
      <c r="X423" s="781">
        <f t="shared" si="430"/>
        <v>1.1456243342993735E-4</v>
      </c>
      <c r="Y423" s="783"/>
      <c r="Z423" s="781"/>
    </row>
    <row r="424" spans="1:26" s="204" customFormat="1" x14ac:dyDescent="0.2">
      <c r="A424" s="622" t="s">
        <v>562</v>
      </c>
      <c r="B424" s="623"/>
      <c r="C424" s="782">
        <f t="shared" ref="C424:K424" si="431">C185/C$193*100</f>
        <v>2.2009035109054977E-2</v>
      </c>
      <c r="D424" s="783">
        <f t="shared" si="431"/>
        <v>6.5639660592768804E-3</v>
      </c>
      <c r="E424" s="783">
        <f t="shared" si="431"/>
        <v>2.4733000379810591E-2</v>
      </c>
      <c r="F424" s="783">
        <f t="shared" si="431"/>
        <v>2.2041280722870548E-2</v>
      </c>
      <c r="G424" s="781">
        <f t="shared" si="431"/>
        <v>2.0957800149899935E-2</v>
      </c>
      <c r="H424" s="783">
        <f t="shared" si="431"/>
        <v>1.9584674024203996E-2</v>
      </c>
      <c r="I424" s="783">
        <f t="shared" si="431"/>
        <v>2.477215689665635E-2</v>
      </c>
      <c r="J424" s="783">
        <f t="shared" si="431"/>
        <v>2.2076160263621442E-2</v>
      </c>
      <c r="K424" s="781">
        <f t="shared" si="431"/>
        <v>2.0990976067771637E-2</v>
      </c>
      <c r="L424" s="783"/>
      <c r="M424" s="782">
        <f t="shared" si="429"/>
        <v>0</v>
      </c>
      <c r="N424" s="782">
        <f t="shared" si="429"/>
        <v>1.9560593149039109E-2</v>
      </c>
      <c r="O424" s="783">
        <f t="shared" si="429"/>
        <v>1.9266898392991609E-2</v>
      </c>
      <c r="P424" s="783">
        <f t="shared" si="429"/>
        <v>1.9081393593701482E-2</v>
      </c>
      <c r="Q424" s="781">
        <f t="shared" si="429"/>
        <v>1.8712585882712483E-2</v>
      </c>
      <c r="R424" s="834">
        <f t="shared" si="414"/>
        <v>5.5052585036647408E-3</v>
      </c>
      <c r="S424" s="835">
        <f t="shared" si="415"/>
        <v>2.9947666699199592E-3</v>
      </c>
      <c r="T424" s="835">
        <f t="shared" si="416"/>
        <v>2.2783901850591537E-3</v>
      </c>
      <c r="U424" s="782"/>
      <c r="V424" s="783"/>
      <c r="W424" s="784">
        <f t="shared" si="430"/>
        <v>1.9266898392991609E-2</v>
      </c>
      <c r="X424" s="781">
        <f t="shared" si="430"/>
        <v>2.4733000379810591E-2</v>
      </c>
      <c r="Y424" s="783"/>
      <c r="Z424" s="781"/>
    </row>
    <row r="425" spans="1:26" s="204" customFormat="1" x14ac:dyDescent="0.2">
      <c r="A425" s="622" t="s">
        <v>564</v>
      </c>
      <c r="B425" s="623"/>
      <c r="C425" s="782">
        <f t="shared" ref="C425:K425" si="432">C186/C$193*100</f>
        <v>4.3914692027803985E-5</v>
      </c>
      <c r="D425" s="783">
        <f t="shared" si="432"/>
        <v>0</v>
      </c>
      <c r="E425" s="783">
        <f t="shared" si="432"/>
        <v>0</v>
      </c>
      <c r="F425" s="783">
        <f t="shared" si="432"/>
        <v>0</v>
      </c>
      <c r="G425" s="781">
        <f t="shared" si="432"/>
        <v>0</v>
      </c>
      <c r="H425" s="783">
        <f t="shared" si="432"/>
        <v>4.1255250352755342E-5</v>
      </c>
      <c r="I425" s="783">
        <f t="shared" si="432"/>
        <v>3.8518771766152158E-5</v>
      </c>
      <c r="J425" s="783">
        <f t="shared" si="432"/>
        <v>3.6167721808644974E-5</v>
      </c>
      <c r="K425" s="781">
        <f t="shared" si="432"/>
        <v>3.4153925857728426E-5</v>
      </c>
      <c r="L425" s="783"/>
      <c r="M425" s="782">
        <f t="shared" si="429"/>
        <v>0</v>
      </c>
      <c r="N425" s="782">
        <f t="shared" si="429"/>
        <v>4.1204523823816795E-5</v>
      </c>
      <c r="O425" s="783">
        <f t="shared" si="429"/>
        <v>0</v>
      </c>
      <c r="P425" s="783">
        <f t="shared" si="429"/>
        <v>0</v>
      </c>
      <c r="Q425" s="781">
        <f t="shared" si="429"/>
        <v>0</v>
      </c>
      <c r="R425" s="834">
        <f t="shared" si="414"/>
        <v>3.8518771766152158E-5</v>
      </c>
      <c r="S425" s="835">
        <f t="shared" si="415"/>
        <v>3.6167721808644974E-5</v>
      </c>
      <c r="T425" s="835">
        <f t="shared" si="416"/>
        <v>3.4153925857728426E-5</v>
      </c>
      <c r="U425" s="782"/>
      <c r="V425" s="783"/>
      <c r="W425" s="784">
        <f t="shared" si="430"/>
        <v>0</v>
      </c>
      <c r="X425" s="781">
        <f t="shared" si="430"/>
        <v>3.8457886436633563E-5</v>
      </c>
      <c r="Y425" s="783"/>
      <c r="Z425" s="781"/>
    </row>
    <row r="426" spans="1:26" s="204" customFormat="1" x14ac:dyDescent="0.2">
      <c r="A426" s="622" t="s">
        <v>565</v>
      </c>
      <c r="B426" s="623"/>
      <c r="C426" s="782">
        <f t="shared" ref="C426:K426" si="433">C187/C$193*100</f>
        <v>2.4060390821666728E-3</v>
      </c>
      <c r="D426" s="783">
        <f t="shared" si="433"/>
        <v>8.2568790099001141E-4</v>
      </c>
      <c r="E426" s="783">
        <f t="shared" si="433"/>
        <v>0</v>
      </c>
      <c r="F426" s="783">
        <f t="shared" si="433"/>
        <v>0</v>
      </c>
      <c r="G426" s="781">
        <f t="shared" si="433"/>
        <v>0</v>
      </c>
      <c r="H426" s="783">
        <f t="shared" si="433"/>
        <v>2.2603311126593705E-3</v>
      </c>
      <c r="I426" s="783">
        <f t="shared" si="433"/>
        <v>2.1104023730313922E-3</v>
      </c>
      <c r="J426" s="783">
        <f t="shared" si="433"/>
        <v>1.9815908564139667E-3</v>
      </c>
      <c r="K426" s="781">
        <f t="shared" si="433"/>
        <v>1.8712571266830034E-3</v>
      </c>
      <c r="L426" s="783"/>
      <c r="M426" s="782">
        <f t="shared" si="429"/>
        <v>0</v>
      </c>
      <c r="N426" s="782">
        <f t="shared" si="429"/>
        <v>2.2575518603068427E-3</v>
      </c>
      <c r="O426" s="783">
        <f t="shared" si="429"/>
        <v>2.1658613226088652E-3</v>
      </c>
      <c r="P426" s="783">
        <f t="shared" si="429"/>
        <v>2.08950934710567E-3</v>
      </c>
      <c r="Q426" s="781">
        <f t="shared" si="429"/>
        <v>2.0227704421802713E-3</v>
      </c>
      <c r="R426" s="834">
        <f t="shared" si="414"/>
        <v>-5.5458949577473059E-5</v>
      </c>
      <c r="S426" s="835">
        <f t="shared" si="415"/>
        <v>-1.0791849069170323E-4</v>
      </c>
      <c r="T426" s="835">
        <f t="shared" si="416"/>
        <v>-1.5151331549726789E-4</v>
      </c>
      <c r="U426" s="782"/>
      <c r="V426" s="783"/>
      <c r="W426" s="784">
        <f t="shared" si="430"/>
        <v>2.1658613226088652E-3</v>
      </c>
      <c r="X426" s="781">
        <f t="shared" si="430"/>
        <v>2.1070665308430968E-3</v>
      </c>
      <c r="Y426" s="783"/>
      <c r="Z426" s="781"/>
    </row>
    <row r="427" spans="1:26" s="204" customFormat="1" x14ac:dyDescent="0.2">
      <c r="A427" s="622" t="s">
        <v>574</v>
      </c>
      <c r="B427" s="623"/>
      <c r="C427" s="782">
        <f t="shared" ref="C427:K427" si="434">C188/C$193*100</f>
        <v>9.7912026221438804E-3</v>
      </c>
      <c r="D427" s="783">
        <f t="shared" si="434"/>
        <v>0</v>
      </c>
      <c r="E427" s="783">
        <f t="shared" si="434"/>
        <v>1.5133841949254003E-3</v>
      </c>
      <c r="F427" s="783">
        <f t="shared" si="434"/>
        <v>2.4730154299990501E-3</v>
      </c>
      <c r="G427" s="781">
        <f t="shared" si="434"/>
        <v>2.5989609500617263E-3</v>
      </c>
      <c r="H427" s="783">
        <f t="shared" si="434"/>
        <v>3.0812452829080054E-3</v>
      </c>
      <c r="I427" s="783">
        <f t="shared" si="434"/>
        <v>1.5157801377068136E-3</v>
      </c>
      <c r="J427" s="783">
        <f t="shared" si="434"/>
        <v>2.4769288887291833E-3</v>
      </c>
      <c r="K427" s="781">
        <f t="shared" si="434"/>
        <v>2.6030750705521551E-3</v>
      </c>
      <c r="L427" s="783"/>
      <c r="M427" s="782">
        <f t="shared" si="429"/>
        <v>0</v>
      </c>
      <c r="N427" s="782">
        <f t="shared" si="429"/>
        <v>3.0774566529354875E-3</v>
      </c>
      <c r="O427" s="783">
        <f t="shared" si="429"/>
        <v>2.9524656570646241E-3</v>
      </c>
      <c r="P427" s="783">
        <f t="shared" si="429"/>
        <v>2.8483839307005886E-3</v>
      </c>
      <c r="Q427" s="781">
        <f t="shared" si="429"/>
        <v>2.7574065801539743E-3</v>
      </c>
      <c r="R427" s="834">
        <f t="shared" si="414"/>
        <v>-1.4366855193578105E-3</v>
      </c>
      <c r="S427" s="835">
        <f t="shared" si="415"/>
        <v>-3.7145504197140522E-4</v>
      </c>
      <c r="T427" s="835">
        <f t="shared" si="416"/>
        <v>-1.5433150960181925E-4</v>
      </c>
      <c r="U427" s="782"/>
      <c r="V427" s="783"/>
      <c r="W427" s="784">
        <f t="shared" si="430"/>
        <v>2.9524656570646241E-3</v>
      </c>
      <c r="X427" s="781">
        <f t="shared" si="430"/>
        <v>1.5133841949254003E-3</v>
      </c>
      <c r="Y427" s="783"/>
      <c r="Z427" s="781"/>
    </row>
    <row r="428" spans="1:26" x14ac:dyDescent="0.2">
      <c r="A428" s="429" t="s">
        <v>497</v>
      </c>
      <c r="B428" s="504"/>
      <c r="C428" s="786">
        <f t="shared" ref="C428:K428" si="435">C189/C$193*100</f>
        <v>0.63229670455839959</v>
      </c>
      <c r="D428" s="480">
        <f t="shared" si="435"/>
        <v>0.61999970485366496</v>
      </c>
      <c r="E428" s="480">
        <f t="shared" si="435"/>
        <v>0.81553057784878569</v>
      </c>
      <c r="F428" s="480">
        <f t="shared" si="435"/>
        <v>0.77762698398854124</v>
      </c>
      <c r="G428" s="785">
        <f t="shared" si="435"/>
        <v>0.75748926495041324</v>
      </c>
      <c r="H428" s="480">
        <f t="shared" si="435"/>
        <v>0.89110992336550732</v>
      </c>
      <c r="I428" s="480">
        <f t="shared" si="435"/>
        <v>0.87668267662113863</v>
      </c>
      <c r="J428" s="480">
        <f t="shared" si="435"/>
        <v>0.78357030675483275</v>
      </c>
      <c r="K428" s="785">
        <f t="shared" si="435"/>
        <v>0.7251578297975938</v>
      </c>
      <c r="L428" s="480"/>
      <c r="M428" s="786">
        <f t="shared" si="429"/>
        <v>0</v>
      </c>
      <c r="N428" s="786">
        <f t="shared" si="429"/>
        <v>0.89001423462459506</v>
      </c>
      <c r="O428" s="480">
        <f t="shared" si="429"/>
        <v>0.85386627932557868</v>
      </c>
      <c r="P428" s="480">
        <f t="shared" si="429"/>
        <v>0.82376537832996832</v>
      </c>
      <c r="Q428" s="785">
        <f t="shared" si="429"/>
        <v>0.7974543214584825</v>
      </c>
      <c r="R428" s="867">
        <f t="shared" si="414"/>
        <v>2.2816397295559954E-2</v>
      </c>
      <c r="S428" s="868">
        <f t="shared" si="415"/>
        <v>-4.0195071575135577E-2</v>
      </c>
      <c r="T428" s="868">
        <f t="shared" si="416"/>
        <v>-7.2296491660888695E-2</v>
      </c>
      <c r="U428" s="786"/>
      <c r="V428" s="480"/>
      <c r="W428" s="787">
        <f t="shared" si="430"/>
        <v>0.85386627932557868</v>
      </c>
      <c r="X428" s="785">
        <f t="shared" si="430"/>
        <v>0.81553057784878569</v>
      </c>
      <c r="Y428" s="480"/>
      <c r="Z428" s="785"/>
    </row>
    <row r="429" spans="1:26" x14ac:dyDescent="0.2">
      <c r="A429" s="592" t="s">
        <v>641</v>
      </c>
      <c r="B429" s="593" t="s">
        <v>642</v>
      </c>
      <c r="C429" s="789">
        <f t="shared" ref="C429:K429" si="436">C190/C$193*100</f>
        <v>-0.77696312238339715</v>
      </c>
      <c r="D429" s="790">
        <f t="shared" si="436"/>
        <v>-0.60002033967253443</v>
      </c>
      <c r="E429" s="790">
        <f t="shared" si="436"/>
        <v>-0.10000061925640029</v>
      </c>
      <c r="F429" s="790">
        <f t="shared" si="436"/>
        <v>-9.6909929640071472E-7</v>
      </c>
      <c r="G429" s="788">
        <f t="shared" si="436"/>
        <v>0.19999926788801092</v>
      </c>
      <c r="H429" s="790">
        <f t="shared" si="436"/>
        <v>-0.91906030830530994</v>
      </c>
      <c r="I429" s="790">
        <f t="shared" si="436"/>
        <v>-0.69619112472082978</v>
      </c>
      <c r="J429" s="790">
        <f t="shared" si="436"/>
        <v>-0.56411018069720364</v>
      </c>
      <c r="K429" s="788">
        <f t="shared" si="436"/>
        <v>-0.17785920837563068</v>
      </c>
      <c r="L429" s="790"/>
      <c r="M429" s="789">
        <f t="shared" si="429"/>
        <v>0.12291580821309532</v>
      </c>
      <c r="N429" s="789">
        <f t="shared" si="429"/>
        <v>-0.7950144441859508</v>
      </c>
      <c r="O429" s="790">
        <f t="shared" si="429"/>
        <v>-0.26292339453158015</v>
      </c>
      <c r="P429" s="790">
        <f t="shared" si="429"/>
        <v>0.14224414142945518</v>
      </c>
      <c r="Q429" s="788">
        <f t="shared" si="429"/>
        <v>0.37442903149489931</v>
      </c>
      <c r="R429" s="774">
        <f>R243-R315</f>
        <v>-0.43326748106081237</v>
      </c>
      <c r="S429" s="772">
        <f>S243-S315</f>
        <v>-0.70635368053830616</v>
      </c>
      <c r="T429" s="772">
        <f>T243-T315</f>
        <v>-0.55228848001675757</v>
      </c>
      <c r="U429" s="789"/>
      <c r="V429" s="790"/>
      <c r="W429" s="791">
        <f t="shared" si="430"/>
        <v>-0.26292339453158015</v>
      </c>
      <c r="X429" s="788">
        <f t="shared" si="430"/>
        <v>-0.10000040496272344</v>
      </c>
      <c r="Y429" s="790"/>
      <c r="Z429" s="788"/>
    </row>
    <row r="430" spans="1:26" x14ac:dyDescent="0.2">
      <c r="A430" s="661" t="s">
        <v>39</v>
      </c>
      <c r="B430" s="662"/>
      <c r="C430" s="793"/>
      <c r="D430" s="794"/>
      <c r="E430" s="794"/>
      <c r="F430" s="794"/>
      <c r="G430" s="792"/>
      <c r="H430" s="794"/>
      <c r="I430" s="794"/>
      <c r="J430" s="794"/>
      <c r="K430" s="792"/>
      <c r="L430" s="794"/>
      <c r="M430" s="793"/>
      <c r="N430" s="793"/>
      <c r="O430" s="794"/>
      <c r="P430" s="794"/>
      <c r="Q430" s="792"/>
      <c r="R430" s="794"/>
      <c r="S430" s="794"/>
      <c r="T430" s="792"/>
      <c r="U430" s="793"/>
      <c r="V430" s="794"/>
      <c r="W430" s="795"/>
      <c r="X430" s="792"/>
      <c r="Y430" s="794"/>
      <c r="Z430" s="792"/>
    </row>
    <row r="431" spans="1:26" x14ac:dyDescent="0.2">
      <c r="A431" s="668" t="s">
        <v>643</v>
      </c>
      <c r="B431" s="669"/>
      <c r="C431" s="797">
        <f t="shared" ref="C431:K431" si="437">C192/C$193*100</f>
        <v>0.61300488195324665</v>
      </c>
      <c r="D431" s="798">
        <f t="shared" si="437"/>
        <v>0.64821652023576015</v>
      </c>
      <c r="E431" s="798">
        <f t="shared" si="437"/>
        <v>1.0608883852270161</v>
      </c>
      <c r="F431" s="798">
        <f t="shared" si="437"/>
        <v>1.0610309665990267</v>
      </c>
      <c r="G431" s="796">
        <f t="shared" si="437"/>
        <v>1.2173924184312837</v>
      </c>
      <c r="H431" s="798">
        <f t="shared" si="437"/>
        <v>0.42326092986833436</v>
      </c>
      <c r="I431" s="798">
        <f t="shared" si="437"/>
        <v>0.54256129585457835</v>
      </c>
      <c r="J431" s="798">
        <f t="shared" si="437"/>
        <v>0.57485005896138208</v>
      </c>
      <c r="K431" s="796">
        <f t="shared" si="437"/>
        <v>0.91364854349201097</v>
      </c>
      <c r="L431" s="798"/>
      <c r="M431" s="797">
        <f>M192/M$193*100</f>
        <v>0.12291580821309532</v>
      </c>
      <c r="N431" s="797">
        <f>N192/N$193*100</f>
        <v>0.5456563059516053</v>
      </c>
      <c r="O431" s="798">
        <f>O192/O$193*100</f>
        <v>0.98183096134330083</v>
      </c>
      <c r="P431" s="798">
        <f>P192/P$193*100</f>
        <v>1.2731724747562545</v>
      </c>
      <c r="Q431" s="796">
        <f>Q192/Q$193*100</f>
        <v>1.4482955619147624</v>
      </c>
      <c r="R431" s="798"/>
      <c r="S431" s="798"/>
      <c r="T431" s="796"/>
      <c r="U431" s="797"/>
      <c r="V431" s="798"/>
      <c r="W431" s="799">
        <f>W192/W$193*100</f>
        <v>0.98183096134330083</v>
      </c>
      <c r="X431" s="796">
        <f>X192/X$193*100</f>
        <v>1.1425036183584911</v>
      </c>
      <c r="Y431" s="798"/>
      <c r="Z431" s="796"/>
    </row>
    <row r="433" spans="1:21" x14ac:dyDescent="0.2">
      <c r="L433" s="213"/>
    </row>
    <row r="434" spans="1:21" ht="12.75" customHeight="1" x14ac:dyDescent="0.2">
      <c r="A434" s="207"/>
      <c r="B434" s="207"/>
      <c r="C434" s="1649" t="str">
        <f>C2</f>
        <v>2017S</v>
      </c>
      <c r="D434" s="1621" t="str">
        <f>D2</f>
        <v>2018 OS</v>
      </c>
      <c r="E434" s="1621" t="str">
        <f>E2</f>
        <v>2019 N</v>
      </c>
      <c r="F434" s="1621" t="str">
        <f>F2</f>
        <v>2020 N</v>
      </c>
      <c r="G434" s="1622" t="str">
        <f>G2</f>
        <v>2021 N</v>
      </c>
      <c r="H434" s="1621" t="s">
        <v>166</v>
      </c>
      <c r="I434" s="1621" t="s">
        <v>167</v>
      </c>
      <c r="J434" s="1621" t="s">
        <v>168</v>
      </c>
      <c r="K434" s="1622" t="s">
        <v>169</v>
      </c>
      <c r="M434" s="589" t="str">
        <f>M2</f>
        <v>2018 úpravy</v>
      </c>
      <c r="N434" s="1632" t="str">
        <f>N2</f>
        <v>2018 OS báza</v>
      </c>
      <c r="O434" s="1628" t="str">
        <f>O2</f>
        <v>2019 NPC</v>
      </c>
      <c r="P434" s="1621" t="str">
        <f>P2</f>
        <v>2020 NPC</v>
      </c>
      <c r="Q434" s="1622" t="str">
        <f>Q2</f>
        <v>2021 NPC</v>
      </c>
      <c r="U434" s="210"/>
    </row>
    <row r="435" spans="1:21" x14ac:dyDescent="0.2">
      <c r="A435" s="207"/>
      <c r="B435" s="207"/>
      <c r="C435" s="1650"/>
      <c r="D435" s="1643"/>
      <c r="E435" s="1643"/>
      <c r="F435" s="1643"/>
      <c r="G435" s="1644"/>
      <c r="H435" s="1621"/>
      <c r="I435" s="1621"/>
      <c r="J435" s="1621"/>
      <c r="K435" s="1622"/>
      <c r="M435" s="859" t="s">
        <v>539</v>
      </c>
      <c r="N435" s="1632"/>
      <c r="O435" s="1642"/>
      <c r="P435" s="1643"/>
      <c r="Q435" s="1644"/>
      <c r="U435" s="858"/>
    </row>
    <row r="436" spans="1:21" x14ac:dyDescent="0.2">
      <c r="A436" s="751" t="s">
        <v>656</v>
      </c>
      <c r="B436" s="752"/>
      <c r="C436" s="800">
        <f>C220/C$193*100</f>
        <v>0.74461575931439428</v>
      </c>
      <c r="D436" s="801">
        <f t="shared" ref="D436:G436" si="438">D220/D$193*100</f>
        <v>0.74174032428512682</v>
      </c>
      <c r="E436" s="802">
        <f t="shared" si="438"/>
        <v>0.30784799319643641</v>
      </c>
      <c r="F436" s="802">
        <f t="shared" si="438"/>
        <v>1.2304826744427193</v>
      </c>
      <c r="G436" s="803">
        <f t="shared" si="438"/>
        <v>1.1425653231496558</v>
      </c>
      <c r="H436" s="801">
        <f t="shared" ref="H436:K436" si="439">H220/H$193*100</f>
        <v>0.98789144003435625</v>
      </c>
      <c r="I436" s="802">
        <f t="shared" si="439"/>
        <v>1.1244516421913513</v>
      </c>
      <c r="J436" s="802">
        <f t="shared" si="439"/>
        <v>1.0099275979520814</v>
      </c>
      <c r="K436" s="803">
        <f t="shared" si="439"/>
        <v>1.0007239308193241</v>
      </c>
      <c r="L436" s="197"/>
      <c r="M436" s="751"/>
      <c r="N436" s="800">
        <f t="shared" ref="N436:Q438" si="440">N220/N$193*100</f>
        <v>0.98667675091496998</v>
      </c>
      <c r="O436" s="801">
        <f t="shared" si="440"/>
        <v>1.1269123285431801</v>
      </c>
      <c r="P436" s="802">
        <f t="shared" si="440"/>
        <v>1.0148799451245099</v>
      </c>
      <c r="Q436" s="803">
        <f t="shared" si="440"/>
        <v>1.0051965611401517</v>
      </c>
      <c r="U436" s="210"/>
    </row>
    <row r="437" spans="1:21" x14ac:dyDescent="0.2">
      <c r="A437" s="715" t="s">
        <v>645</v>
      </c>
      <c r="B437" s="744"/>
      <c r="C437" s="804">
        <f>C221/C$193*100</f>
        <v>0.11021692787469345</v>
      </c>
      <c r="D437" s="730">
        <f t="shared" ref="D437:G438" si="441">D221/D$193*100</f>
        <v>0.11395301535645277</v>
      </c>
      <c r="E437" s="731">
        <f t="shared" si="441"/>
        <v>2.162856175637628E-3</v>
      </c>
      <c r="F437" s="731">
        <f t="shared" si="441"/>
        <v>3.8336652498434903E-2</v>
      </c>
      <c r="G437" s="732">
        <f t="shared" si="441"/>
        <v>3.8529161393172508E-2</v>
      </c>
      <c r="H437" s="730">
        <f t="shared" ref="H437:K437" si="442">H221/H$193*100</f>
        <v>0.16959247137601044</v>
      </c>
      <c r="I437" s="731">
        <f t="shared" si="442"/>
        <v>0.16758907751477825</v>
      </c>
      <c r="J437" s="731">
        <f t="shared" si="442"/>
        <v>0.16658949866301906</v>
      </c>
      <c r="K437" s="732">
        <f t="shared" si="442"/>
        <v>0.16595654973928187</v>
      </c>
      <c r="M437" s="715"/>
      <c r="N437" s="804">
        <f t="shared" si="440"/>
        <v>0.16938394428349601</v>
      </c>
      <c r="O437" s="730">
        <f t="shared" si="440"/>
        <v>0.1679558199697517</v>
      </c>
      <c r="P437" s="731">
        <f t="shared" si="440"/>
        <v>0.16740639784899339</v>
      </c>
      <c r="Q437" s="732">
        <f t="shared" si="440"/>
        <v>0.1666982750777537</v>
      </c>
      <c r="U437" s="210"/>
    </row>
    <row r="438" spans="1:21" x14ac:dyDescent="0.2">
      <c r="A438" s="715" t="s">
        <v>114</v>
      </c>
      <c r="B438" s="744"/>
      <c r="C438" s="804">
        <f>C222/C$193*100</f>
        <v>0.11529156908127189</v>
      </c>
      <c r="D438" s="730">
        <f t="shared" si="441"/>
        <v>0.10017509805048659</v>
      </c>
      <c r="E438" s="731">
        <f t="shared" si="441"/>
        <v>0.19383437265198619</v>
      </c>
      <c r="F438" s="731">
        <f t="shared" si="441"/>
        <v>0.52691884533756628</v>
      </c>
      <c r="G438" s="732">
        <f t="shared" si="441"/>
        <v>0.44832069474682196</v>
      </c>
      <c r="H438" s="730">
        <f t="shared" ref="H438:K438" si="443">H222/H$193*100</f>
        <v>9.2960414731562926E-2</v>
      </c>
      <c r="I438" s="731">
        <f t="shared" si="443"/>
        <v>8.8880663578537966E-2</v>
      </c>
      <c r="J438" s="731">
        <f t="shared" si="443"/>
        <v>8.5515704414043409E-2</v>
      </c>
      <c r="K438" s="732">
        <f t="shared" si="443"/>
        <v>8.2820124634223918E-2</v>
      </c>
      <c r="M438" s="715"/>
      <c r="N438" s="804">
        <f t="shared" si="440"/>
        <v>9.2846112694181041E-2</v>
      </c>
      <c r="O438" s="730">
        <f t="shared" si="440"/>
        <v>8.9075164993808228E-2</v>
      </c>
      <c r="P438" s="731">
        <f t="shared" si="440"/>
        <v>8.5935044827962062E-2</v>
      </c>
      <c r="Q438" s="732">
        <f t="shared" si="440"/>
        <v>8.3190280467621919E-2</v>
      </c>
    </row>
    <row r="439" spans="1:21" x14ac:dyDescent="0.2">
      <c r="A439" s="715" t="s">
        <v>663</v>
      </c>
      <c r="B439" s="744"/>
      <c r="C439" s="804">
        <f>C224/C$193*100</f>
        <v>9.9014572318960437E-5</v>
      </c>
      <c r="D439" s="730">
        <f t="shared" ref="D439:G440" si="444">D224/D$193*100</f>
        <v>6.94201866828205E-4</v>
      </c>
      <c r="E439" s="731">
        <f t="shared" si="444"/>
        <v>8.7228222816708362E-2</v>
      </c>
      <c r="F439" s="731">
        <f t="shared" si="444"/>
        <v>0.37174990163642108</v>
      </c>
      <c r="G439" s="732">
        <f t="shared" si="444"/>
        <v>0.38058314550085154</v>
      </c>
      <c r="H439" s="730">
        <f t="shared" ref="H439:K439" si="445">H224/H$193*100</f>
        <v>3.2432589914287241E-2</v>
      </c>
      <c r="I439" s="731">
        <f t="shared" si="445"/>
        <v>0</v>
      </c>
      <c r="J439" s="731">
        <f t="shared" si="445"/>
        <v>0</v>
      </c>
      <c r="K439" s="732">
        <f t="shared" si="445"/>
        <v>0</v>
      </c>
      <c r="M439" s="715"/>
      <c r="N439" s="804">
        <f t="shared" ref="N439:Q440" si="446">N224/N$193*100</f>
        <v>3.2392711530402234E-2</v>
      </c>
      <c r="O439" s="730">
        <f t="shared" si="446"/>
        <v>0</v>
      </c>
      <c r="P439" s="731">
        <f t="shared" si="446"/>
        <v>0</v>
      </c>
      <c r="Q439" s="732">
        <f t="shared" si="446"/>
        <v>0</v>
      </c>
    </row>
    <row r="440" spans="1:21" x14ac:dyDescent="0.2">
      <c r="A440" s="715" t="s">
        <v>657</v>
      </c>
      <c r="B440" s="744"/>
      <c r="C440" s="804">
        <f>C225/C$193*100</f>
        <v>0.51900824778610988</v>
      </c>
      <c r="D440" s="730">
        <f t="shared" si="444"/>
        <v>0.52625475882012207</v>
      </c>
      <c r="E440" s="731">
        <f t="shared" si="444"/>
        <v>2.3384028758267075E-2</v>
      </c>
      <c r="F440" s="731">
        <f t="shared" si="444"/>
        <v>0.29091303822321457</v>
      </c>
      <c r="G440" s="732">
        <f t="shared" si="444"/>
        <v>0.27299444468848177</v>
      </c>
      <c r="H440" s="730">
        <f t="shared" ref="H440:K440" si="447">H225/H$193*100</f>
        <v>0.68284271598711721</v>
      </c>
      <c r="I440" s="731">
        <f t="shared" si="447"/>
        <v>0.86674142752926842</v>
      </c>
      <c r="J440" s="731">
        <f t="shared" si="447"/>
        <v>0.75525410031472506</v>
      </c>
      <c r="K440" s="732">
        <f t="shared" si="447"/>
        <v>0.74980599539502235</v>
      </c>
      <c r="M440" s="715"/>
      <c r="N440" s="804">
        <f t="shared" si="446"/>
        <v>0.68200310792519003</v>
      </c>
      <c r="O440" s="730">
        <f t="shared" si="446"/>
        <v>0.86863815542868217</v>
      </c>
      <c r="P440" s="731">
        <f t="shared" si="446"/>
        <v>0.75895761382969684</v>
      </c>
      <c r="Q440" s="732">
        <f t="shared" si="446"/>
        <v>0.75315717440299945</v>
      </c>
    </row>
    <row r="441" spans="1:21" x14ac:dyDescent="0.2">
      <c r="A441" s="715"/>
      <c r="B441" s="744"/>
      <c r="C441" s="804"/>
      <c r="D441" s="730"/>
      <c r="E441" s="731"/>
      <c r="F441" s="731"/>
      <c r="G441" s="732"/>
      <c r="H441" s="730"/>
      <c r="I441" s="731"/>
      <c r="J441" s="731"/>
      <c r="K441" s="732"/>
      <c r="M441" s="715"/>
      <c r="N441" s="804"/>
      <c r="O441" s="730"/>
      <c r="P441" s="731"/>
      <c r="Q441" s="732"/>
    </row>
    <row r="442" spans="1:21" x14ac:dyDescent="0.2">
      <c r="A442" s="733" t="s">
        <v>658</v>
      </c>
      <c r="B442" s="759"/>
      <c r="C442" s="805">
        <f>C227/C$193*100</f>
        <v>0.9431948979099497</v>
      </c>
      <c r="D442" s="739">
        <f t="shared" ref="D442:G444" si="448">D227/D$193*100</f>
        <v>-0.74174032428512682</v>
      </c>
      <c r="E442" s="740">
        <f t="shared" si="448"/>
        <v>-0.30784799319643641</v>
      </c>
      <c r="F442" s="740">
        <f t="shared" si="448"/>
        <v>-1.2304826744427193</v>
      </c>
      <c r="G442" s="741">
        <f t="shared" si="448"/>
        <v>-1.1425653231496558</v>
      </c>
      <c r="H442" s="739">
        <f t="shared" ref="H442:K442" si="449">H227/H$193*100</f>
        <v>1.1027840232088255</v>
      </c>
      <c r="I442" s="740">
        <f t="shared" si="449"/>
        <v>1.3084473429982253</v>
      </c>
      <c r="J442" s="740">
        <f t="shared" si="449"/>
        <v>1.4901408738134916</v>
      </c>
      <c r="K442" s="741">
        <f t="shared" si="449"/>
        <v>1.4255050703574383</v>
      </c>
      <c r="L442" s="197"/>
      <c r="M442" s="733"/>
      <c r="N442" s="805">
        <f t="shared" ref="N442:Q444" si="450">N227/N$193*100</f>
        <v>1.1014280647504973</v>
      </c>
      <c r="O442" s="739">
        <f t="shared" si="450"/>
        <v>1.3113106751311463</v>
      </c>
      <c r="P442" s="740">
        <f t="shared" si="450"/>
        <v>1.4974480262845344</v>
      </c>
      <c r="Q442" s="741">
        <f t="shared" si="450"/>
        <v>1.4318762152894418</v>
      </c>
    </row>
    <row r="443" spans="1:21" x14ac:dyDescent="0.2">
      <c r="A443" s="715" t="s">
        <v>659</v>
      </c>
      <c r="B443" s="744"/>
      <c r="C443" s="804">
        <f>C228/C$193*100</f>
        <v>0.56821349229708584</v>
      </c>
      <c r="D443" s="730">
        <f t="shared" si="448"/>
        <v>-0.74174032428512682</v>
      </c>
      <c r="E443" s="731">
        <f t="shared" si="448"/>
        <v>-0.30784799319643641</v>
      </c>
      <c r="F443" s="731">
        <f t="shared" si="448"/>
        <v>-1.2304826744427193</v>
      </c>
      <c r="G443" s="732">
        <f t="shared" si="448"/>
        <v>-1.1425653231496558</v>
      </c>
      <c r="H443" s="730">
        <f t="shared" ref="H443:K443" si="451">H228/H$193*100</f>
        <v>0.5867984189512192</v>
      </c>
      <c r="I443" s="731">
        <f t="shared" si="451"/>
        <v>0.57986657615908743</v>
      </c>
      <c r="J443" s="731">
        <f t="shared" si="451"/>
        <v>0.57640798342162503</v>
      </c>
      <c r="K443" s="732">
        <f t="shared" si="451"/>
        <v>0.57421794854146568</v>
      </c>
      <c r="M443" s="715"/>
      <c r="N443" s="804">
        <f t="shared" si="450"/>
        <v>0.58607690479906882</v>
      </c>
      <c r="O443" s="730">
        <f t="shared" si="450"/>
        <v>0.5811355233652612</v>
      </c>
      <c r="P443" s="731">
        <f t="shared" si="450"/>
        <v>0.5792344953940195</v>
      </c>
      <c r="Q443" s="732">
        <f t="shared" si="450"/>
        <v>0.5767843552479659</v>
      </c>
    </row>
    <row r="444" spans="1:21" x14ac:dyDescent="0.2">
      <c r="A444" s="715" t="s">
        <v>53</v>
      </c>
      <c r="B444" s="744"/>
      <c r="C444" s="804">
        <f>C229/C$193*100</f>
        <v>0.37498140561286386</v>
      </c>
      <c r="D444" s="730">
        <f t="shared" si="448"/>
        <v>0</v>
      </c>
      <c r="E444" s="731">
        <f t="shared" si="448"/>
        <v>0</v>
      </c>
      <c r="F444" s="731">
        <f t="shared" si="448"/>
        <v>0</v>
      </c>
      <c r="G444" s="732">
        <f t="shared" si="448"/>
        <v>0</v>
      </c>
      <c r="H444" s="730">
        <f t="shared" ref="H444:K444" si="452">H229/H$193*100</f>
        <v>0.51598560425760631</v>
      </c>
      <c r="I444" s="731">
        <f t="shared" si="452"/>
        <v>0.72858076683913797</v>
      </c>
      <c r="J444" s="731">
        <f t="shared" si="452"/>
        <v>0.91373289039186656</v>
      </c>
      <c r="K444" s="732">
        <f t="shared" si="452"/>
        <v>0.85128712181597266</v>
      </c>
      <c r="M444" s="715"/>
      <c r="N444" s="804">
        <f t="shared" si="450"/>
        <v>0.51535115995142844</v>
      </c>
      <c r="O444" s="730">
        <f t="shared" si="450"/>
        <v>0.7301751517658851</v>
      </c>
      <c r="P444" s="731">
        <f t="shared" si="450"/>
        <v>0.91821353089051505</v>
      </c>
      <c r="Q444" s="732">
        <f t="shared" si="450"/>
        <v>0.85509186004147586</v>
      </c>
    </row>
    <row r="445" spans="1:21" x14ac:dyDescent="0.2">
      <c r="A445" s="715"/>
      <c r="B445" s="744"/>
      <c r="C445" s="804"/>
      <c r="D445" s="730"/>
      <c r="E445" s="731"/>
      <c r="F445" s="731"/>
      <c r="G445" s="732"/>
      <c r="H445" s="730"/>
      <c r="I445" s="731"/>
      <c r="J445" s="731"/>
      <c r="K445" s="732"/>
      <c r="M445" s="715"/>
      <c r="N445" s="804"/>
      <c r="O445" s="730"/>
      <c r="P445" s="731"/>
      <c r="Q445" s="732"/>
    </row>
    <row r="446" spans="1:21" x14ac:dyDescent="0.2">
      <c r="A446" s="733" t="s">
        <v>660</v>
      </c>
      <c r="B446" s="759"/>
      <c r="C446" s="805">
        <f t="shared" ref="C446:C453" si="453">C231/C$193*100</f>
        <v>0.26756825156568215</v>
      </c>
      <c r="D446" s="739">
        <f t="shared" ref="D446:G453" si="454">D231/D$193*100</f>
        <v>0.24387377906693966</v>
      </c>
      <c r="E446" s="740">
        <f t="shared" si="454"/>
        <v>0.24264263022962029</v>
      </c>
      <c r="F446" s="740">
        <f t="shared" si="454"/>
        <v>0.44881261011390794</v>
      </c>
      <c r="G446" s="741">
        <f t="shared" si="454"/>
        <v>0.32858948925122333</v>
      </c>
      <c r="H446" s="739">
        <f t="shared" ref="H446:K446" si="455">H231/H$193*100</f>
        <v>0.34606982701621158</v>
      </c>
      <c r="I446" s="740">
        <f t="shared" si="455"/>
        <v>0.45565671786691819</v>
      </c>
      <c r="J446" s="740">
        <f t="shared" si="455"/>
        <v>0.46312766656535931</v>
      </c>
      <c r="K446" s="741">
        <f t="shared" si="455"/>
        <v>0.46742890224498301</v>
      </c>
      <c r="L446" s="197"/>
      <c r="M446" s="733"/>
      <c r="N446" s="805">
        <f t="shared" ref="N446:Q453" si="456">N231/N$193*100</f>
        <v>0.34564430733217638</v>
      </c>
      <c r="O446" s="739">
        <f t="shared" si="456"/>
        <v>0.45665385124705099</v>
      </c>
      <c r="P446" s="740">
        <f t="shared" si="456"/>
        <v>0.4653986897502283</v>
      </c>
      <c r="Q446" s="741">
        <f t="shared" si="456"/>
        <v>0.46951802654452918</v>
      </c>
    </row>
    <row r="447" spans="1:21" x14ac:dyDescent="0.2">
      <c r="A447" s="715" t="s">
        <v>645</v>
      </c>
      <c r="B447" s="744"/>
      <c r="C447" s="804">
        <f t="shared" si="453"/>
        <v>3.4014383784601442E-2</v>
      </c>
      <c r="D447" s="730">
        <f t="shared" si="454"/>
        <v>2.18563046352345E-2</v>
      </c>
      <c r="E447" s="731">
        <f t="shared" si="454"/>
        <v>0</v>
      </c>
      <c r="F447" s="731">
        <f t="shared" si="454"/>
        <v>4.7364728274247349E-3</v>
      </c>
      <c r="G447" s="732">
        <f t="shared" si="454"/>
        <v>4.6269477610642717E-3</v>
      </c>
      <c r="H447" s="730">
        <f t="shared" ref="H447:K447" si="457">H232/H$193*100</f>
        <v>3.36052705031432E-2</v>
      </c>
      <c r="I447" s="731">
        <f t="shared" si="457"/>
        <v>3.3208291839616474E-2</v>
      </c>
      <c r="J447" s="731">
        <f t="shared" si="457"/>
        <v>3.3010222211701717E-2</v>
      </c>
      <c r="K447" s="732">
        <f t="shared" si="457"/>
        <v>3.2884801433147801E-2</v>
      </c>
      <c r="M447" s="715"/>
      <c r="N447" s="804">
        <f t="shared" si="456"/>
        <v>3.3563950217553137E-2</v>
      </c>
      <c r="O447" s="730">
        <f t="shared" si="456"/>
        <v>3.3280962986539285E-2</v>
      </c>
      <c r="P447" s="731">
        <f t="shared" si="456"/>
        <v>3.3172093301236105E-2</v>
      </c>
      <c r="Q447" s="732">
        <f t="shared" si="456"/>
        <v>3.3031776593283997E-2</v>
      </c>
    </row>
    <row r="448" spans="1:21" x14ac:dyDescent="0.2">
      <c r="A448" s="715" t="s">
        <v>114</v>
      </c>
      <c r="B448" s="744"/>
      <c r="C448" s="804">
        <f t="shared" si="453"/>
        <v>2.8811148474736276E-2</v>
      </c>
      <c r="D448" s="730">
        <f t="shared" si="454"/>
        <v>3.0445394611755442E-2</v>
      </c>
      <c r="E448" s="731">
        <f t="shared" si="454"/>
        <v>4.6378502018775858E-2</v>
      </c>
      <c r="F448" s="731">
        <f t="shared" si="454"/>
        <v>9.7623182502718328E-2</v>
      </c>
      <c r="G448" s="732">
        <f t="shared" si="454"/>
        <v>8.1411738171129344E-2</v>
      </c>
      <c r="H448" s="730">
        <f t="shared" ref="H448:K448" si="458">H233/H$193*100</f>
        <v>3.8686208886935192E-2</v>
      </c>
      <c r="I448" s="731">
        <f t="shared" si="458"/>
        <v>1.5684822984447875E-2</v>
      </c>
      <c r="J448" s="731">
        <f t="shared" si="458"/>
        <v>1.5091006661301776E-2</v>
      </c>
      <c r="K448" s="732">
        <f t="shared" si="458"/>
        <v>1.4615316111921869E-2</v>
      </c>
      <c r="M448" s="715"/>
      <c r="N448" s="804">
        <f t="shared" si="456"/>
        <v>3.8638641193663517E-2</v>
      </c>
      <c r="O448" s="730">
        <f t="shared" si="456"/>
        <v>1.5719146763613214E-2</v>
      </c>
      <c r="P448" s="731">
        <f t="shared" si="456"/>
        <v>1.5165007910816835E-2</v>
      </c>
      <c r="Q448" s="732">
        <f t="shared" si="456"/>
        <v>1.468063772958034E-2</v>
      </c>
    </row>
    <row r="449" spans="1:17" x14ac:dyDescent="0.2">
      <c r="A449" s="715" t="s">
        <v>115</v>
      </c>
      <c r="B449" s="744"/>
      <c r="C449" s="804">
        <f t="shared" si="453"/>
        <v>2.5712070426051239E-2</v>
      </c>
      <c r="D449" s="730">
        <f t="shared" si="454"/>
        <v>2.7500563762662546E-2</v>
      </c>
      <c r="E449" s="731">
        <f t="shared" si="454"/>
        <v>1.0299463104703872E-2</v>
      </c>
      <c r="F449" s="731">
        <f t="shared" si="454"/>
        <v>2.5879792922861633E-2</v>
      </c>
      <c r="G449" s="732">
        <f t="shared" si="454"/>
        <v>2.4604966098639276E-2</v>
      </c>
      <c r="H449" s="730">
        <f t="shared" ref="H449:K449" si="459">H234/H$193*100</f>
        <v>2.4879168252287951E-2</v>
      </c>
      <c r="I449" s="731">
        <f t="shared" si="459"/>
        <v>2.4585270931582668E-2</v>
      </c>
      <c r="J449" s="731">
        <f t="shared" si="459"/>
        <v>2.4438632992807609E-2</v>
      </c>
      <c r="K449" s="732">
        <f t="shared" si="459"/>
        <v>2.4345779562221951E-2</v>
      </c>
      <c r="M449" s="715"/>
      <c r="N449" s="804">
        <f t="shared" si="456"/>
        <v>2.4848577385973347E-2</v>
      </c>
      <c r="O449" s="730">
        <f t="shared" si="456"/>
        <v>2.4639071947444462E-2</v>
      </c>
      <c r="P449" s="731">
        <f t="shared" si="456"/>
        <v>2.4558471875560556E-2</v>
      </c>
      <c r="Q449" s="732">
        <f t="shared" si="456"/>
        <v>2.4454590462511933E-2</v>
      </c>
    </row>
    <row r="450" spans="1:17" x14ac:dyDescent="0.2">
      <c r="A450" s="715" t="s">
        <v>661</v>
      </c>
      <c r="B450" s="744"/>
      <c r="C450" s="804">
        <f t="shared" si="453"/>
        <v>5.6554813483712607E-2</v>
      </c>
      <c r="D450" s="730">
        <f t="shared" si="454"/>
        <v>6.1424705627456784E-2</v>
      </c>
      <c r="E450" s="731">
        <f t="shared" si="454"/>
        <v>0.10906086774334714</v>
      </c>
      <c r="F450" s="731">
        <f t="shared" si="454"/>
        <v>0.10921353909249663</v>
      </c>
      <c r="G450" s="732">
        <f t="shared" si="454"/>
        <v>4.563725315242846E-3</v>
      </c>
      <c r="H450" s="730">
        <f t="shared" ref="H450:K450" si="460">H235/H$193*100</f>
        <v>6.5036930124729997E-2</v>
      </c>
      <c r="I450" s="731">
        <f t="shared" si="460"/>
        <v>8.7503753308320012E-2</v>
      </c>
      <c r="J450" s="731">
        <f t="shared" si="460"/>
        <v>8.6239306267916968E-2</v>
      </c>
      <c r="K450" s="732">
        <f t="shared" si="460"/>
        <v>0.11731213768806154</v>
      </c>
      <c r="M450" s="715"/>
      <c r="N450" s="804">
        <f t="shared" si="456"/>
        <v>6.4956962176654587E-2</v>
      </c>
      <c r="O450" s="730">
        <f t="shared" si="456"/>
        <v>8.7695241571061081E-2</v>
      </c>
      <c r="P450" s="731">
        <f t="shared" si="456"/>
        <v>8.6662194983320062E-2</v>
      </c>
      <c r="Q450" s="732">
        <f t="shared" si="456"/>
        <v>0.11783645194483677</v>
      </c>
    </row>
    <row r="451" spans="1:17" x14ac:dyDescent="0.2">
      <c r="A451" s="715" t="s">
        <v>657</v>
      </c>
      <c r="B451" s="744"/>
      <c r="C451" s="804">
        <f t="shared" si="453"/>
        <v>9.2578507055566681E-2</v>
      </c>
      <c r="D451" s="730">
        <f t="shared" si="454"/>
        <v>8.5991492710880399E-2</v>
      </c>
      <c r="E451" s="731">
        <f t="shared" si="454"/>
        <v>5.2203313021723513E-3</v>
      </c>
      <c r="F451" s="731">
        <f t="shared" si="454"/>
        <v>4.6164820241770883E-2</v>
      </c>
      <c r="G451" s="732">
        <f t="shared" si="454"/>
        <v>4.8664397815011771E-2</v>
      </c>
      <c r="H451" s="730">
        <f t="shared" ref="H451:K451" si="461">H236/H$193*100</f>
        <v>0.12673555524446911</v>
      </c>
      <c r="I451" s="731">
        <f t="shared" si="461"/>
        <v>0.16086714187543305</v>
      </c>
      <c r="J451" s="731">
        <f t="shared" si="461"/>
        <v>0.14017510257201674</v>
      </c>
      <c r="K451" s="732">
        <f t="shared" si="461"/>
        <v>0.13458099152669517</v>
      </c>
      <c r="M451" s="715"/>
      <c r="N451" s="804">
        <f t="shared" si="456"/>
        <v>0.12657972405314966</v>
      </c>
      <c r="O451" s="730">
        <f t="shared" si="456"/>
        <v>0.16121917442678327</v>
      </c>
      <c r="P451" s="731">
        <f t="shared" si="456"/>
        <v>0.14086247439379393</v>
      </c>
      <c r="Q451" s="732">
        <f t="shared" si="456"/>
        <v>0.13518248710881492</v>
      </c>
    </row>
    <row r="452" spans="1:17" x14ac:dyDescent="0.2">
      <c r="A452" s="715" t="s">
        <v>662</v>
      </c>
      <c r="B452" s="744"/>
      <c r="C452" s="804">
        <f t="shared" si="453"/>
        <v>2.9879855179806396E-2</v>
      </c>
      <c r="D452" s="730">
        <f t="shared" si="454"/>
        <v>1.64795564182721E-2</v>
      </c>
      <c r="E452" s="731">
        <f t="shared" si="454"/>
        <v>4.8992498740845325E-2</v>
      </c>
      <c r="F452" s="731">
        <f t="shared" si="454"/>
        <v>5.9353038029394713E-2</v>
      </c>
      <c r="G452" s="732">
        <f t="shared" si="454"/>
        <v>5.7778009003147168E-2</v>
      </c>
      <c r="H452" s="730">
        <f t="shared" ref="H452:K452" si="462">H237/H$193*100</f>
        <v>3.9831215395020846E-2</v>
      </c>
      <c r="I452" s="731">
        <f t="shared" si="462"/>
        <v>0.12857307650102434</v>
      </c>
      <c r="J452" s="731">
        <f t="shared" si="462"/>
        <v>0.16124698065738824</v>
      </c>
      <c r="K452" s="732">
        <f t="shared" si="462"/>
        <v>0.14106125275632719</v>
      </c>
      <c r="M452" s="715"/>
      <c r="N452" s="804">
        <f t="shared" si="456"/>
        <v>3.9782239827472067E-2</v>
      </c>
      <c r="O452" s="730">
        <f t="shared" si="456"/>
        <v>0.12885443854692091</v>
      </c>
      <c r="P452" s="731">
        <f t="shared" si="456"/>
        <v>0.16203768192185564</v>
      </c>
      <c r="Q452" s="732">
        <f t="shared" si="456"/>
        <v>0.14169171118421281</v>
      </c>
    </row>
    <row r="453" spans="1:17" x14ac:dyDescent="0.2">
      <c r="A453" s="720" t="s">
        <v>663</v>
      </c>
      <c r="B453" s="749"/>
      <c r="C453" s="806">
        <f t="shared" si="453"/>
        <v>1.7473161207508602E-5</v>
      </c>
      <c r="D453" s="726">
        <f t="shared" si="454"/>
        <v>1.7576130067784167E-4</v>
      </c>
      <c r="E453" s="807">
        <f t="shared" si="454"/>
        <v>2.269096731977575E-2</v>
      </c>
      <c r="F453" s="807">
        <f t="shared" si="454"/>
        <v>0.10584176449724095</v>
      </c>
      <c r="G453" s="808">
        <f t="shared" si="454"/>
        <v>0.10693970508698863</v>
      </c>
      <c r="H453" s="726">
        <f t="shared" ref="H453:K453" si="463">H238/H$193*100</f>
        <v>1.7295328595058408E-2</v>
      </c>
      <c r="I453" s="807">
        <f t="shared" si="463"/>
        <v>5.2340220250308052E-3</v>
      </c>
      <c r="J453" s="807">
        <f t="shared" si="463"/>
        <v>2.9266996759738473E-3</v>
      </c>
      <c r="K453" s="808">
        <f t="shared" si="463"/>
        <v>2.6271711757707207E-3</v>
      </c>
      <c r="M453" s="720"/>
      <c r="N453" s="806">
        <f t="shared" si="456"/>
        <v>1.7274062647597729E-2</v>
      </c>
      <c r="O453" s="726">
        <f t="shared" si="456"/>
        <v>5.2454758626872336E-3</v>
      </c>
      <c r="P453" s="807">
        <f t="shared" si="456"/>
        <v>2.941051232356945E-3</v>
      </c>
      <c r="Q453" s="808">
        <f t="shared" si="456"/>
        <v>2.6389130409314107E-3</v>
      </c>
    </row>
  </sheetData>
  <mergeCells count="106">
    <mergeCell ref="K434:K435"/>
    <mergeCell ref="O434:O435"/>
    <mergeCell ref="P434:P435"/>
    <mergeCell ref="Q434:Q435"/>
    <mergeCell ref="C197:C198"/>
    <mergeCell ref="C209:C210"/>
    <mergeCell ref="C241:C242"/>
    <mergeCell ref="C434:C435"/>
    <mergeCell ref="P197:P198"/>
    <mergeCell ref="Q197:Q198"/>
    <mergeCell ref="W241:W242"/>
    <mergeCell ref="X241:X242"/>
    <mergeCell ref="Y241:Y242"/>
    <mergeCell ref="Z241:Z242"/>
    <mergeCell ref="D434:D435"/>
    <mergeCell ref="E434:E435"/>
    <mergeCell ref="F434:F435"/>
    <mergeCell ref="G434:G435"/>
    <mergeCell ref="N434:N435"/>
    <mergeCell ref="P241:P242"/>
    <mergeCell ref="Q241:Q242"/>
    <mergeCell ref="R241:R242"/>
    <mergeCell ref="S241:S242"/>
    <mergeCell ref="T241:T242"/>
    <mergeCell ref="U241:U242"/>
    <mergeCell ref="H241:H242"/>
    <mergeCell ref="I241:I242"/>
    <mergeCell ref="J241:J242"/>
    <mergeCell ref="K241:K242"/>
    <mergeCell ref="N241:N242"/>
    <mergeCell ref="O241:O242"/>
    <mergeCell ref="H434:H435"/>
    <mergeCell ref="I434:I435"/>
    <mergeCell ref="J434:J435"/>
    <mergeCell ref="R240:T240"/>
    <mergeCell ref="W240:Z240"/>
    <mergeCell ref="B241:B242"/>
    <mergeCell ref="D241:D242"/>
    <mergeCell ref="E241:E242"/>
    <mergeCell ref="F241:F242"/>
    <mergeCell ref="G241:G242"/>
    <mergeCell ref="N209:N210"/>
    <mergeCell ref="O209:O210"/>
    <mergeCell ref="P209:P210"/>
    <mergeCell ref="Q209:Q210"/>
    <mergeCell ref="A240:B240"/>
    <mergeCell ref="D240:G240"/>
    <mergeCell ref="H240:K240"/>
    <mergeCell ref="M240:Q240"/>
    <mergeCell ref="H209:H210"/>
    <mergeCell ref="I209:I210"/>
    <mergeCell ref="J209:J210"/>
    <mergeCell ref="K209:K210"/>
    <mergeCell ref="B209:B210"/>
    <mergeCell ref="D209:D210"/>
    <mergeCell ref="E209:E210"/>
    <mergeCell ref="F209:F210"/>
    <mergeCell ref="G209:G210"/>
    <mergeCell ref="R197:R198"/>
    <mergeCell ref="S197:S198"/>
    <mergeCell ref="T197:T198"/>
    <mergeCell ref="U197:U198"/>
    <mergeCell ref="H197:H198"/>
    <mergeCell ref="I197:I198"/>
    <mergeCell ref="J197:J198"/>
    <mergeCell ref="K197:K198"/>
    <mergeCell ref="N197:N198"/>
    <mergeCell ref="O197:O198"/>
    <mergeCell ref="B197:B198"/>
    <mergeCell ref="D197:D198"/>
    <mergeCell ref="E197:E198"/>
    <mergeCell ref="F197:F198"/>
    <mergeCell ref="G197:G198"/>
    <mergeCell ref="W2:W3"/>
    <mergeCell ref="X2:X3"/>
    <mergeCell ref="Y2:Y3"/>
    <mergeCell ref="Z2:Z3"/>
    <mergeCell ref="A196:B196"/>
    <mergeCell ref="D196:G196"/>
    <mergeCell ref="H196:K196"/>
    <mergeCell ref="M196:Q196"/>
    <mergeCell ref="R196:T196"/>
    <mergeCell ref="P2:P3"/>
    <mergeCell ref="Q2:Q3"/>
    <mergeCell ref="R2:R3"/>
    <mergeCell ref="S2:S3"/>
    <mergeCell ref="T2:T3"/>
    <mergeCell ref="U2:U3"/>
    <mergeCell ref="N2:N3"/>
    <mergeCell ref="O2:O3"/>
    <mergeCell ref="H2:H3"/>
    <mergeCell ref="I2:I3"/>
    <mergeCell ref="J2:J3"/>
    <mergeCell ref="K2:K3"/>
    <mergeCell ref="M1:Q1"/>
    <mergeCell ref="R1:T1"/>
    <mergeCell ref="W1:Z1"/>
    <mergeCell ref="B2:B3"/>
    <mergeCell ref="C2:C3"/>
    <mergeCell ref="D2:D3"/>
    <mergeCell ref="E2:E3"/>
    <mergeCell ref="F2:F3"/>
    <mergeCell ref="G2:G3"/>
    <mergeCell ref="A1:B1"/>
    <mergeCell ref="D1:G1"/>
    <mergeCell ref="H1:K1"/>
  </mergeCells>
  <pageMargins left="0.7" right="0.7" top="0.75" bottom="0.75" header="0.3" footer="0.3"/>
  <pageSetup paperSize="9" scale="1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814E-426F-4BC8-9C11-DCF3C58A70F8}">
  <dimension ref="A1:C41"/>
  <sheetViews>
    <sheetView showGridLines="0" workbookViewId="0">
      <selection sqref="A1:C1"/>
    </sheetView>
  </sheetViews>
  <sheetFormatPr defaultRowHeight="15" x14ac:dyDescent="0.25"/>
  <cols>
    <col min="1" max="1" width="40.7109375" style="874" customWidth="1"/>
    <col min="2" max="3" width="15.7109375" style="874" customWidth="1"/>
    <col min="4" max="16384" width="9.140625" style="874"/>
  </cols>
  <sheetData>
    <row r="1" spans="1:3" ht="15.75" thickBot="1" x14ac:dyDescent="0.3">
      <c r="A1" s="1519" t="s">
        <v>752</v>
      </c>
      <c r="B1" s="1519"/>
      <c r="C1" s="1519"/>
    </row>
    <row r="2" spans="1:3" x14ac:dyDescent="0.25">
      <c r="A2" s="875"/>
      <c r="B2" s="1520" t="s">
        <v>753</v>
      </c>
      <c r="C2" s="1521"/>
    </row>
    <row r="3" spans="1:3" x14ac:dyDescent="0.25">
      <c r="A3" s="875"/>
      <c r="B3" s="876" t="s">
        <v>754</v>
      </c>
      <c r="C3" s="877" t="s">
        <v>755</v>
      </c>
    </row>
    <row r="4" spans="1:3" x14ac:dyDescent="0.25">
      <c r="A4" s="878" t="s">
        <v>756</v>
      </c>
      <c r="B4" s="879">
        <v>-87.388798491665511</v>
      </c>
      <c r="C4" s="879">
        <v>-287.23279849166283</v>
      </c>
    </row>
    <row r="5" spans="1:3" ht="15.75" thickBot="1" x14ac:dyDescent="0.3">
      <c r="A5" s="878" t="s">
        <v>39</v>
      </c>
      <c r="B5" s="880">
        <v>-9.6601089949934466E-2</v>
      </c>
      <c r="C5" s="880">
        <v>-0.31751210547094111</v>
      </c>
    </row>
    <row r="6" spans="1:3" ht="15.75" thickBot="1" x14ac:dyDescent="0.3">
      <c r="A6" s="881" t="s">
        <v>757</v>
      </c>
      <c r="B6" s="882">
        <v>733.73518947869525</v>
      </c>
      <c r="C6" s="882">
        <v>-2.0515542012981314</v>
      </c>
    </row>
    <row r="7" spans="1:3" x14ac:dyDescent="0.25">
      <c r="A7" s="881" t="s">
        <v>758</v>
      </c>
      <c r="B7" s="883">
        <v>-260.14979915600003</v>
      </c>
      <c r="C7" s="883">
        <v>-39.187426155999987</v>
      </c>
    </row>
    <row r="8" spans="1:3" x14ac:dyDescent="0.25">
      <c r="A8" s="884" t="s">
        <v>41</v>
      </c>
      <c r="B8" s="885">
        <v>-73.734260806000009</v>
      </c>
      <c r="C8" s="885">
        <v>70.973739194000018</v>
      </c>
    </row>
    <row r="9" spans="1:3" x14ac:dyDescent="0.25">
      <c r="A9" s="884" t="s">
        <v>42</v>
      </c>
      <c r="B9" s="885">
        <v>-29.483816370000003</v>
      </c>
      <c r="C9" s="885">
        <v>-30.636443369999999</v>
      </c>
    </row>
    <row r="10" spans="1:3" x14ac:dyDescent="0.25">
      <c r="A10" s="884" t="s">
        <v>43</v>
      </c>
      <c r="B10" s="885">
        <v>-36.661742440000012</v>
      </c>
      <c r="C10" s="885">
        <v>18.338257559999988</v>
      </c>
    </row>
    <row r="11" spans="1:3" x14ac:dyDescent="0.25">
      <c r="A11" s="884" t="s">
        <v>44</v>
      </c>
      <c r="B11" s="886">
        <v>-56.050003799999999</v>
      </c>
      <c r="C11" s="886">
        <v>-102.54600379999999</v>
      </c>
    </row>
    <row r="12" spans="1:3" ht="24" x14ac:dyDescent="0.25">
      <c r="A12" s="884" t="s">
        <v>46</v>
      </c>
      <c r="B12" s="885">
        <v>-30.212685919999998</v>
      </c>
      <c r="C12" s="885">
        <v>1.3253140799999983</v>
      </c>
    </row>
    <row r="13" spans="1:3" ht="24.75" thickBot="1" x14ac:dyDescent="0.3">
      <c r="A13" s="887" t="s">
        <v>577</v>
      </c>
      <c r="B13" s="888">
        <v>-34.007289820000004</v>
      </c>
      <c r="C13" s="888">
        <v>3.357710179999998</v>
      </c>
    </row>
    <row r="14" spans="1:3" x14ac:dyDescent="0.25">
      <c r="A14" s="889" t="s">
        <v>759</v>
      </c>
      <c r="B14" s="882">
        <v>59.034853747362142</v>
      </c>
      <c r="C14" s="882">
        <v>-27.405196252637801</v>
      </c>
    </row>
    <row r="15" spans="1:3" x14ac:dyDescent="0.25">
      <c r="A15" s="884" t="s">
        <v>760</v>
      </c>
      <c r="B15" s="885">
        <v>-92.018277606151031</v>
      </c>
      <c r="C15" s="885">
        <v>-92.018277606151031</v>
      </c>
    </row>
    <row r="16" spans="1:3" ht="24" x14ac:dyDescent="0.25">
      <c r="A16" s="884" t="s">
        <v>761</v>
      </c>
      <c r="B16" s="885">
        <v>10.720423353513254</v>
      </c>
      <c r="C16" s="885">
        <v>-10.02500064648676</v>
      </c>
    </row>
    <row r="17" spans="1:3" x14ac:dyDescent="0.25">
      <c r="A17" s="884" t="s">
        <v>762</v>
      </c>
      <c r="B17" s="885">
        <v>29.526690999999914</v>
      </c>
      <c r="C17" s="885">
        <v>26.417690999999991</v>
      </c>
    </row>
    <row r="18" spans="1:3" x14ac:dyDescent="0.25">
      <c r="A18" s="884" t="s">
        <v>763</v>
      </c>
      <c r="B18" s="885">
        <v>124.206017</v>
      </c>
      <c r="C18" s="885">
        <v>48.220390999999999</v>
      </c>
    </row>
    <row r="19" spans="1:3" ht="15.75" thickBot="1" x14ac:dyDescent="0.3">
      <c r="A19" s="887" t="s">
        <v>764</v>
      </c>
      <c r="B19" s="890">
        <v>-13.4</v>
      </c>
      <c r="C19" s="890">
        <v>0</v>
      </c>
    </row>
    <row r="20" spans="1:3" x14ac:dyDescent="0.25">
      <c r="A20" s="889" t="s">
        <v>765</v>
      </c>
      <c r="B20" s="882">
        <v>-18.640921312521073</v>
      </c>
      <c r="C20" s="882">
        <v>-111.89667531251904</v>
      </c>
    </row>
    <row r="21" spans="1:3" x14ac:dyDescent="0.25">
      <c r="A21" s="884" t="s">
        <v>766</v>
      </c>
      <c r="B21" s="885">
        <v>-13.499040999999998</v>
      </c>
      <c r="C21" s="885">
        <v>-30.718386999999698</v>
      </c>
    </row>
    <row r="22" spans="1:3" x14ac:dyDescent="0.25">
      <c r="A22" s="884" t="s">
        <v>767</v>
      </c>
      <c r="B22" s="885">
        <v>-50.522741280002037</v>
      </c>
      <c r="C22" s="885">
        <v>41.235949720000008</v>
      </c>
    </row>
    <row r="23" spans="1:3" x14ac:dyDescent="0.25">
      <c r="A23" s="884" t="s">
        <v>768</v>
      </c>
      <c r="B23" s="885">
        <v>272.65332999999998</v>
      </c>
      <c r="C23" s="885">
        <v>30.756231</v>
      </c>
    </row>
    <row r="24" spans="1:3" ht="15.75" thickBot="1" x14ac:dyDescent="0.3">
      <c r="A24" s="887" t="s">
        <v>769</v>
      </c>
      <c r="B24" s="890">
        <v>-227.27246903251901</v>
      </c>
      <c r="C24" s="890">
        <v>-153.17046903251935</v>
      </c>
    </row>
    <row r="25" spans="1:3" x14ac:dyDescent="0.25">
      <c r="A25" s="889" t="s">
        <v>770</v>
      </c>
      <c r="B25" s="882">
        <v>-106.78989128539069</v>
      </c>
      <c r="C25" s="882">
        <v>-32.111449285392155</v>
      </c>
    </row>
    <row r="26" spans="1:3" x14ac:dyDescent="0.25">
      <c r="A26" s="884" t="s">
        <v>771</v>
      </c>
      <c r="B26" s="885">
        <v>-5.595075776844169</v>
      </c>
      <c r="C26" s="885">
        <v>18.967924223155933</v>
      </c>
    </row>
    <row r="27" spans="1:3" ht="15.75" thickBot="1" x14ac:dyDescent="0.3">
      <c r="A27" s="887" t="s">
        <v>772</v>
      </c>
      <c r="B27" s="890">
        <v>-101.19481550854653</v>
      </c>
      <c r="C27" s="890">
        <v>-51.079373508548088</v>
      </c>
    </row>
    <row r="28" spans="1:3" x14ac:dyDescent="0.25">
      <c r="A28" s="889" t="s">
        <v>773</v>
      </c>
      <c r="B28" s="882">
        <v>-97.312964809999912</v>
      </c>
      <c r="C28" s="882">
        <v>-19.032964810000465</v>
      </c>
    </row>
    <row r="29" spans="1:3" x14ac:dyDescent="0.25">
      <c r="A29" s="884" t="s">
        <v>55</v>
      </c>
      <c r="B29" s="886">
        <v>10.410812000000078</v>
      </c>
      <c r="C29" s="886">
        <v>37.635811999999532</v>
      </c>
    </row>
    <row r="30" spans="1:3" x14ac:dyDescent="0.25">
      <c r="A30" s="891" t="s">
        <v>774</v>
      </c>
      <c r="B30" s="886">
        <v>68.968223190000003</v>
      </c>
      <c r="C30" s="886">
        <v>10.473223189999999</v>
      </c>
    </row>
    <row r="31" spans="1:3" ht="24" x14ac:dyDescent="0.25">
      <c r="A31" s="891" t="s">
        <v>775</v>
      </c>
      <c r="B31" s="886">
        <v>-109.55</v>
      </c>
      <c r="C31" s="886">
        <v>0</v>
      </c>
    </row>
    <row r="32" spans="1:3" ht="24.75" thickBot="1" x14ac:dyDescent="0.3">
      <c r="A32" s="887" t="s">
        <v>776</v>
      </c>
      <c r="B32" s="888">
        <v>-67.141999999999996</v>
      </c>
      <c r="C32" s="888">
        <v>-67.141999999999996</v>
      </c>
    </row>
    <row r="33" spans="1:3" ht="24" x14ac:dyDescent="0.25">
      <c r="A33" s="889" t="s">
        <v>777</v>
      </c>
      <c r="B33" s="882">
        <v>-282.16177124829812</v>
      </c>
      <c r="C33" s="882">
        <v>-116.5237712482982</v>
      </c>
    </row>
    <row r="34" spans="1:3" x14ac:dyDescent="0.25">
      <c r="A34" s="884" t="s">
        <v>778</v>
      </c>
      <c r="B34" s="885">
        <v>-238.80612755127731</v>
      </c>
      <c r="C34" s="885">
        <v>-110.25912755127729</v>
      </c>
    </row>
    <row r="35" spans="1:3" ht="15.75" thickBot="1" x14ac:dyDescent="0.3">
      <c r="A35" s="887" t="s">
        <v>779</v>
      </c>
      <c r="B35" s="890">
        <v>-43.35564369702081</v>
      </c>
      <c r="C35" s="890">
        <v>-6.2646436970209152</v>
      </c>
    </row>
    <row r="36" spans="1:3" x14ac:dyDescent="0.25">
      <c r="A36" s="889" t="s">
        <v>780</v>
      </c>
      <c r="B36" s="882">
        <v>-112.70421727</v>
      </c>
      <c r="C36" s="882">
        <v>-16.965217269999982</v>
      </c>
    </row>
    <row r="37" spans="1:3" x14ac:dyDescent="0.25">
      <c r="A37" s="884" t="s">
        <v>60</v>
      </c>
      <c r="B37" s="885">
        <v>-54.22003998000001</v>
      </c>
      <c r="C37" s="885">
        <v>-10.532039980000008</v>
      </c>
    </row>
    <row r="38" spans="1:3" x14ac:dyDescent="0.25">
      <c r="A38" s="884" t="s">
        <v>61</v>
      </c>
      <c r="B38" s="886">
        <v>-28.081177289999971</v>
      </c>
      <c r="C38" s="886">
        <v>-6.4331772899999748</v>
      </c>
    </row>
    <row r="39" spans="1:3" ht="15.75" thickBot="1" x14ac:dyDescent="0.3">
      <c r="A39" s="884" t="s">
        <v>781</v>
      </c>
      <c r="B39" s="888">
        <v>-30.40300000000002</v>
      </c>
      <c r="C39" s="888">
        <v>0</v>
      </c>
    </row>
    <row r="40" spans="1:3" ht="15.75" thickBot="1" x14ac:dyDescent="0.3">
      <c r="A40" s="892" t="s">
        <v>782</v>
      </c>
      <c r="B40" s="893">
        <v>-2.3992766355131181</v>
      </c>
      <c r="C40" s="893">
        <v>77.941456044482933</v>
      </c>
    </row>
    <row r="41" spans="1:3" ht="29.25" customHeight="1" x14ac:dyDescent="0.25">
      <c r="A41" s="1522" t="s">
        <v>783</v>
      </c>
      <c r="B41" s="1522"/>
      <c r="C41" s="894" t="s">
        <v>89</v>
      </c>
    </row>
  </sheetData>
  <mergeCells count="3">
    <mergeCell ref="A1:C1"/>
    <mergeCell ref="B2:C2"/>
    <mergeCell ref="A41:B4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83</vt:i4>
      </vt:variant>
      <vt:variant>
        <vt:lpstr>Pomenované rozsahy</vt:lpstr>
      </vt:variant>
      <vt:variant>
        <vt:i4>1</vt:i4>
      </vt:variant>
    </vt:vector>
  </HeadingPairs>
  <TitlesOfParts>
    <vt:vector size="84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T46, T47</vt:lpstr>
      <vt:lpstr>G01</vt:lpstr>
      <vt:lpstr>G02</vt:lpstr>
      <vt:lpstr>G03</vt:lpstr>
      <vt:lpstr>G04</vt:lpstr>
      <vt:lpstr>G05</vt:lpstr>
      <vt:lpstr>G06</vt:lpstr>
      <vt:lpstr>G07</vt:lpstr>
      <vt:lpstr>G08</vt:lpstr>
      <vt:lpstr>G09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G26, 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NPC</vt:lpstr>
      <vt:lpstr>'G16'!_Toc529805042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Bugyi</dc:creator>
  <cp:lastModifiedBy>Kubik</cp:lastModifiedBy>
  <cp:lastPrinted>2018-11-12T13:07:23Z</cp:lastPrinted>
  <dcterms:created xsi:type="dcterms:W3CDTF">2018-11-12T09:38:15Z</dcterms:created>
  <dcterms:modified xsi:type="dcterms:W3CDTF">2018-11-14T12:08:19Z</dcterms:modified>
</cp:coreProperties>
</file>